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CHIN\Downloads\"/>
    </mc:Choice>
  </mc:AlternateContent>
  <xr:revisionPtr revIDLastSave="0" documentId="13_ncr:1_{483AE6CD-5EDE-4AFD-868E-6778F6EACA4E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6" i="1" l="1"/>
  <c r="F196" i="1" s="1"/>
  <c r="D195" i="1"/>
  <c r="F195" i="1" s="1"/>
  <c r="D199" i="1"/>
  <c r="F199" i="1" s="1"/>
  <c r="D198" i="1"/>
  <c r="F198" i="1" s="1"/>
  <c r="D193" i="1"/>
  <c r="F193" i="1" s="1"/>
  <c r="D201" i="1"/>
  <c r="F201" i="1" s="1"/>
  <c r="J201" i="1" s="1"/>
  <c r="D200" i="1"/>
  <c r="F200" i="1" s="1"/>
  <c r="D197" i="1"/>
  <c r="F197" i="1" s="1"/>
  <c r="D194" i="1"/>
  <c r="F194" i="1" s="1"/>
  <c r="J194" i="1" s="1"/>
  <c r="A194" i="1"/>
  <c r="A195" i="1" s="1"/>
  <c r="A196" i="1" s="1"/>
  <c r="A197" i="1" s="1"/>
  <c r="A198" i="1" s="1"/>
  <c r="A199" i="1" s="1"/>
  <c r="A200" i="1" s="1"/>
  <c r="A201" i="1" s="1"/>
  <c r="G193" i="1"/>
  <c r="D187" i="1"/>
  <c r="F187" i="1" s="1"/>
  <c r="D186" i="1"/>
  <c r="F186" i="1" s="1"/>
  <c r="D152" i="1" l="1"/>
  <c r="F152" i="1" s="1"/>
  <c r="D151" i="1"/>
  <c r="F151" i="1" s="1"/>
  <c r="D150" i="1"/>
  <c r="F150" i="1" s="1"/>
  <c r="D149" i="1"/>
  <c r="F149" i="1" s="1"/>
  <c r="D146" i="1"/>
  <c r="F146" i="1" s="1"/>
  <c r="D145" i="1"/>
  <c r="F145" i="1" s="1"/>
  <c r="D143" i="1"/>
  <c r="F143" i="1" s="1"/>
  <c r="D142" i="1"/>
  <c r="F142" i="1" s="1"/>
  <c r="A142" i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G141" i="1"/>
  <c r="D141" i="1"/>
  <c r="F141" i="1" s="1"/>
  <c r="D191" i="1"/>
  <c r="F191" i="1" s="1"/>
  <c r="D190" i="1"/>
  <c r="F190" i="1" s="1"/>
  <c r="D189" i="1"/>
  <c r="F189" i="1" s="1"/>
  <c r="D188" i="1"/>
  <c r="F188" i="1" s="1"/>
  <c r="D185" i="1"/>
  <c r="F185" i="1" s="1"/>
  <c r="D184" i="1"/>
  <c r="F184" i="1" s="1"/>
  <c r="D183" i="1"/>
  <c r="F183" i="1" s="1"/>
  <c r="D182" i="1"/>
  <c r="F182" i="1" s="1"/>
  <c r="D181" i="1"/>
  <c r="F181" i="1" s="1"/>
  <c r="A181" i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G180" i="1"/>
  <c r="D180" i="1"/>
  <c r="F180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G167" i="1"/>
  <c r="D167" i="1"/>
  <c r="F167" i="1" s="1"/>
  <c r="D165" i="1"/>
  <c r="D164" i="1"/>
  <c r="D163" i="1"/>
  <c r="D162" i="1"/>
  <c r="D161" i="1"/>
  <c r="F161" i="1" s="1"/>
  <c r="D160" i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37" i="1"/>
  <c r="F137" i="1" s="1"/>
  <c r="D138" i="1"/>
  <c r="F138" i="1" s="1"/>
  <c r="D139" i="1"/>
  <c r="F139" i="1" s="1"/>
  <c r="D136" i="1"/>
  <c r="D135" i="1"/>
  <c r="F135" i="1" s="1"/>
  <c r="D134" i="1"/>
  <c r="F134" i="1" s="1"/>
  <c r="D131" i="1"/>
  <c r="D130" i="1"/>
  <c r="D133" i="1"/>
  <c r="F133" i="1" s="1"/>
  <c r="D132" i="1"/>
  <c r="D129" i="1"/>
  <c r="D128" i="1"/>
  <c r="F165" i="1"/>
  <c r="F164" i="1"/>
  <c r="F163" i="1"/>
  <c r="F162" i="1"/>
  <c r="F160" i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G154" i="1"/>
  <c r="F136" i="1" l="1"/>
  <c r="C104" i="1"/>
  <c r="E104" i="1"/>
  <c r="C105" i="1"/>
  <c r="E105" i="1"/>
  <c r="G104" i="1"/>
  <c r="E106" i="1" l="1"/>
  <c r="E107" i="1" s="1"/>
  <c r="C106" i="1"/>
  <c r="C107" i="1" s="1"/>
  <c r="E42" i="1"/>
  <c r="E43" i="1" s="1"/>
  <c r="C14" i="1" l="1"/>
  <c r="E29" i="1" l="1"/>
  <c r="F123" i="1" l="1"/>
  <c r="F124" i="1"/>
  <c r="F125" i="1"/>
  <c r="F122" i="1"/>
  <c r="A123" i="1"/>
  <c r="A124" i="1" s="1"/>
  <c r="A125" i="1" s="1"/>
  <c r="G122" i="1"/>
  <c r="G123" i="1" s="1"/>
  <c r="G124" i="1" s="1"/>
  <c r="G125" i="1" s="1"/>
  <c r="F96" i="1" l="1"/>
  <c r="F114" i="1" l="1"/>
  <c r="F115" i="1"/>
  <c r="F116" i="1"/>
  <c r="F113" i="1"/>
  <c r="B204" i="1" l="1"/>
  <c r="F132" i="1" l="1"/>
  <c r="F131" i="1"/>
  <c r="F129" i="1"/>
  <c r="F128" i="1"/>
  <c r="F130" i="1"/>
  <c r="G105" i="1" l="1"/>
  <c r="G106" i="1" s="1"/>
  <c r="G107" i="1" s="1"/>
  <c r="B20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9" i="1"/>
  <c r="G128" i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14" i="1"/>
  <c r="A115" i="1" s="1"/>
  <c r="A116" i="1" s="1"/>
  <c r="G113" i="1"/>
  <c r="G114" i="1" s="1"/>
  <c r="G115" i="1" s="1"/>
  <c r="G116" i="1" s="1"/>
  <c r="D58" i="1"/>
  <c r="G49" i="1"/>
  <c r="C49" i="1"/>
  <c r="E26" i="1"/>
  <c r="E24" i="1"/>
  <c r="E7" i="1"/>
  <c r="E3" i="1"/>
  <c r="H70" i="1"/>
  <c r="D63" i="1" l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J77" i="1" l="1"/>
  <c r="J78" i="1" s="1"/>
  <c r="J79" i="1" s="1"/>
  <c r="J80" i="1" s="1"/>
  <c r="D75" i="1"/>
  <c r="J71" i="1"/>
  <c r="D73" i="1"/>
  <c r="J82" i="1" l="1"/>
  <c r="C74" i="1" s="1"/>
  <c r="G73" i="1" s="1"/>
  <c r="D67" i="1" l="1"/>
  <c r="D68" i="1" s="1"/>
  <c r="J70" i="1"/>
  <c r="D74" i="1"/>
  <c r="I70" i="1" s="1"/>
  <c r="I71" i="1" s="1"/>
  <c r="E73" i="1"/>
  <c r="F68" i="1" l="1"/>
  <c r="I69" i="1"/>
  <c r="C71" i="1" s="1"/>
</calcChain>
</file>

<file path=xl/sharedStrings.xml><?xml version="1.0" encoding="utf-8"?>
<sst xmlns="http://schemas.openxmlformats.org/spreadsheetml/2006/main" count="420" uniqueCount="241">
  <si>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</si>
  <si>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</si>
  <si>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</si>
  <si>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</si>
  <si>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</si>
  <si>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</si>
  <si>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</si>
  <si>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</si>
  <si>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</si>
  <si>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</si>
  <si>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</si>
  <si>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</si>
  <si>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</si>
  <si>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</si>
  <si>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</si>
  <si>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</si>
  <si>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</si>
  <si>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</si>
  <si>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</si>
  <si>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</si>
  <si>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</si>
  <si>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</si>
  <si>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</si>
  <si>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</si>
  <si>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</si>
  <si>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</si>
  <si>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</si>
  <si>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</si>
  <si>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</si>
  <si>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</si>
  <si>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</si>
  <si>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</si>
  <si>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</si>
  <si>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</si>
  <si>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</si>
  <si>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</si>
  <si>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</si>
  <si>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</si>
  <si>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</si>
  <si>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</si>
  <si>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</si>
  <si>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</si>
  <si>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</si>
  <si>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</si>
  <si>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</si>
  <si>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</si>
  <si>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</si>
  <si>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</si>
  <si>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</si>
  <si>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</si>
  <si>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</si>
  <si>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</si>
  <si>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</si>
  <si>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</si>
  <si>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</si>
  <si>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</si>
  <si>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</si>
  <si>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</si>
  <si>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</si>
  <si>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</si>
  <si>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</si>
  <si>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</si>
  <si>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</si>
  <si>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</si>
  <si>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</si>
  <si>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</si>
  <si>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</si>
  <si>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</si>
  <si>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</si>
  <si>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</si>
  <si>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</si>
  <si>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</si>
  <si>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</si>
  <si>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</si>
  <si>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</si>
  <si>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</si>
  <si>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</si>
  <si>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</si>
  <si>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</si>
  <si>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</si>
  <si>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</si>
  <si>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</si>
  <si>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</si>
  <si>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</si>
  <si>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</si>
  <si>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</si>
  <si>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</si>
  <si>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</si>
  <si>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</si>
  <si>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</si>
  <si>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</si>
  <si>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</si>
  <si>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</si>
  <si>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</si>
  <si>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</si>
  <si>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</si>
  <si>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</si>
  <si>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</si>
  <si>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</si>
  <si>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</si>
  <si>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</si>
  <si>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</si>
  <si>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</si>
  <si>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</si>
  <si>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</si>
  <si>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</si>
  <si>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</si>
  <si>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</si>
  <si>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</si>
  <si>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</si>
  <si>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</si>
  <si>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</si>
  <si>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</si>
  <si>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</si>
  <si>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</si>
  <si>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</si>
  <si>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</si>
  <si>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</si>
  <si>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</si>
  <si>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</si>
  <si>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</si>
  <si>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</si>
  <si>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</si>
  <si>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</si>
  <si>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</si>
  <si>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</si>
  <si>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</si>
  <si>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</si>
  <si>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</si>
  <si>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</si>
  <si>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</si>
  <si>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</si>
  <si>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</si>
  <si>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</si>
  <si>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</si>
  <si>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</si>
  <si>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</si>
  <si>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</si>
  <si>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</si>
  <si>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</si>
  <si>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</si>
  <si>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</si>
  <si>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</si>
  <si>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</si>
  <si>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</si>
  <si>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</si>
  <si>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</si>
  <si>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</si>
  <si>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</si>
  <si>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</si>
  <si>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</si>
  <si>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</si>
  <si>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</si>
  <si>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</si>
  <si>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</si>
  <si>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</si>
  <si>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</si>
  <si>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</si>
  <si>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</si>
  <si>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</si>
  <si>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</si>
  <si>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</si>
  <si>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</si>
  <si>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</si>
  <si>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</si>
  <si>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</si>
  <si>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</si>
  <si>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</si>
  <si>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</si>
  <si>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</si>
  <si>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</si>
  <si>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</si>
  <si>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</si>
  <si>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</si>
  <si>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</si>
  <si>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</si>
  <si>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</si>
  <si>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</si>
  <si>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</si>
  <si>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</si>
  <si>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Sushanku Avenue 36</t>
  </si>
  <si>
    <t>Sushanku Realty Private Limited</t>
  </si>
  <si>
    <t>CTS No</t>
  </si>
  <si>
    <t>268A/1(pt) &amp; C.S No. 161 &amp;  Redevlopement of " building No. 36 known as '' Trupti Kutir Co-OP.Hsg Society "</t>
  </si>
  <si>
    <t xml:space="preserve">Maharashtra Housing and Area Development Authority (MHADA)
</t>
  </si>
  <si>
    <t>1.8 KM from Goregaon Railway Station</t>
  </si>
  <si>
    <t>Pahadi</t>
  </si>
  <si>
    <t>Borivali</t>
  </si>
  <si>
    <t>Mumbai</t>
  </si>
  <si>
    <t>New Siddhartha nagar</t>
  </si>
  <si>
    <t>Road Number 16</t>
  </si>
  <si>
    <t>Goregaon</t>
  </si>
  <si>
    <t>Janseva C.H.S</t>
  </si>
  <si>
    <t>https://goo.gl/maps/JQ8sy7bDtJAt9TG77?coh=178572&amp;entry=tt</t>
  </si>
  <si>
    <t>19.160297, 72.8400307</t>
  </si>
  <si>
    <t>DPS Park view</t>
  </si>
  <si>
    <t>Trupti Bhavan</t>
  </si>
  <si>
    <t>Road Number 5</t>
  </si>
  <si>
    <t>MHADA-51/1365/2023</t>
  </si>
  <si>
    <t>As per RERA - 31/12/2025</t>
  </si>
  <si>
    <t>Approved Plans</t>
  </si>
  <si>
    <t>This C.C. is now Re-endorsed and further extend upto top of 18th floor  (i.e. height upto 58.00 mtr. AGL) as per approved Amended plan on dtd. 10.02.2023</t>
  </si>
  <si>
    <t>MH/EE/(BP)/GM/MHADA-51/1365/2023/FCC/1/New</t>
  </si>
  <si>
    <t>Ground Floor For Parking</t>
  </si>
  <si>
    <t>Basement Floor For Car Parking Lift &amp; Tanks</t>
  </si>
  <si>
    <t xml:space="preserve">B + G + 1st to 21st Floor
</t>
  </si>
  <si>
    <t>B1 + G + 1st to 22nd Floor</t>
  </si>
  <si>
    <t xml:space="preserve">Sewage Treatment Plant, Rain Water Harvesting,24/7 Water Supply, Lift(s), Car Parking, Garbage Disposal, Fire Fighting Systems, Fitness center
</t>
  </si>
  <si>
    <t>1st Floor For Parking &amp; Fitness Center</t>
  </si>
  <si>
    <t>Flat (Rehab or Sale)</t>
  </si>
  <si>
    <t>2nd to 6th, 8th to 11th Floor</t>
  </si>
  <si>
    <t>Rehab</t>
  </si>
  <si>
    <t>1BHK</t>
  </si>
  <si>
    <t>Sale</t>
  </si>
  <si>
    <t>12th Floor</t>
  </si>
  <si>
    <t>13th &amp; 15th to 20th Floor</t>
  </si>
  <si>
    <t>1RK</t>
  </si>
  <si>
    <t>7th Floor (Part Refuge Area)</t>
  </si>
  <si>
    <t>14th Floor (Part Refuge Area)</t>
  </si>
  <si>
    <t>Refuge Area</t>
  </si>
  <si>
    <t>21st Floor</t>
  </si>
  <si>
    <t>We considered Gross carpet area = Net carpet.</t>
  </si>
  <si>
    <t>Sale Flats</t>
  </si>
  <si>
    <t>Rehab Flats</t>
  </si>
  <si>
    <t>Sale Flats - 152, Rehab Flats - 79</t>
  </si>
  <si>
    <t>CC Taken from MHADA Site.</t>
  </si>
  <si>
    <t>P51800046272</t>
  </si>
  <si>
    <t>Validity of CC is extended by CC Revalidation letter provided to us.
Letter No. MH/EE/(BP)/GM/MHADA-51/1365/2023/CCR/1
Date: 08/06/2023</t>
  </si>
  <si>
    <t>Building No. 36 = Trupti Kutir CHS</t>
  </si>
  <si>
    <t>MH/EE/(BP)/GM/MHADA-51/1365/2024/FCC/1/Amend</t>
  </si>
  <si>
    <t>This C.C. Re-endorsed as per approved plan dt. 21.03.2024, plinth CC for adjoining R-2 commercial bldg. &amp; Residential bldg. full extended upto Top of 22nd floor + LMR /OHT for as per approved plan dated.21.03.2024.</t>
  </si>
  <si>
    <t>MH/EE/(BP)/GM/MHADA-51/1365/2024/FCC/2/Amend</t>
  </si>
  <si>
    <t>Now this C.C. is granted for entire work i.e. upto 22nd upper floor + LMR/OHT as per approved plan dated.
21.03.2024.</t>
  </si>
  <si>
    <t>We have updated revised approved CC from MHADA site on 17/08/2024.</t>
  </si>
  <si>
    <t>Please provide revised approved plan dtd. 21.03.2024.</t>
  </si>
  <si>
    <t>Construction work is in process at the time of Visit. Internal photographs was not allowed.</t>
  </si>
  <si>
    <t>Mr. Jatin 9712121241</t>
  </si>
  <si>
    <t>Construction Stage is reduced Due to work of Part II is in process.</t>
  </si>
  <si>
    <t>Sanket Salvi</t>
  </si>
  <si>
    <t>Sachin</t>
  </si>
  <si>
    <t>B + G + 1st to 22nd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</si>
</sst>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24" fillId="0" borderId="1" xfId="0" applyFont="1" applyBorder="1"/>
    <xf numFmtId="0" fontId="24" fillId="0" borderId="4" xfId="0" applyFont="1" applyBorder="1"/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</xdr:colOff>
      <xdr:row>334</xdr:row>
      <xdr:rowOff>164934</xdr:rowOff>
    </xdr:from>
    <xdr:to>
      <xdr:col>7</xdr:col>
      <xdr:colOff>147300</xdr:colOff>
      <xdr:row>352</xdr:row>
      <xdr:rowOff>164028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493" y="64153884"/>
          <a:ext cx="5442857" cy="35995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762000</xdr:colOff>
      <xdr:row>314</xdr:row>
      <xdr:rowOff>66675</xdr:rowOff>
    </xdr:from>
    <xdr:to>
      <xdr:col>7</xdr:col>
      <xdr:colOff>90150</xdr:colOff>
      <xdr:row>333</xdr:row>
      <xdr:rowOff>12535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60055125"/>
          <a:ext cx="5443200" cy="37463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232228</xdr:colOff>
      <xdr:row>341</xdr:row>
      <xdr:rowOff>146338</xdr:rowOff>
    </xdr:from>
    <xdr:to>
      <xdr:col>4</xdr:col>
      <xdr:colOff>251278</xdr:colOff>
      <xdr:row>349</xdr:row>
      <xdr:rowOff>70138</xdr:rowOff>
    </xdr:to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08628" y="65535463"/>
          <a:ext cx="1943100" cy="1524000"/>
        </a:xfrm>
        <a:prstGeom prst="rect">
          <a:avLst/>
        </a:prstGeom>
        <a:noFill/>
        <a:ln w="57150">
          <a:solidFill>
            <a:schemeClr val="accent4">
              <a:lumMod val="60000"/>
              <a:lumOff val="40000"/>
            </a:schemeClr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2</xdr:col>
      <xdr:colOff>389214</xdr:colOff>
      <xdr:row>341</xdr:row>
      <xdr:rowOff>155409</xdr:rowOff>
    </xdr:from>
    <xdr:to>
      <xdr:col>5</xdr:col>
      <xdr:colOff>392658</xdr:colOff>
      <xdr:row>344</xdr:row>
      <xdr:rowOff>16999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065614" y="65544534"/>
          <a:ext cx="2765694" cy="46166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2400">
              <a:solidFill>
                <a:srgbClr val="FF0000"/>
              </a:solidFill>
            </a:rPr>
            <a:t>Sushanku Avenue 36</a:t>
          </a:r>
        </a:p>
      </xdr:txBody>
    </xdr:sp>
    <xdr:clientData/>
  </xdr:twoCellAnchor>
  <xdr:twoCellAnchor editAs="oneCell">
    <xdr:from>
      <xdr:col>1</xdr:col>
      <xdr:colOff>695325</xdr:colOff>
      <xdr:row>273</xdr:row>
      <xdr:rowOff>66675</xdr:rowOff>
    </xdr:from>
    <xdr:to>
      <xdr:col>5</xdr:col>
      <xdr:colOff>679738</xdr:colOff>
      <xdr:row>305</xdr:row>
      <xdr:rowOff>145876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4475" y="51254025"/>
          <a:ext cx="3603913" cy="64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428625</xdr:colOff>
      <xdr:row>230</xdr:row>
      <xdr:rowOff>19050</xdr:rowOff>
    </xdr:from>
    <xdr:to>
      <xdr:col>7</xdr:col>
      <xdr:colOff>351895</xdr:colOff>
      <xdr:row>267</xdr:row>
      <xdr:rowOff>2754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8C98BEF1-4B6F-410A-6837-977B1BB269E5}"/>
            </a:ext>
          </a:extLst>
        </xdr:cNvPr>
        <xdr:cNvGrpSpPr/>
      </xdr:nvGrpSpPr>
      <xdr:grpSpPr>
        <a:xfrm>
          <a:off x="428625" y="47053500"/>
          <a:ext cx="5619220" cy="7375104"/>
          <a:chOff x="428625" y="47053500"/>
          <a:chExt cx="5619220" cy="7375104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AD5D8426-4F1F-35DD-7B0C-676A0C7738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6913" y="50828604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FAA3B490-F267-332E-A00C-1F383A2166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625" y="4705350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CCF3E0A-A11A-4BF6-E756-64B48D6FB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50658" y="50828604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1BF222DD-A4EF-DD28-BC3C-20C2E5BD76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8108" y="4705350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Q8sy7bDtJAt9TG7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14"/>
  <sheetViews>
    <sheetView tabSelected="1" view="pageBreakPreview" zoomScaleNormal="100" zoomScaleSheetLayoutView="100" workbookViewId="0">
      <selection activeCell="E8" sqref="E8:H8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08" t="s">
        <v>174</v>
      </c>
      <c r="B1" s="108"/>
      <c r="C1" s="108"/>
      <c r="D1" s="108"/>
      <c r="E1" s="108"/>
      <c r="F1" s="108"/>
      <c r="G1" s="108"/>
      <c r="H1" s="108"/>
    </row>
    <row r="2" spans="1:8" ht="16.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</row>
    <row r="3" spans="1:8" x14ac:dyDescent="0.25">
      <c r="A3" s="109" t="s">
        <v>1</v>
      </c>
      <c r="B3" s="109"/>
      <c r="C3" s="109"/>
      <c r="D3" s="109"/>
      <c r="E3" s="109" t="str">
        <f ca="1">TEXT(TODAY(),"DD/MM/YYYY")</f>
        <v>21/08/2025</v>
      </c>
      <c r="F3" s="109"/>
      <c r="G3" s="109"/>
      <c r="H3" s="109"/>
    </row>
    <row r="4" spans="1:8" ht="15" customHeight="1" x14ac:dyDescent="0.25">
      <c r="A4" s="109" t="s">
        <v>2</v>
      </c>
      <c r="B4" s="109"/>
      <c r="C4" s="109"/>
      <c r="D4" s="109"/>
      <c r="E4" s="109" t="s">
        <v>179</v>
      </c>
      <c r="F4" s="109"/>
      <c r="G4" s="109"/>
      <c r="H4" s="109"/>
    </row>
    <row r="5" spans="1:8" x14ac:dyDescent="0.25">
      <c r="A5" s="109" t="s">
        <v>3</v>
      </c>
      <c r="B5" s="109"/>
      <c r="C5" s="109"/>
      <c r="D5" s="109"/>
      <c r="E5" s="111">
        <v>45889</v>
      </c>
      <c r="F5" s="109"/>
      <c r="G5" s="109"/>
      <c r="H5" s="109"/>
    </row>
    <row r="6" spans="1:8" ht="16.5" customHeight="1" x14ac:dyDescent="0.25">
      <c r="A6" s="109" t="s">
        <v>4</v>
      </c>
      <c r="B6" s="109"/>
      <c r="C6" s="109"/>
      <c r="D6" s="109"/>
      <c r="E6" s="109" t="s">
        <v>181</v>
      </c>
      <c r="F6" s="109"/>
      <c r="G6" s="109"/>
      <c r="H6" s="109"/>
    </row>
    <row r="7" spans="1:8" ht="15" customHeight="1" x14ac:dyDescent="0.25">
      <c r="A7" s="109" t="s">
        <v>5</v>
      </c>
      <c r="B7" s="109"/>
      <c r="C7" s="109"/>
      <c r="D7" s="109"/>
      <c r="E7" s="109" t="str">
        <f>E6</f>
        <v>Sushanku Realty Private Limited</v>
      </c>
      <c r="F7" s="109"/>
      <c r="G7" s="109"/>
      <c r="H7" s="109"/>
    </row>
    <row r="8" spans="1:8" x14ac:dyDescent="0.25">
      <c r="A8" s="109" t="s">
        <v>6</v>
      </c>
      <c r="B8" s="109"/>
      <c r="C8" s="109"/>
      <c r="D8" s="109"/>
      <c r="E8" s="110" t="s">
        <v>180</v>
      </c>
      <c r="F8" s="110"/>
      <c r="G8" s="110"/>
      <c r="H8" s="110"/>
    </row>
    <row r="9" spans="1:8" x14ac:dyDescent="0.25">
      <c r="A9" s="109" t="s">
        <v>177</v>
      </c>
      <c r="B9" s="109"/>
      <c r="C9" s="109"/>
      <c r="D9" s="109"/>
      <c r="E9" s="109">
        <v>9673735226</v>
      </c>
      <c r="F9" s="109"/>
      <c r="G9" s="109"/>
      <c r="H9" s="109"/>
    </row>
    <row r="10" spans="1:8" x14ac:dyDescent="0.25">
      <c r="A10" s="109" t="s">
        <v>178</v>
      </c>
      <c r="B10" s="109"/>
      <c r="C10" s="109"/>
      <c r="D10" s="109"/>
      <c r="E10" s="109" t="s">
        <v>236</v>
      </c>
      <c r="F10" s="109"/>
      <c r="G10" s="109"/>
      <c r="H10" s="109"/>
    </row>
    <row r="11" spans="1:8" x14ac:dyDescent="0.25">
      <c r="A11" s="109" t="s">
        <v>7</v>
      </c>
      <c r="B11" s="109"/>
      <c r="C11" s="109"/>
      <c r="D11" s="109"/>
      <c r="E11" s="109" t="s">
        <v>228</v>
      </c>
      <c r="F11" s="109"/>
      <c r="G11" s="109"/>
      <c r="H11" s="109"/>
    </row>
    <row r="12" spans="1:8" x14ac:dyDescent="0.25">
      <c r="A12" s="57" t="s">
        <v>8</v>
      </c>
      <c r="B12" s="57"/>
      <c r="C12" s="57"/>
      <c r="D12" s="57"/>
      <c r="E12" s="88" t="s">
        <v>200</v>
      </c>
      <c r="F12" s="88"/>
      <c r="G12" s="88"/>
      <c r="H12" s="88"/>
    </row>
    <row r="13" spans="1:8" x14ac:dyDescent="0.25">
      <c r="A13" s="57" t="s">
        <v>9</v>
      </c>
      <c r="B13" s="57"/>
      <c r="C13" s="57"/>
      <c r="D13" s="57"/>
      <c r="E13" s="88" t="s">
        <v>226</v>
      </c>
      <c r="F13" s="109"/>
      <c r="G13" s="109"/>
      <c r="H13" s="109"/>
    </row>
    <row r="14" spans="1:8" ht="63" customHeight="1" x14ac:dyDescent="0.25">
      <c r="A14" s="74" t="s">
        <v>10</v>
      </c>
      <c r="B14" s="74"/>
      <c r="C14" s="7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Sushanku Avenue 36, CTS No.268A/1(pt) &amp; C.S No. 161 &amp;  Redevlopement of " building No. 36 known as '' Trupti Kutir Co-OP.Hsg Society ", near Janseva C.H.S, Road Number 16, New Siddhartha nagar, Pahadi, Goregaon, Borivali, Mumbai - 400104.</v>
      </c>
      <c r="D14" s="74"/>
      <c r="E14" s="74"/>
      <c r="F14" s="74"/>
      <c r="G14" s="74"/>
      <c r="H14" s="74"/>
    </row>
    <row r="15" spans="1:8" ht="32.25" customHeight="1" x14ac:dyDescent="0.25">
      <c r="A15" s="88" t="s">
        <v>182</v>
      </c>
      <c r="B15" s="88"/>
      <c r="C15" s="88" t="s">
        <v>183</v>
      </c>
      <c r="D15" s="88"/>
      <c r="E15" s="88"/>
      <c r="F15" s="88"/>
      <c r="G15" s="88"/>
      <c r="H15" s="88"/>
    </row>
    <row r="16" spans="1:8" ht="15.75" customHeight="1" x14ac:dyDescent="0.25">
      <c r="A16" s="88" t="s">
        <v>172</v>
      </c>
      <c r="B16" s="88"/>
      <c r="C16" s="88" t="s">
        <v>189</v>
      </c>
      <c r="D16" s="88"/>
      <c r="E16" s="88"/>
      <c r="F16" s="88"/>
      <c r="G16" s="88"/>
      <c r="H16" s="88"/>
    </row>
    <row r="17" spans="1:8" ht="15.75" customHeight="1" x14ac:dyDescent="0.25">
      <c r="A17" s="74" t="s">
        <v>11</v>
      </c>
      <c r="B17" s="74"/>
      <c r="C17" s="109" t="s">
        <v>190</v>
      </c>
      <c r="D17" s="109"/>
      <c r="E17" s="74" t="s">
        <v>75</v>
      </c>
      <c r="F17" s="74"/>
      <c r="G17" s="88" t="s">
        <v>186</v>
      </c>
      <c r="H17" s="88"/>
    </row>
    <row r="18" spans="1:8" x14ac:dyDescent="0.25">
      <c r="A18" s="57" t="s">
        <v>13</v>
      </c>
      <c r="B18" s="57"/>
      <c r="C18" s="88" t="s">
        <v>191</v>
      </c>
      <c r="D18" s="88"/>
      <c r="E18" s="74" t="s">
        <v>12</v>
      </c>
      <c r="F18" s="74"/>
      <c r="G18" s="112" t="s">
        <v>188</v>
      </c>
      <c r="H18" s="112"/>
    </row>
    <row r="19" spans="1:8" x14ac:dyDescent="0.25">
      <c r="A19" s="57" t="s">
        <v>76</v>
      </c>
      <c r="B19" s="57"/>
      <c r="C19" s="88" t="s">
        <v>187</v>
      </c>
      <c r="D19" s="88"/>
      <c r="E19" s="74" t="s">
        <v>14</v>
      </c>
      <c r="F19" s="74"/>
      <c r="G19" s="88">
        <v>400104</v>
      </c>
      <c r="H19" s="88"/>
    </row>
    <row r="20" spans="1:8" ht="32.25" customHeight="1" x14ac:dyDescent="0.25">
      <c r="A20" s="57" t="s">
        <v>129</v>
      </c>
      <c r="B20" s="57"/>
      <c r="C20" s="88" t="s">
        <v>192</v>
      </c>
      <c r="D20" s="88"/>
      <c r="E20" s="74" t="s">
        <v>15</v>
      </c>
      <c r="F20" s="74"/>
      <c r="G20" s="88" t="s">
        <v>185</v>
      </c>
      <c r="H20" s="88"/>
    </row>
    <row r="21" spans="1:8" ht="15" customHeight="1" x14ac:dyDescent="0.25">
      <c r="A21" s="74" t="s">
        <v>79</v>
      </c>
      <c r="B21" s="74"/>
      <c r="C21" s="74"/>
      <c r="D21" s="74"/>
      <c r="E21" s="109" t="s">
        <v>16</v>
      </c>
      <c r="F21" s="109"/>
      <c r="G21" s="109"/>
      <c r="H21" s="109"/>
    </row>
    <row r="22" spans="1:8" ht="18.75" customHeight="1" x14ac:dyDescent="0.25">
      <c r="A22" s="74"/>
      <c r="B22" s="74"/>
      <c r="C22" s="74"/>
      <c r="D22" s="74"/>
      <c r="E22" s="109"/>
      <c r="F22" s="109"/>
      <c r="G22" s="109"/>
      <c r="H22" s="109"/>
    </row>
    <row r="23" spans="1:8" ht="15" customHeight="1" x14ac:dyDescent="0.25">
      <c r="A23" s="74" t="s">
        <v>17</v>
      </c>
      <c r="B23" s="74"/>
      <c r="C23" s="74"/>
      <c r="D23" s="74"/>
      <c r="E23" s="88" t="s">
        <v>18</v>
      </c>
      <c r="F23" s="88"/>
      <c r="G23" s="88"/>
      <c r="H23" s="88"/>
    </row>
    <row r="24" spans="1:8" ht="15" customHeight="1" x14ac:dyDescent="0.25">
      <c r="A24" s="57" t="s">
        <v>19</v>
      </c>
      <c r="B24" s="57"/>
      <c r="C24" s="57"/>
      <c r="D24" s="57"/>
      <c r="E24" s="88" t="str">
        <f>IF(AND(G18="Mumbai"),"Upper Class","Middle Class")</f>
        <v>Upper Class</v>
      </c>
      <c r="F24" s="88"/>
      <c r="G24" s="88"/>
      <c r="H24" s="88"/>
    </row>
    <row r="25" spans="1:8" x14ac:dyDescent="0.25">
      <c r="A25" s="57" t="s">
        <v>20</v>
      </c>
      <c r="B25" s="57"/>
      <c r="C25" s="57"/>
      <c r="D25" s="57"/>
      <c r="E25" s="88" t="s">
        <v>21</v>
      </c>
      <c r="F25" s="88"/>
      <c r="G25" s="88"/>
      <c r="H25" s="88"/>
    </row>
    <row r="26" spans="1:8" ht="15.75" customHeight="1" x14ac:dyDescent="0.25">
      <c r="A26" s="57" t="s">
        <v>22</v>
      </c>
      <c r="B26" s="57"/>
      <c r="C26" s="57"/>
      <c r="D26" s="57"/>
      <c r="E26" s="88" t="str">
        <f>IF(AND(G18="Mumbai"),"Developed","Developing")</f>
        <v>Developed</v>
      </c>
      <c r="F26" s="88"/>
      <c r="G26" s="88"/>
      <c r="H26" s="88"/>
    </row>
    <row r="27" spans="1:8" x14ac:dyDescent="0.25">
      <c r="A27" s="57" t="s">
        <v>23</v>
      </c>
      <c r="B27" s="57"/>
      <c r="C27" s="57"/>
      <c r="D27" s="57"/>
      <c r="E27" s="88" t="s">
        <v>24</v>
      </c>
      <c r="F27" s="88"/>
      <c r="G27" s="88"/>
      <c r="H27" s="88"/>
    </row>
    <row r="28" spans="1:8" ht="15.75" customHeight="1" x14ac:dyDescent="0.25">
      <c r="A28" s="57" t="s">
        <v>84</v>
      </c>
      <c r="B28" s="57"/>
      <c r="C28" s="57"/>
      <c r="D28" s="57"/>
      <c r="E28" s="88" t="s">
        <v>85</v>
      </c>
      <c r="F28" s="88"/>
      <c r="G28" s="88"/>
      <c r="H28" s="88"/>
    </row>
    <row r="29" spans="1:8" ht="15" customHeight="1" x14ac:dyDescent="0.25">
      <c r="A29" s="57" t="s">
        <v>33</v>
      </c>
      <c r="B29" s="57"/>
      <c r="C29" s="57"/>
      <c r="D29" s="57"/>
      <c r="E29" s="88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</v>
      </c>
      <c r="F29" s="88"/>
      <c r="G29" s="88"/>
      <c r="H29" s="88"/>
    </row>
    <row r="30" spans="1:8" ht="15.75" customHeight="1" x14ac:dyDescent="0.25">
      <c r="A30" s="57" t="s">
        <v>96</v>
      </c>
      <c r="B30" s="57"/>
      <c r="C30" s="57"/>
      <c r="D30" s="57"/>
      <c r="E30" s="88" t="s">
        <v>34</v>
      </c>
      <c r="F30" s="88"/>
      <c r="G30" s="88"/>
      <c r="H30" s="88"/>
    </row>
    <row r="31" spans="1:8" s="22" customFormat="1" x14ac:dyDescent="0.25">
      <c r="A31" s="116" t="s">
        <v>97</v>
      </c>
      <c r="B31" s="116"/>
      <c r="C31" s="113" t="s">
        <v>29</v>
      </c>
      <c r="D31" s="113"/>
      <c r="E31" s="113"/>
      <c r="F31" s="113" t="s">
        <v>31</v>
      </c>
      <c r="G31" s="113"/>
      <c r="H31" s="113"/>
    </row>
    <row r="32" spans="1:8" s="22" customFormat="1" x14ac:dyDescent="0.25">
      <c r="A32" s="115" t="s">
        <v>25</v>
      </c>
      <c r="B32" s="115" t="s">
        <v>30</v>
      </c>
      <c r="C32" s="114" t="s">
        <v>30</v>
      </c>
      <c r="D32" s="114"/>
      <c r="E32" s="114"/>
      <c r="F32" s="114" t="s">
        <v>195</v>
      </c>
      <c r="G32" s="114"/>
      <c r="H32" s="114"/>
    </row>
    <row r="33" spans="1:8" x14ac:dyDescent="0.25">
      <c r="A33" s="115" t="s">
        <v>26</v>
      </c>
      <c r="B33" s="115" t="s">
        <v>30</v>
      </c>
      <c r="C33" s="114" t="s">
        <v>30</v>
      </c>
      <c r="D33" s="114"/>
      <c r="E33" s="114"/>
      <c r="F33" s="114" t="s">
        <v>197</v>
      </c>
      <c r="G33" s="114"/>
      <c r="H33" s="114"/>
    </row>
    <row r="34" spans="1:8" s="22" customFormat="1" x14ac:dyDescent="0.25">
      <c r="A34" s="115" t="s">
        <v>28</v>
      </c>
      <c r="B34" s="115" t="s">
        <v>30</v>
      </c>
      <c r="C34" s="114" t="s">
        <v>30</v>
      </c>
      <c r="D34" s="114"/>
      <c r="E34" s="114"/>
      <c r="F34" s="114" t="s">
        <v>196</v>
      </c>
      <c r="G34" s="114"/>
      <c r="H34" s="114"/>
    </row>
    <row r="35" spans="1:8" x14ac:dyDescent="0.25">
      <c r="A35" s="115" t="s">
        <v>27</v>
      </c>
      <c r="B35" s="115" t="s">
        <v>30</v>
      </c>
      <c r="C35" s="114" t="s">
        <v>30</v>
      </c>
      <c r="D35" s="114"/>
      <c r="E35" s="114"/>
      <c r="F35" s="114" t="s">
        <v>190</v>
      </c>
      <c r="G35" s="114"/>
      <c r="H35" s="114"/>
    </row>
    <row r="36" spans="1:8" x14ac:dyDescent="0.25">
      <c r="A36" s="57" t="s">
        <v>32</v>
      </c>
      <c r="B36" s="57"/>
      <c r="C36" s="57"/>
      <c r="D36" s="57"/>
      <c r="E36" s="57"/>
      <c r="F36" s="57"/>
      <c r="G36" s="57"/>
      <c r="H36" s="57"/>
    </row>
    <row r="37" spans="1:8" ht="15.75" customHeight="1" x14ac:dyDescent="0.25">
      <c r="A37" s="57" t="s">
        <v>175</v>
      </c>
      <c r="B37" s="57"/>
      <c r="C37" s="59" t="s">
        <v>194</v>
      </c>
      <c r="D37" s="59"/>
      <c r="E37" s="59"/>
      <c r="F37" s="59"/>
      <c r="G37" s="59"/>
      <c r="H37" s="59"/>
    </row>
    <row r="38" spans="1:8" x14ac:dyDescent="0.25">
      <c r="A38" s="57" t="s">
        <v>171</v>
      </c>
      <c r="B38" s="57"/>
      <c r="C38" s="137" t="s">
        <v>193</v>
      </c>
      <c r="D38" s="88"/>
      <c r="E38" s="88"/>
      <c r="F38" s="88"/>
      <c r="G38" s="88"/>
      <c r="H38" s="88"/>
    </row>
    <row r="39" spans="1:8" x14ac:dyDescent="0.25">
      <c r="A39" s="59" t="s">
        <v>35</v>
      </c>
      <c r="B39" s="59"/>
      <c r="C39" s="59"/>
      <c r="D39" s="59"/>
      <c r="E39" s="59"/>
      <c r="F39" s="59"/>
      <c r="G39" s="59"/>
      <c r="H39" s="59"/>
    </row>
    <row r="40" spans="1:8" x14ac:dyDescent="0.25">
      <c r="A40" s="57" t="s">
        <v>36</v>
      </c>
      <c r="B40" s="57"/>
      <c r="C40" s="57"/>
      <c r="D40" s="57"/>
      <c r="E40" s="136">
        <v>1487.32</v>
      </c>
      <c r="F40" s="136"/>
      <c r="G40" s="136"/>
      <c r="H40" s="136"/>
    </row>
    <row r="41" spans="1:8" x14ac:dyDescent="0.25">
      <c r="A41" s="57" t="s">
        <v>37</v>
      </c>
      <c r="B41" s="57"/>
      <c r="C41" s="57"/>
      <c r="D41" s="57"/>
      <c r="E41" s="135">
        <v>3</v>
      </c>
      <c r="F41" s="135"/>
      <c r="G41" s="135"/>
      <c r="H41" s="135"/>
    </row>
    <row r="42" spans="1:8" x14ac:dyDescent="0.25">
      <c r="A42" s="57" t="s">
        <v>38</v>
      </c>
      <c r="B42" s="57"/>
      <c r="C42" s="57"/>
      <c r="D42" s="57"/>
      <c r="E42" s="135">
        <f>E44/E40-E41</f>
        <v>3.8771145415915873</v>
      </c>
      <c r="F42" s="135"/>
      <c r="G42" s="135"/>
      <c r="H42" s="135"/>
    </row>
    <row r="43" spans="1:8" x14ac:dyDescent="0.25">
      <c r="A43" s="57" t="s">
        <v>39</v>
      </c>
      <c r="B43" s="57"/>
      <c r="C43" s="57"/>
      <c r="D43" s="57"/>
      <c r="E43" s="135">
        <f>E41+E42</f>
        <v>6.8771145415915873</v>
      </c>
      <c r="F43" s="135"/>
      <c r="G43" s="135"/>
      <c r="H43" s="135"/>
    </row>
    <row r="44" spans="1:8" x14ac:dyDescent="0.25">
      <c r="A44" s="57" t="s">
        <v>95</v>
      </c>
      <c r="B44" s="57"/>
      <c r="C44" s="57"/>
      <c r="D44" s="57"/>
      <c r="E44" s="149">
        <v>10228.469999999999</v>
      </c>
      <c r="F44" s="149"/>
      <c r="G44" s="149"/>
      <c r="H44" s="149"/>
    </row>
    <row r="45" spans="1:8" x14ac:dyDescent="0.25">
      <c r="A45" s="109" t="s">
        <v>40</v>
      </c>
      <c r="B45" s="109"/>
      <c r="C45" s="109"/>
      <c r="D45" s="109"/>
      <c r="E45" s="109" t="s">
        <v>127</v>
      </c>
      <c r="F45" s="109"/>
      <c r="G45" s="109"/>
      <c r="H45" s="109"/>
    </row>
    <row r="46" spans="1:8" x14ac:dyDescent="0.25">
      <c r="A46" s="59" t="s">
        <v>41</v>
      </c>
      <c r="B46" s="59"/>
      <c r="C46" s="59"/>
      <c r="D46" s="59"/>
      <c r="E46" s="59"/>
      <c r="F46" s="59"/>
      <c r="G46" s="59"/>
      <c r="H46" s="59"/>
    </row>
    <row r="47" spans="1:8" ht="33.75" customHeight="1" x14ac:dyDescent="0.25">
      <c r="A47" s="129" t="s">
        <v>158</v>
      </c>
      <c r="B47" s="131"/>
      <c r="C47" s="156" t="s">
        <v>184</v>
      </c>
      <c r="D47" s="157"/>
      <c r="E47" s="157"/>
      <c r="F47" s="157"/>
      <c r="G47" s="157"/>
      <c r="H47" s="158"/>
    </row>
    <row r="48" spans="1:8" ht="15.75" customHeight="1" x14ac:dyDescent="0.25">
      <c r="A48" s="129" t="s">
        <v>42</v>
      </c>
      <c r="B48" s="131"/>
      <c r="C48" s="129" t="s">
        <v>198</v>
      </c>
      <c r="D48" s="130"/>
      <c r="E48" s="131"/>
      <c r="F48" s="18" t="s">
        <v>43</v>
      </c>
      <c r="G48" s="123">
        <v>44967</v>
      </c>
      <c r="H48" s="131"/>
    </row>
    <row r="49" spans="1:14" x14ac:dyDescent="0.25">
      <c r="A49" s="129" t="s">
        <v>44</v>
      </c>
      <c r="B49" s="131"/>
      <c r="C49" s="129" t="str">
        <f>C48</f>
        <v>MHADA-51/1365/2023</v>
      </c>
      <c r="D49" s="130"/>
      <c r="E49" s="131"/>
      <c r="F49" s="18" t="s">
        <v>43</v>
      </c>
      <c r="G49" s="123">
        <f>G48</f>
        <v>44967</v>
      </c>
      <c r="H49" s="124"/>
    </row>
    <row r="50" spans="1:14" s="23" customFormat="1" ht="30.75" customHeight="1" x14ac:dyDescent="0.25">
      <c r="A50" s="125" t="s">
        <v>162</v>
      </c>
      <c r="B50" s="126"/>
      <c r="C50" s="129" t="s">
        <v>202</v>
      </c>
      <c r="D50" s="130"/>
      <c r="E50" s="131"/>
      <c r="F50" s="18" t="s">
        <v>43</v>
      </c>
      <c r="G50" s="123">
        <v>45035</v>
      </c>
      <c r="H50" s="131"/>
    </row>
    <row r="51" spans="1:14" s="23" customFormat="1" ht="66" customHeight="1" x14ac:dyDescent="0.25">
      <c r="A51" s="127"/>
      <c r="B51" s="128"/>
      <c r="C51" s="129" t="s">
        <v>201</v>
      </c>
      <c r="D51" s="130"/>
      <c r="E51" s="131"/>
      <c r="F51" s="18" t="s">
        <v>128</v>
      </c>
      <c r="G51" s="123">
        <v>45449</v>
      </c>
      <c r="H51" s="131"/>
    </row>
    <row r="52" spans="1:14" s="23" customFormat="1" ht="30.75" customHeight="1" x14ac:dyDescent="0.25">
      <c r="A52" s="125" t="s">
        <v>162</v>
      </c>
      <c r="B52" s="126"/>
      <c r="C52" s="129" t="s">
        <v>229</v>
      </c>
      <c r="D52" s="130"/>
      <c r="E52" s="131"/>
      <c r="F52" s="18" t="s">
        <v>43</v>
      </c>
      <c r="G52" s="123">
        <v>45407</v>
      </c>
      <c r="H52" s="131"/>
    </row>
    <row r="53" spans="1:14" s="23" customFormat="1" ht="99.75" customHeight="1" x14ac:dyDescent="0.25">
      <c r="A53" s="127"/>
      <c r="B53" s="128"/>
      <c r="C53" s="129" t="s">
        <v>230</v>
      </c>
      <c r="D53" s="130"/>
      <c r="E53" s="131"/>
      <c r="F53" s="18" t="s">
        <v>128</v>
      </c>
      <c r="G53" s="123">
        <v>45449</v>
      </c>
      <c r="H53" s="131"/>
    </row>
    <row r="54" spans="1:14" s="23" customFormat="1" ht="30.75" customHeight="1" x14ac:dyDescent="0.25">
      <c r="A54" s="125" t="s">
        <v>162</v>
      </c>
      <c r="B54" s="126"/>
      <c r="C54" s="129" t="s">
        <v>231</v>
      </c>
      <c r="D54" s="130"/>
      <c r="E54" s="131"/>
      <c r="F54" s="18" t="s">
        <v>43</v>
      </c>
      <c r="G54" s="123">
        <v>45492</v>
      </c>
      <c r="H54" s="131"/>
    </row>
    <row r="55" spans="1:14" s="23" customFormat="1" ht="62.25" customHeight="1" x14ac:dyDescent="0.25">
      <c r="A55" s="127"/>
      <c r="B55" s="128"/>
      <c r="C55" s="129" t="s">
        <v>232</v>
      </c>
      <c r="D55" s="130"/>
      <c r="E55" s="131"/>
      <c r="F55" s="18" t="s">
        <v>128</v>
      </c>
      <c r="G55" s="123">
        <v>45814</v>
      </c>
      <c r="H55" s="131"/>
    </row>
    <row r="56" spans="1:14" x14ac:dyDescent="0.25">
      <c r="A56" s="132" t="s">
        <v>45</v>
      </c>
      <c r="B56" s="133"/>
      <c r="C56" s="132" t="s">
        <v>109</v>
      </c>
      <c r="D56" s="134"/>
      <c r="E56" s="133"/>
      <c r="F56" s="46" t="s">
        <v>43</v>
      </c>
      <c r="G56" s="117" t="s">
        <v>30</v>
      </c>
      <c r="H56" s="118"/>
    </row>
    <row r="57" spans="1:14" x14ac:dyDescent="0.25">
      <c r="A57" s="80" t="s">
        <v>47</v>
      </c>
      <c r="B57" s="80"/>
      <c r="C57" s="80"/>
      <c r="D57" s="80"/>
      <c r="E57" s="80"/>
      <c r="F57" s="80"/>
      <c r="G57" s="80"/>
      <c r="H57" s="80"/>
    </row>
    <row r="58" spans="1:14" x14ac:dyDescent="0.25">
      <c r="A58" s="74" t="s">
        <v>94</v>
      </c>
      <c r="B58" s="74"/>
      <c r="C58" s="74"/>
      <c r="D58" s="57">
        <f>E44</f>
        <v>10228.469999999999</v>
      </c>
      <c r="E58" s="57"/>
      <c r="F58" s="57"/>
      <c r="G58" s="57"/>
      <c r="H58" s="57"/>
    </row>
    <row r="59" spans="1:14" x14ac:dyDescent="0.25">
      <c r="A59" s="88" t="s">
        <v>48</v>
      </c>
      <c r="B59" s="109"/>
      <c r="C59" s="109"/>
      <c r="D59" s="109" t="s">
        <v>224</v>
      </c>
      <c r="E59" s="109"/>
      <c r="F59" s="109"/>
      <c r="G59" s="109"/>
      <c r="H59" s="109"/>
      <c r="I59" s="24"/>
    </row>
    <row r="60" spans="1:14" x14ac:dyDescent="0.25">
      <c r="A60" s="120" t="s">
        <v>49</v>
      </c>
      <c r="B60" s="121"/>
      <c r="C60" s="122"/>
      <c r="D60" s="90" t="s">
        <v>205</v>
      </c>
      <c r="E60" s="119"/>
      <c r="F60" s="119"/>
      <c r="G60" s="119"/>
      <c r="H60" s="119"/>
    </row>
    <row r="61" spans="1:14" ht="15.75" customHeight="1" x14ac:dyDescent="0.25">
      <c r="A61" s="120" t="s">
        <v>92</v>
      </c>
      <c r="B61" s="121"/>
      <c r="C61" s="121"/>
      <c r="D61" s="109" t="s">
        <v>240</v>
      </c>
      <c r="E61" s="109"/>
      <c r="F61" s="109"/>
      <c r="G61" s="109"/>
      <c r="H61" s="109"/>
    </row>
    <row r="62" spans="1:14" ht="15.75" customHeight="1" x14ac:dyDescent="0.25">
      <c r="A62" s="57" t="s">
        <v>46</v>
      </c>
      <c r="B62" s="57"/>
      <c r="C62" s="57"/>
      <c r="D62" s="159" t="s">
        <v>199</v>
      </c>
      <c r="E62" s="159"/>
      <c r="F62" s="159"/>
      <c r="G62" s="159"/>
      <c r="H62" s="159"/>
      <c r="J62" s="25"/>
      <c r="K62" s="24"/>
      <c r="N62" s="24"/>
    </row>
    <row r="63" spans="1:14" ht="15.75" customHeight="1" x14ac:dyDescent="0.25">
      <c r="A63" s="57" t="s">
        <v>90</v>
      </c>
      <c r="B63" s="57"/>
      <c r="C63" s="57"/>
      <c r="D63" s="148" t="str">
        <f>(IF(G56="NA","60 Years After Completion",IF(G56&lt;&gt;"NA",""&amp;60-ROUNDDOWN((E3-G56)/360,0)&amp;" Years"," ")))</f>
        <v>60 Years After Completion</v>
      </c>
      <c r="E63" s="148"/>
      <c r="F63" s="148"/>
      <c r="G63" s="148"/>
      <c r="H63" s="148"/>
      <c r="N63" s="24"/>
    </row>
    <row r="64" spans="1:14" ht="15.75" customHeight="1" x14ac:dyDescent="0.25">
      <c r="A64" s="57" t="s">
        <v>91</v>
      </c>
      <c r="B64" s="57"/>
      <c r="C64" s="57"/>
      <c r="D64" s="74" t="s">
        <v>24</v>
      </c>
      <c r="E64" s="74"/>
      <c r="F64" s="74"/>
      <c r="G64" s="74"/>
      <c r="H64" s="74"/>
      <c r="J64" s="26"/>
      <c r="K64" s="26"/>
    </row>
    <row r="65" spans="1:14" ht="48" customHeight="1" x14ac:dyDescent="0.25">
      <c r="A65" s="57" t="s">
        <v>77</v>
      </c>
      <c r="B65" s="57"/>
      <c r="C65" s="57"/>
      <c r="D65" s="88" t="s">
        <v>207</v>
      </c>
      <c r="E65" s="74"/>
      <c r="F65" s="74"/>
      <c r="G65" s="74"/>
      <c r="H65" s="74"/>
    </row>
    <row r="66" spans="1:14" x14ac:dyDescent="0.25">
      <c r="A66" s="74" t="s">
        <v>155</v>
      </c>
      <c r="B66" s="74"/>
      <c r="C66" s="74"/>
      <c r="D66" s="74" t="s">
        <v>30</v>
      </c>
      <c r="E66" s="74"/>
      <c r="F66" s="74"/>
      <c r="G66" s="74"/>
      <c r="H66" s="74"/>
      <c r="I66" s="27"/>
      <c r="J66" s="27"/>
      <c r="K66" s="27"/>
      <c r="L66" s="27"/>
      <c r="M66" s="27"/>
      <c r="N66" s="27"/>
    </row>
    <row r="67" spans="1:14" ht="15.75" customHeight="1" x14ac:dyDescent="0.25">
      <c r="A67" s="91" t="s">
        <v>89</v>
      </c>
      <c r="B67" s="91"/>
      <c r="C67" s="91"/>
      <c r="D67" s="90" t="str">
        <f ca="1">(IF(G73&gt;95%,"Nothing",IF(G73&gt;0%,"Cement, Aggregate, Steel, etc",IF(G73=0%,"Work not yet Started"))))</f>
        <v>Cement, Aggregate, Steel, etc</v>
      </c>
      <c r="E67" s="90"/>
      <c r="F67" s="90"/>
      <c r="G67" s="90"/>
      <c r="H67" s="90"/>
      <c r="J67" s="26"/>
    </row>
    <row r="68" spans="1:14" ht="33.75" customHeight="1" thickBot="1" x14ac:dyDescent="0.3">
      <c r="A68" s="89" t="s">
        <v>122</v>
      </c>
      <c r="B68" s="89"/>
      <c r="C68" s="89"/>
      <c r="D68" s="90" t="str">
        <f ca="1">(IF(D67="Nothing","Yes",IF(D67="Cement, Aggregate, Steel, etc","Under Construction",IF(D67="Work not yet Started","Work not yet Started"))))</f>
        <v>Under Construction</v>
      </c>
      <c r="E68" s="90"/>
      <c r="F68" s="90" t="str">
        <f ca="1">(IF(D67="Nothing","Yes",IF(D67="Cement, Aggregate, Steel, etc","Under Construction",IF(D67="Work not yet Started","Work not yet Started"))))</f>
        <v>Under Construction</v>
      </c>
      <c r="G68" s="90"/>
      <c r="H68" s="90"/>
    </row>
    <row r="69" spans="1:14" ht="15.75" customHeight="1" x14ac:dyDescent="0.25">
      <c r="A69" s="151" t="s">
        <v>147</v>
      </c>
      <c r="B69" s="152"/>
      <c r="C69" s="153" t="s">
        <v>206</v>
      </c>
      <c r="D69" s="154"/>
      <c r="E69" s="154"/>
      <c r="F69" s="154"/>
      <c r="G69" s="154"/>
      <c r="H69" s="155"/>
      <c r="I69" s="48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Plaster, External Plaster, Flooring Completed, Painting upto 15 Floor, Finishing upto 10 Floor Completed</v>
      </c>
      <c r="J69" s="49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Painting upto 15 Floor, Finishing upto 10 Floor</v>
      </c>
    </row>
    <row r="70" spans="1:14" s="23" customFormat="1" x14ac:dyDescent="0.25">
      <c r="A70" s="16" t="s">
        <v>149</v>
      </c>
      <c r="B70" s="52">
        <v>1</v>
      </c>
      <c r="C70" s="52" t="s">
        <v>74</v>
      </c>
      <c r="D70" s="52">
        <v>1</v>
      </c>
      <c r="E70" s="52" t="s">
        <v>73</v>
      </c>
      <c r="F70" s="52">
        <v>0</v>
      </c>
      <c r="G70" s="52" t="s">
        <v>83</v>
      </c>
      <c r="H70" s="17">
        <f ca="1">--TRIM(RIGHT(SUBSTITUTE(LEFT(C69,_xlfn.AGGREGATE(16,6,FIND({0,1,2,3,4,5,6,7,8,9},C69,ROW(INDIRECT("1:"&amp;LEN(C69)))),1))," ",REPT(" ",LEN(C69))),LEN(C69)))</f>
        <v>22</v>
      </c>
      <c r="I70" s="53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Plaster, External Plaster, Flooring</v>
      </c>
      <c r="J70" s="54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48.75" customHeight="1" x14ac:dyDescent="0.25">
      <c r="A71" s="150" t="s">
        <v>93</v>
      </c>
      <c r="B71" s="110"/>
      <c r="C71" s="106" t="str">
        <f ca="1">I69</f>
        <v>Excavation, Plinth, RCC Slab, Brickwork, Internal Plaster, External Plaster, Flooring Completed, Painting upto 15 Floor, Finishing upto 10 Floor Completed</v>
      </c>
      <c r="D71" s="106"/>
      <c r="E71" s="106"/>
      <c r="F71" s="106"/>
      <c r="G71" s="106"/>
      <c r="H71" s="107"/>
      <c r="I71" s="50" t="str">
        <f ca="1">IF(I70&lt;&gt;""," Completed","")</f>
        <v xml:space="preserve"> Completed</v>
      </c>
      <c r="J71" s="51" t="str">
        <f ca="1">IF(J69&lt;&gt;"","Completed","")</f>
        <v>Completed</v>
      </c>
    </row>
    <row r="72" spans="1:14" ht="15.75" customHeight="1" x14ac:dyDescent="0.25">
      <c r="A72" s="92" t="s">
        <v>50</v>
      </c>
      <c r="B72" s="93"/>
      <c r="C72" s="44" t="s">
        <v>146</v>
      </c>
      <c r="D72" s="44" t="s">
        <v>86</v>
      </c>
      <c r="E72" s="93" t="s">
        <v>88</v>
      </c>
      <c r="F72" s="93"/>
      <c r="G72" s="93" t="s">
        <v>87</v>
      </c>
      <c r="H72" s="94"/>
      <c r="I72" s="14" t="s">
        <v>148</v>
      </c>
      <c r="J72" s="28">
        <f ca="1">H70*25%</f>
        <v>5.5</v>
      </c>
    </row>
    <row r="73" spans="1:14" x14ac:dyDescent="0.25">
      <c r="A73" s="92" t="s">
        <v>135</v>
      </c>
      <c r="B73" s="93"/>
      <c r="C73" s="44">
        <f ca="1">J74</f>
        <v>22</v>
      </c>
      <c r="D73" s="19">
        <f ca="1">((100/H70)*C73)/100</f>
        <v>1.0000000000000002</v>
      </c>
      <c r="E73" s="95">
        <f ca="1">(((C74/H70*10)+(40/(D70+F70+H70)*C75)+(7.5/(H70)*C76)+(7.5/(H70)*C77)+(10/H70*C78)+(10/H70*C79)+(5/H70*C80)+(5/H70*C81)+(5/H70*C82))/100)</f>
        <v>0.90681818181818175</v>
      </c>
      <c r="F73" s="96"/>
      <c r="G73" s="95">
        <f ca="1">((((C73/H70)*20)+((C74/H70)*25)+(30/(H70+F70+D70)*C75)+(5/H70*C76)+(5/H70*C77)+(5/H70*C78)+(5/H70*C79)+(0/H70*C80)+(0/H70*C81)+(5/H70*C82))/100)</f>
        <v>0.95</v>
      </c>
      <c r="H73" s="101"/>
      <c r="I73" s="14" t="s">
        <v>104</v>
      </c>
      <c r="J73" s="29">
        <f ca="1">H70*50%</f>
        <v>11</v>
      </c>
    </row>
    <row r="74" spans="1:14" x14ac:dyDescent="0.25">
      <c r="A74" s="92" t="s">
        <v>51</v>
      </c>
      <c r="B74" s="93"/>
      <c r="C74" s="44">
        <f ca="1">J82</f>
        <v>22</v>
      </c>
      <c r="D74" s="19">
        <f ca="1">((100/H70)*C74)/100</f>
        <v>1.0000000000000002</v>
      </c>
      <c r="E74" s="97"/>
      <c r="F74" s="98"/>
      <c r="G74" s="97"/>
      <c r="H74" s="102"/>
      <c r="I74" s="14" t="s">
        <v>105</v>
      </c>
      <c r="J74" s="29">
        <f ca="1">H70</f>
        <v>22</v>
      </c>
    </row>
    <row r="75" spans="1:14" ht="15.75" customHeight="1" x14ac:dyDescent="0.25">
      <c r="A75" s="92" t="s">
        <v>136</v>
      </c>
      <c r="B75" s="93"/>
      <c r="C75" s="44">
        <v>23</v>
      </c>
      <c r="D75" s="19">
        <f ca="1">((100/(D70+F70+H70))*C75)/100</f>
        <v>1</v>
      </c>
      <c r="E75" s="97"/>
      <c r="F75" s="98"/>
      <c r="G75" s="97"/>
      <c r="H75" s="102"/>
      <c r="I75" s="14" t="s">
        <v>106</v>
      </c>
      <c r="J75" s="30">
        <f ca="1">(IF(B70&gt;1,(H70/(B70+2)),H70/4))</f>
        <v>5.5</v>
      </c>
    </row>
    <row r="76" spans="1:14" ht="15.75" customHeight="1" x14ac:dyDescent="0.25">
      <c r="A76" s="92" t="s">
        <v>143</v>
      </c>
      <c r="B76" s="93" t="s">
        <v>137</v>
      </c>
      <c r="C76" s="44">
        <v>22</v>
      </c>
      <c r="D76" s="19">
        <f ca="1">((100/H70)*C76)/100</f>
        <v>1.0000000000000002</v>
      </c>
      <c r="E76" s="97"/>
      <c r="F76" s="98"/>
      <c r="G76" s="97"/>
      <c r="H76" s="102"/>
      <c r="I76" s="14" t="s">
        <v>107</v>
      </c>
      <c r="J76" s="30">
        <f ca="1">(IF(B70&gt;1,(H70/(B70+2)+J75),H70/4+J75))</f>
        <v>11</v>
      </c>
    </row>
    <row r="77" spans="1:14" ht="15.75" customHeight="1" x14ac:dyDescent="0.25">
      <c r="A77" s="92" t="s">
        <v>144</v>
      </c>
      <c r="B77" s="93" t="s">
        <v>137</v>
      </c>
      <c r="C77" s="44">
        <v>22</v>
      </c>
      <c r="D77" s="19">
        <f ca="1">((100/H70)*C77)/100</f>
        <v>1.0000000000000002</v>
      </c>
      <c r="E77" s="97"/>
      <c r="F77" s="98"/>
      <c r="G77" s="97"/>
      <c r="H77" s="102"/>
      <c r="I77" s="14" t="s">
        <v>153</v>
      </c>
      <c r="J77" s="30">
        <f>(IF(B70&gt;1,(H70/(B70+2)+J76),0))</f>
        <v>0</v>
      </c>
    </row>
    <row r="78" spans="1:14" ht="15" customHeight="1" x14ac:dyDescent="0.25">
      <c r="A78" s="92" t="s">
        <v>142</v>
      </c>
      <c r="B78" s="93" t="s">
        <v>139</v>
      </c>
      <c r="C78" s="44">
        <v>22</v>
      </c>
      <c r="D78" s="19">
        <f ca="1">((100/(H70))*C78)/100</f>
        <v>1.0000000000000002</v>
      </c>
      <c r="E78" s="97"/>
      <c r="F78" s="98"/>
      <c r="G78" s="97"/>
      <c r="H78" s="102"/>
      <c r="I78" s="14" t="s">
        <v>150</v>
      </c>
      <c r="J78" s="30">
        <f>(IF(B70&gt;2,(H70/(B70+2)+J77),0))</f>
        <v>0</v>
      </c>
    </row>
    <row r="79" spans="1:14" ht="15.75" customHeight="1" x14ac:dyDescent="0.25">
      <c r="A79" s="92" t="s">
        <v>138</v>
      </c>
      <c r="B79" s="93" t="s">
        <v>138</v>
      </c>
      <c r="C79" s="44">
        <v>22</v>
      </c>
      <c r="D79" s="19">
        <f ca="1">((100/H70)*C79)/100</f>
        <v>1.0000000000000002</v>
      </c>
      <c r="E79" s="97"/>
      <c r="F79" s="98"/>
      <c r="G79" s="97"/>
      <c r="H79" s="102"/>
      <c r="I79" s="14" t="s">
        <v>151</v>
      </c>
      <c r="J79" s="31">
        <f>(IF(B70&gt;3,(H70/(B70+2)+J78),0))</f>
        <v>0</v>
      </c>
    </row>
    <row r="80" spans="1:14" ht="15.75" customHeight="1" x14ac:dyDescent="0.25">
      <c r="A80" s="92" t="s">
        <v>145</v>
      </c>
      <c r="B80" s="93"/>
      <c r="C80" s="44">
        <v>15</v>
      </c>
      <c r="D80" s="19">
        <f ca="1">((100/H70)*C80)/100</f>
        <v>0.68181818181818188</v>
      </c>
      <c r="E80" s="97"/>
      <c r="F80" s="98"/>
      <c r="G80" s="97"/>
      <c r="H80" s="102"/>
      <c r="I80" s="14" t="s">
        <v>152</v>
      </c>
      <c r="J80" s="30">
        <f>(IF(B70&gt;4,(H70/(B70+2)+J79),0))</f>
        <v>0</v>
      </c>
    </row>
    <row r="81" spans="1:10" ht="15.75" customHeight="1" x14ac:dyDescent="0.25">
      <c r="A81" s="92" t="s">
        <v>140</v>
      </c>
      <c r="B81" s="93" t="s">
        <v>140</v>
      </c>
      <c r="C81" s="44">
        <v>10</v>
      </c>
      <c r="D81" s="19">
        <f ca="1">((100/(H70))*C81)/100</f>
        <v>0.45454545454545459</v>
      </c>
      <c r="E81" s="97"/>
      <c r="F81" s="98"/>
      <c r="G81" s="97"/>
      <c r="H81" s="102"/>
      <c r="I81" s="14" t="s">
        <v>154</v>
      </c>
      <c r="J81" s="30">
        <f ca="1">(IF(B70=1,(H70/(B70+3)+J76),IF(B70=0,(H70/4+J76),IF(B70&gt;1,0))))</f>
        <v>16.5</v>
      </c>
    </row>
    <row r="82" spans="1:10" ht="16.5" thickBot="1" x14ac:dyDescent="0.3">
      <c r="A82" s="104" t="s">
        <v>141</v>
      </c>
      <c r="B82" s="105"/>
      <c r="C82" s="45">
        <v>0</v>
      </c>
      <c r="D82" s="20">
        <f ca="1">((100/(H70))*C82)/100</f>
        <v>0</v>
      </c>
      <c r="E82" s="99"/>
      <c r="F82" s="100"/>
      <c r="G82" s="99"/>
      <c r="H82" s="103"/>
      <c r="I82" s="15" t="s">
        <v>108</v>
      </c>
      <c r="J82" s="32">
        <f ca="1">(IF(B70&gt;1.5,(H70/(B70+2)+J76+MAX(0,J77-J76)+MAX(0,J78-J77)+MAX(0,J79-J78)+MAX(0,J80-J79)+MAX(0,J81-J80)),IF(B70=1,(H70/(B70+3)+J81),IF(B70=0,H70/4+J81))))</f>
        <v>22</v>
      </c>
    </row>
    <row r="83" spans="1:10" x14ac:dyDescent="0.25">
      <c r="A83" s="143" t="s">
        <v>164</v>
      </c>
      <c r="B83" s="143"/>
      <c r="C83" s="143"/>
      <c r="D83" s="143"/>
      <c r="E83" s="143"/>
      <c r="F83" s="146" t="s">
        <v>169</v>
      </c>
      <c r="G83" s="146"/>
      <c r="H83" s="146"/>
    </row>
    <row r="84" spans="1:10" x14ac:dyDescent="0.25">
      <c r="A84" s="57" t="s">
        <v>167</v>
      </c>
      <c r="B84" s="57"/>
      <c r="C84" s="57"/>
      <c r="D84" s="57"/>
      <c r="E84" s="57"/>
      <c r="F84" s="58">
        <v>14000</v>
      </c>
      <c r="G84" s="58"/>
      <c r="H84" s="58"/>
    </row>
    <row r="85" spans="1:10" hidden="1" x14ac:dyDescent="0.25">
      <c r="A85" s="57" t="s">
        <v>166</v>
      </c>
      <c r="B85" s="57"/>
      <c r="C85" s="57"/>
      <c r="D85" s="57"/>
      <c r="E85" s="57"/>
      <c r="F85" s="58"/>
      <c r="G85" s="58"/>
      <c r="H85" s="58"/>
    </row>
    <row r="86" spans="1:10" hidden="1" x14ac:dyDescent="0.25">
      <c r="A86" s="57" t="s">
        <v>168</v>
      </c>
      <c r="B86" s="57"/>
      <c r="C86" s="57"/>
      <c r="D86" s="57"/>
      <c r="E86" s="57"/>
      <c r="F86" s="58"/>
      <c r="G86" s="58"/>
      <c r="H86" s="58"/>
    </row>
    <row r="87" spans="1:10" s="33" customFormat="1" hidden="1" x14ac:dyDescent="0.25">
      <c r="A87" s="57" t="s">
        <v>165</v>
      </c>
      <c r="B87" s="57"/>
      <c r="C87" s="57"/>
      <c r="D87" s="57"/>
      <c r="E87" s="57"/>
      <c r="F87" s="58"/>
      <c r="G87" s="58"/>
      <c r="H87" s="58"/>
    </row>
    <row r="88" spans="1:10" s="33" customFormat="1" hidden="1" x14ac:dyDescent="0.25">
      <c r="A88" s="57" t="s">
        <v>98</v>
      </c>
      <c r="B88" s="57"/>
      <c r="C88" s="57"/>
      <c r="D88" s="57"/>
      <c r="E88" s="57"/>
      <c r="F88" s="58"/>
      <c r="G88" s="58"/>
      <c r="H88" s="58"/>
    </row>
    <row r="89" spans="1:10" s="33" customFormat="1" hidden="1" x14ac:dyDescent="0.25">
      <c r="A89" s="57" t="s">
        <v>99</v>
      </c>
      <c r="B89" s="57"/>
      <c r="C89" s="57"/>
      <c r="D89" s="57"/>
      <c r="E89" s="57"/>
      <c r="F89" s="58"/>
      <c r="G89" s="58"/>
      <c r="H89" s="58"/>
    </row>
    <row r="90" spans="1:10" s="33" customFormat="1" hidden="1" x14ac:dyDescent="0.25">
      <c r="A90" s="57" t="s">
        <v>170</v>
      </c>
      <c r="B90" s="57"/>
      <c r="C90" s="57"/>
      <c r="D90" s="57"/>
      <c r="E90" s="57"/>
      <c r="F90" s="58"/>
      <c r="G90" s="58"/>
      <c r="H90" s="58"/>
    </row>
    <row r="91" spans="1:10" s="33" customFormat="1" hidden="1" x14ac:dyDescent="0.25">
      <c r="A91" s="57" t="s">
        <v>100</v>
      </c>
      <c r="B91" s="57"/>
      <c r="C91" s="57"/>
      <c r="D91" s="57"/>
      <c r="E91" s="57"/>
      <c r="F91" s="58"/>
      <c r="G91" s="58"/>
      <c r="H91" s="58"/>
    </row>
    <row r="92" spans="1:10" s="33" customFormat="1" hidden="1" x14ac:dyDescent="0.25">
      <c r="A92" s="57" t="s">
        <v>101</v>
      </c>
      <c r="B92" s="57"/>
      <c r="C92" s="57"/>
      <c r="D92" s="57"/>
      <c r="E92" s="57"/>
      <c r="F92" s="58"/>
      <c r="G92" s="58"/>
      <c r="H92" s="58"/>
    </row>
    <row r="93" spans="1:10" s="33" customFormat="1" hidden="1" x14ac:dyDescent="0.25">
      <c r="A93" s="57" t="s">
        <v>102</v>
      </c>
      <c r="B93" s="57"/>
      <c r="C93" s="57"/>
      <c r="D93" s="57"/>
      <c r="E93" s="57"/>
      <c r="F93" s="58"/>
      <c r="G93" s="58"/>
      <c r="H93" s="58"/>
    </row>
    <row r="94" spans="1:10" s="33" customFormat="1" hidden="1" x14ac:dyDescent="0.25">
      <c r="A94" s="57" t="s">
        <v>103</v>
      </c>
      <c r="B94" s="57"/>
      <c r="C94" s="57"/>
      <c r="D94" s="57"/>
      <c r="E94" s="57"/>
      <c r="F94" s="58"/>
      <c r="G94" s="58"/>
      <c r="H94" s="58"/>
    </row>
    <row r="95" spans="1:10" x14ac:dyDescent="0.25">
      <c r="A95" s="57" t="s">
        <v>52</v>
      </c>
      <c r="B95" s="57"/>
      <c r="C95" s="57"/>
      <c r="D95" s="57"/>
      <c r="E95" s="57"/>
      <c r="F95" s="58">
        <v>800000</v>
      </c>
      <c r="G95" s="58"/>
      <c r="H95" s="58"/>
    </row>
    <row r="96" spans="1:10" s="34" customFormat="1" x14ac:dyDescent="0.25">
      <c r="A96" s="59" t="s">
        <v>53</v>
      </c>
      <c r="B96" s="59"/>
      <c r="C96" s="59"/>
      <c r="D96" s="59"/>
      <c r="E96" s="59"/>
      <c r="F96" s="58">
        <f>F84*0.8</f>
        <v>11200</v>
      </c>
      <c r="G96" s="58"/>
      <c r="H96" s="58"/>
    </row>
    <row r="97" spans="1:10" s="35" customFormat="1" ht="15.75" hidden="1" customHeight="1" x14ac:dyDescent="0.25">
      <c r="A97" s="73" t="s">
        <v>78</v>
      </c>
      <c r="B97" s="73"/>
      <c r="C97" s="73"/>
      <c r="D97" s="73"/>
      <c r="E97" s="73"/>
      <c r="F97" s="73"/>
      <c r="G97" s="73"/>
      <c r="H97" s="73"/>
    </row>
    <row r="98" spans="1:10" s="35" customFormat="1" ht="15.75" hidden="1" customHeight="1" x14ac:dyDescent="0.25">
      <c r="A98" s="61" t="s">
        <v>54</v>
      </c>
      <c r="B98" s="61"/>
      <c r="C98" s="65" t="s">
        <v>81</v>
      </c>
      <c r="D98" s="65"/>
      <c r="E98" s="60" t="s">
        <v>55</v>
      </c>
      <c r="F98" s="60"/>
      <c r="G98" s="61" t="s">
        <v>56</v>
      </c>
      <c r="H98" s="61"/>
    </row>
    <row r="99" spans="1:10" s="35" customFormat="1" hidden="1" x14ac:dyDescent="0.25">
      <c r="A99" s="79"/>
      <c r="B99" s="79"/>
      <c r="C99" s="67"/>
      <c r="D99" s="67"/>
      <c r="E99" s="68"/>
      <c r="F99" s="68"/>
      <c r="G99" s="70"/>
      <c r="H99" s="70"/>
    </row>
    <row r="100" spans="1:10" s="35" customFormat="1" hidden="1" x14ac:dyDescent="0.25">
      <c r="A100" s="79"/>
      <c r="B100" s="79"/>
      <c r="C100" s="67"/>
      <c r="D100" s="67"/>
      <c r="E100" s="68"/>
      <c r="F100" s="68"/>
      <c r="G100" s="70"/>
      <c r="H100" s="70"/>
    </row>
    <row r="101" spans="1:10" s="35" customFormat="1" hidden="1" x14ac:dyDescent="0.25">
      <c r="A101" s="73" t="s">
        <v>157</v>
      </c>
      <c r="B101" s="73"/>
      <c r="C101" s="65"/>
      <c r="D101" s="65"/>
      <c r="E101" s="60"/>
      <c r="F101" s="60"/>
      <c r="G101" s="61"/>
      <c r="H101" s="61"/>
    </row>
    <row r="102" spans="1:10" s="35" customFormat="1" x14ac:dyDescent="0.25">
      <c r="A102" s="73" t="s">
        <v>72</v>
      </c>
      <c r="B102" s="73"/>
      <c r="C102" s="73"/>
      <c r="D102" s="73"/>
      <c r="E102" s="73"/>
      <c r="F102" s="73"/>
      <c r="G102" s="73"/>
      <c r="H102" s="73"/>
    </row>
    <row r="103" spans="1:10" s="35" customFormat="1" ht="15.75" customHeight="1" x14ac:dyDescent="0.25">
      <c r="A103" s="61" t="s">
        <v>54</v>
      </c>
      <c r="B103" s="61"/>
      <c r="C103" s="65" t="s">
        <v>81</v>
      </c>
      <c r="D103" s="65"/>
      <c r="E103" s="60" t="s">
        <v>55</v>
      </c>
      <c r="F103" s="60"/>
      <c r="G103" s="61" t="s">
        <v>56</v>
      </c>
      <c r="H103" s="61"/>
    </row>
    <row r="104" spans="1:10" s="35" customFormat="1" x14ac:dyDescent="0.25">
      <c r="A104" s="79" t="s">
        <v>222</v>
      </c>
      <c r="B104" s="79"/>
      <c r="C104" s="67">
        <f>COUNT(D136:D139)*9+COUNT(D149:D152)+COUNT(D156:D165)+COUNT(D167:D178)*7+COUNT(D180:D182,D184:D185,D188:D191)+COUNT(D193:D201)</f>
        <v>152</v>
      </c>
      <c r="D104" s="67"/>
      <c r="E104" s="139">
        <f>SUM(D136:D139)*9+SUM(D149:D152)+SUM(D156:D165)+SUM(D167:D178)*7+SUM(D180:D182,D184:D185,D188:D191)+SUM(D193:D201)</f>
        <v>53506.767599999999</v>
      </c>
      <c r="F104" s="139"/>
      <c r="G104" s="139">
        <f>SUM(F136:F139)*9+SUM(F149:F152)+SUM(F156:F165)+SUM(F167:F178)*7+SUM(F180:F182,F184:F185,F188:F191)+SUM(F193:F201)</f>
        <v>85610.82815999999</v>
      </c>
      <c r="H104" s="139"/>
    </row>
    <row r="105" spans="1:10" s="35" customFormat="1" x14ac:dyDescent="0.25">
      <c r="A105" s="79" t="s">
        <v>223</v>
      </c>
      <c r="B105" s="79"/>
      <c r="C105" s="67">
        <f>COUNT(D128:D135)*9+COUNT(D141:D143,D145:D146)+COUNT(D154:D155)</f>
        <v>79</v>
      </c>
      <c r="D105" s="67"/>
      <c r="E105" s="139">
        <f t="shared" ref="E105" si="0">SUM(D128:D135)*9+SUM(D141:D143,D145:D146)+SUM(D154:D155)</f>
        <v>34233.610320000007</v>
      </c>
      <c r="F105" s="139"/>
      <c r="G105" s="139">
        <f>SUM(F128:F135)*9+SUM(F141:F143,F145:F146)+SUM(F154:F155)</f>
        <v>54773.776512000004</v>
      </c>
      <c r="H105" s="139"/>
    </row>
    <row r="106" spans="1:10" s="35" customFormat="1" x14ac:dyDescent="0.25">
      <c r="A106" s="172" t="s">
        <v>157</v>
      </c>
      <c r="B106" s="172"/>
      <c r="C106" s="175">
        <f>SUM(C104:D105)</f>
        <v>231</v>
      </c>
      <c r="D106" s="175"/>
      <c r="E106" s="173">
        <f>SUM(E104:F105)</f>
        <v>87740.377919999999</v>
      </c>
      <c r="F106" s="174"/>
      <c r="G106" s="69">
        <f>SUM(G104:H105)</f>
        <v>140384.60467199999</v>
      </c>
      <c r="H106" s="69"/>
    </row>
    <row r="107" spans="1:10" s="35" customFormat="1" hidden="1" x14ac:dyDescent="0.25">
      <c r="A107" s="176" t="s">
        <v>176</v>
      </c>
      <c r="B107" s="177"/>
      <c r="C107" s="178">
        <f>C101+C106</f>
        <v>231</v>
      </c>
      <c r="D107" s="178"/>
      <c r="E107" s="62">
        <f>E101+E106</f>
        <v>87740.377919999999</v>
      </c>
      <c r="F107" s="62"/>
      <c r="G107" s="63">
        <f>G101+G106</f>
        <v>140384.60467199999</v>
      </c>
      <c r="H107" s="64"/>
    </row>
    <row r="108" spans="1:10" s="34" customFormat="1" x14ac:dyDescent="0.25">
      <c r="A108" s="66" t="s">
        <v>57</v>
      </c>
      <c r="B108" s="66"/>
      <c r="C108" s="66"/>
      <c r="D108" s="66"/>
      <c r="E108" s="66"/>
      <c r="F108" s="66"/>
      <c r="G108" s="66"/>
      <c r="H108" s="66"/>
    </row>
    <row r="109" spans="1:10" x14ac:dyDescent="0.25">
      <c r="A109" s="66" t="s">
        <v>58</v>
      </c>
      <c r="B109" s="66"/>
      <c r="C109" s="66"/>
      <c r="D109" s="66"/>
      <c r="E109" s="66"/>
      <c r="F109" s="66"/>
      <c r="G109" s="66"/>
      <c r="H109" s="66"/>
    </row>
    <row r="110" spans="1:10" ht="47.25" hidden="1" customHeight="1" x14ac:dyDescent="0.25">
      <c r="A110" s="55" t="s">
        <v>125</v>
      </c>
      <c r="B110" s="55" t="s">
        <v>124</v>
      </c>
      <c r="C110" s="55" t="s">
        <v>59</v>
      </c>
      <c r="D110" s="55" t="s">
        <v>60</v>
      </c>
      <c r="E110" s="82" t="s">
        <v>163</v>
      </c>
      <c r="F110" s="43" t="s">
        <v>156</v>
      </c>
      <c r="G110" s="84" t="s">
        <v>62</v>
      </c>
      <c r="H110" s="85"/>
    </row>
    <row r="111" spans="1:10" s="37" customFormat="1" hidden="1" x14ac:dyDescent="0.25">
      <c r="A111" s="56"/>
      <c r="B111" s="56"/>
      <c r="C111" s="56"/>
      <c r="D111" s="56"/>
      <c r="E111" s="83"/>
      <c r="F111" s="13">
        <v>0.6</v>
      </c>
      <c r="G111" s="86"/>
      <c r="H111" s="87"/>
    </row>
    <row r="112" spans="1:10" s="37" customFormat="1" hidden="1" x14ac:dyDescent="0.25">
      <c r="A112" s="140" t="s">
        <v>123</v>
      </c>
      <c r="B112" s="141"/>
      <c r="C112" s="141"/>
      <c r="D112" s="141"/>
      <c r="E112" s="141"/>
      <c r="F112" s="141"/>
      <c r="G112" s="141"/>
      <c r="H112" s="142"/>
      <c r="J112" s="36"/>
    </row>
    <row r="113" spans="1:14" s="37" customFormat="1" hidden="1" x14ac:dyDescent="0.25">
      <c r="A113" s="144">
        <v>1</v>
      </c>
      <c r="B113" s="145"/>
      <c r="C113" s="42"/>
      <c r="D113" s="42"/>
      <c r="E113" s="42">
        <v>0</v>
      </c>
      <c r="F113" s="42">
        <f>(D113+E113)*(($F$111)+1)</f>
        <v>0</v>
      </c>
      <c r="G113" s="144" t="str">
        <f>A112</f>
        <v>Ground Floor</v>
      </c>
      <c r="H113" s="145"/>
      <c r="I113" s="36"/>
      <c r="L113" s="138"/>
      <c r="M113" s="138"/>
      <c r="N113" s="36"/>
    </row>
    <row r="114" spans="1:14" s="37" customFormat="1" hidden="1" x14ac:dyDescent="0.25">
      <c r="A114" s="144">
        <f t="shared" ref="A114:A116" si="1">A113+1</f>
        <v>2</v>
      </c>
      <c r="B114" s="145"/>
      <c r="C114" s="42"/>
      <c r="D114" s="42"/>
      <c r="E114" s="42">
        <v>0</v>
      </c>
      <c r="F114" s="42">
        <f t="shared" ref="F114:F116" si="2">(D114+E114)*(($F$111)+1)</f>
        <v>0</v>
      </c>
      <c r="G114" s="144" t="str">
        <f t="shared" ref="G114:G116" si="3">G113</f>
        <v>Ground Floor</v>
      </c>
      <c r="H114" s="145"/>
      <c r="I114" s="36"/>
      <c r="L114" s="138"/>
      <c r="M114" s="138"/>
      <c r="N114" s="36"/>
    </row>
    <row r="115" spans="1:14" s="37" customFormat="1" hidden="1" x14ac:dyDescent="0.25">
      <c r="A115" s="144">
        <f t="shared" si="1"/>
        <v>3</v>
      </c>
      <c r="B115" s="145"/>
      <c r="C115" s="42"/>
      <c r="D115" s="42"/>
      <c r="E115" s="42">
        <v>0</v>
      </c>
      <c r="F115" s="42">
        <f t="shared" si="2"/>
        <v>0</v>
      </c>
      <c r="G115" s="144" t="str">
        <f t="shared" si="3"/>
        <v>Ground Floor</v>
      </c>
      <c r="H115" s="145"/>
      <c r="I115" s="36"/>
      <c r="L115" s="138"/>
      <c r="M115" s="138"/>
      <c r="N115" s="36"/>
    </row>
    <row r="116" spans="1:14" s="37" customFormat="1" hidden="1" x14ac:dyDescent="0.25">
      <c r="A116" s="144">
        <f t="shared" si="1"/>
        <v>4</v>
      </c>
      <c r="B116" s="145"/>
      <c r="C116" s="42"/>
      <c r="D116" s="42"/>
      <c r="E116" s="42">
        <v>0</v>
      </c>
      <c r="F116" s="42">
        <f t="shared" si="2"/>
        <v>0</v>
      </c>
      <c r="G116" s="144" t="str">
        <f t="shared" si="3"/>
        <v>Ground Floor</v>
      </c>
      <c r="H116" s="145"/>
      <c r="I116" s="36"/>
      <c r="L116" s="138"/>
      <c r="M116" s="138"/>
      <c r="N116" s="36"/>
    </row>
    <row r="117" spans="1:14" s="37" customFormat="1" hidden="1" x14ac:dyDescent="0.25">
      <c r="A117" s="144"/>
      <c r="B117" s="147"/>
      <c r="C117" s="147"/>
      <c r="D117" s="147"/>
      <c r="E117" s="147"/>
      <c r="F117" s="147"/>
      <c r="G117" s="147"/>
      <c r="H117" s="145"/>
      <c r="I117" s="36"/>
      <c r="N117" s="36"/>
    </row>
    <row r="118" spans="1:14" ht="47.25" customHeight="1" x14ac:dyDescent="0.25">
      <c r="A118" s="84" t="s">
        <v>126</v>
      </c>
      <c r="B118" s="84" t="s">
        <v>209</v>
      </c>
      <c r="C118" s="55" t="s">
        <v>59</v>
      </c>
      <c r="D118" s="55" t="s">
        <v>60</v>
      </c>
      <c r="E118" s="82" t="s">
        <v>61</v>
      </c>
      <c r="F118" s="43" t="s">
        <v>156</v>
      </c>
      <c r="G118" s="84" t="s">
        <v>62</v>
      </c>
      <c r="H118" s="85"/>
      <c r="I118" s="36"/>
    </row>
    <row r="119" spans="1:14" s="37" customFormat="1" x14ac:dyDescent="0.25">
      <c r="A119" s="86"/>
      <c r="B119" s="86"/>
      <c r="C119" s="56"/>
      <c r="D119" s="56"/>
      <c r="E119" s="83"/>
      <c r="F119" s="13">
        <v>0.6</v>
      </c>
      <c r="G119" s="86"/>
      <c r="H119" s="87"/>
      <c r="I119" s="36"/>
    </row>
    <row r="120" spans="1:14" s="37" customFormat="1" x14ac:dyDescent="0.25">
      <c r="A120" s="140" t="s">
        <v>204</v>
      </c>
      <c r="B120" s="141"/>
      <c r="C120" s="141"/>
      <c r="D120" s="141"/>
      <c r="E120" s="141"/>
      <c r="F120" s="141"/>
      <c r="G120" s="141"/>
      <c r="H120" s="142"/>
      <c r="J120" s="36"/>
    </row>
    <row r="121" spans="1:14" s="37" customFormat="1" x14ac:dyDescent="0.25">
      <c r="A121" s="140" t="s">
        <v>203</v>
      </c>
      <c r="B121" s="141"/>
      <c r="C121" s="141"/>
      <c r="D121" s="141"/>
      <c r="E121" s="141"/>
      <c r="F121" s="141"/>
      <c r="G121" s="141"/>
      <c r="H121" s="142"/>
      <c r="J121" s="36"/>
    </row>
    <row r="122" spans="1:14" s="37" customFormat="1" hidden="1" x14ac:dyDescent="0.25">
      <c r="A122" s="144">
        <v>1</v>
      </c>
      <c r="B122" s="145"/>
      <c r="C122" s="42"/>
      <c r="D122" s="42"/>
      <c r="E122" s="42">
        <v>0</v>
      </c>
      <c r="F122" s="42">
        <f>D122*(($F$119)+1)+(IF(E122&lt;101,E122,IF(E122&lt;201,E122/2,IF(E122&lt;=301,E122/3,E122/4))))</f>
        <v>0</v>
      </c>
      <c r="G122" s="144" t="str">
        <f>A121</f>
        <v>Ground Floor For Parking</v>
      </c>
      <c r="H122" s="145"/>
      <c r="I122" s="36"/>
      <c r="L122" s="138"/>
      <c r="M122" s="138"/>
      <c r="N122" s="36"/>
    </row>
    <row r="123" spans="1:14" s="37" customFormat="1" hidden="1" x14ac:dyDescent="0.25">
      <c r="A123" s="144">
        <f t="shared" ref="A123:A125" si="4">A122+1</f>
        <v>2</v>
      </c>
      <c r="B123" s="145"/>
      <c r="C123" s="42"/>
      <c r="D123" s="42"/>
      <c r="E123" s="42">
        <v>0</v>
      </c>
      <c r="F123" s="42">
        <f>D123*(($F$119)+1)+(IF(E123&lt;101,E123,IF(E123&lt;201,E123/2,IF(E123&lt;=301,E123/3,E123/4))))</f>
        <v>0</v>
      </c>
      <c r="G123" s="144" t="str">
        <f t="shared" ref="G123:G125" si="5">G122</f>
        <v>Ground Floor For Parking</v>
      </c>
      <c r="H123" s="145"/>
      <c r="I123" s="36"/>
      <c r="L123" s="138"/>
      <c r="M123" s="138"/>
      <c r="N123" s="36"/>
    </row>
    <row r="124" spans="1:14" s="37" customFormat="1" hidden="1" x14ac:dyDescent="0.25">
      <c r="A124" s="144">
        <f t="shared" si="4"/>
        <v>3</v>
      </c>
      <c r="B124" s="145"/>
      <c r="C124" s="42"/>
      <c r="D124" s="42"/>
      <c r="E124" s="42">
        <v>0</v>
      </c>
      <c r="F124" s="42">
        <f>D124*(($F$119)+1)+(IF(E124&lt;101,E124,IF(E124&lt;201,E124/2,IF(E124&lt;=301,E124/3,E124/4))))</f>
        <v>0</v>
      </c>
      <c r="G124" s="144" t="str">
        <f t="shared" si="5"/>
        <v>Ground Floor For Parking</v>
      </c>
      <c r="H124" s="145"/>
      <c r="I124" s="36"/>
      <c r="L124" s="138"/>
      <c r="M124" s="138"/>
      <c r="N124" s="36"/>
    </row>
    <row r="125" spans="1:14" s="37" customFormat="1" hidden="1" x14ac:dyDescent="0.25">
      <c r="A125" s="144">
        <f t="shared" si="4"/>
        <v>4</v>
      </c>
      <c r="B125" s="145"/>
      <c r="C125" s="42"/>
      <c r="D125" s="42"/>
      <c r="E125" s="42">
        <v>0</v>
      </c>
      <c r="F125" s="42">
        <f>D125*(($F$119)+1)+(IF(E125&lt;101,E125,IF(E125&lt;201,E125/2,IF(E125&lt;=301,E125/3,E125/4))))</f>
        <v>0</v>
      </c>
      <c r="G125" s="144" t="str">
        <f t="shared" si="5"/>
        <v>Ground Floor For Parking</v>
      </c>
      <c r="H125" s="145"/>
      <c r="I125" s="36"/>
      <c r="L125" s="138"/>
      <c r="M125" s="138"/>
      <c r="N125" s="36"/>
    </row>
    <row r="126" spans="1:14" s="37" customFormat="1" x14ac:dyDescent="0.25">
      <c r="A126" s="140" t="s">
        <v>208</v>
      </c>
      <c r="B126" s="141"/>
      <c r="C126" s="141"/>
      <c r="D126" s="141"/>
      <c r="E126" s="141"/>
      <c r="F126" s="141"/>
      <c r="G126" s="141"/>
      <c r="H126" s="142"/>
      <c r="J126" s="36"/>
    </row>
    <row r="127" spans="1:14" s="37" customFormat="1" x14ac:dyDescent="0.25">
      <c r="A127" s="78" t="s">
        <v>210</v>
      </c>
      <c r="B127" s="78"/>
      <c r="C127" s="78"/>
      <c r="D127" s="78"/>
      <c r="E127" s="78"/>
      <c r="F127" s="78"/>
      <c r="G127" s="78"/>
      <c r="H127" s="78"/>
      <c r="I127" s="36"/>
      <c r="L127" s="138"/>
      <c r="M127" s="138"/>
    </row>
    <row r="128" spans="1:14" s="37" customFormat="1" ht="15.75" customHeight="1" x14ac:dyDescent="0.25">
      <c r="A128" s="42">
        <v>1</v>
      </c>
      <c r="B128" s="42" t="s">
        <v>211</v>
      </c>
      <c r="C128" s="42" t="s">
        <v>212</v>
      </c>
      <c r="D128" s="42">
        <f>39.71*10.764</f>
        <v>427.43843999999996</v>
      </c>
      <c r="E128" s="42">
        <v>0</v>
      </c>
      <c r="F128" s="42">
        <f t="shared" ref="F128:F129" si="6">D128*(($F$119)+1)+(IF(E128&lt;101,E128,IF(E128&lt;201,E128/2,IF(E128&lt;=301,E128/3,E128/4))))</f>
        <v>683.90150399999993</v>
      </c>
      <c r="G128" s="160" t="str">
        <f>A127</f>
        <v>2nd to 6th, 8th to 11th Floor</v>
      </c>
      <c r="H128" s="161"/>
      <c r="I128" s="36"/>
      <c r="N128" s="36"/>
    </row>
    <row r="129" spans="1:14" s="37" customFormat="1" ht="15.75" customHeight="1" x14ac:dyDescent="0.25">
      <c r="A129" s="42">
        <f t="shared" ref="A129:A139" si="7">A128+1</f>
        <v>2</v>
      </c>
      <c r="B129" s="42" t="s">
        <v>211</v>
      </c>
      <c r="C129" s="42" t="s">
        <v>212</v>
      </c>
      <c r="D129" s="42">
        <f>39.71*10.764</f>
        <v>427.43843999999996</v>
      </c>
      <c r="E129" s="42">
        <v>0</v>
      </c>
      <c r="F129" s="42">
        <f t="shared" si="6"/>
        <v>683.90150399999993</v>
      </c>
      <c r="G129" s="162"/>
      <c r="H129" s="163"/>
      <c r="I129" s="36"/>
      <c r="N129" s="36"/>
    </row>
    <row r="130" spans="1:14" s="37" customFormat="1" ht="15.75" customHeight="1" x14ac:dyDescent="0.25">
      <c r="A130" s="42">
        <f t="shared" si="7"/>
        <v>3</v>
      </c>
      <c r="B130" s="42" t="s">
        <v>211</v>
      </c>
      <c r="C130" s="42" t="s">
        <v>212</v>
      </c>
      <c r="D130" s="42">
        <f>40.88*10.764</f>
        <v>440.03232000000003</v>
      </c>
      <c r="E130" s="42">
        <v>0</v>
      </c>
      <c r="F130" s="42">
        <f t="shared" ref="F130:F139" si="8">D130*(($F$119)+1)+(IF(E130&lt;101,E130,IF(E130&lt;201,E130/2,IF(E130&lt;=301,E130/3,E130/4))))</f>
        <v>704.05171200000007</v>
      </c>
      <c r="G130" s="162"/>
      <c r="H130" s="163"/>
      <c r="I130" s="36"/>
      <c r="N130" s="36"/>
    </row>
    <row r="131" spans="1:14" s="37" customFormat="1" ht="15.75" customHeight="1" x14ac:dyDescent="0.25">
      <c r="A131" s="42">
        <f t="shared" si="7"/>
        <v>4</v>
      </c>
      <c r="B131" s="42" t="s">
        <v>211</v>
      </c>
      <c r="C131" s="42" t="s">
        <v>212</v>
      </c>
      <c r="D131" s="42">
        <f>40.88*10.764</f>
        <v>440.03232000000003</v>
      </c>
      <c r="E131" s="42">
        <v>0</v>
      </c>
      <c r="F131" s="42">
        <f t="shared" si="8"/>
        <v>704.05171200000007</v>
      </c>
      <c r="G131" s="162"/>
      <c r="H131" s="163"/>
      <c r="I131" s="36"/>
      <c r="N131" s="36"/>
    </row>
    <row r="132" spans="1:14" s="37" customFormat="1" ht="15.75" customHeight="1" x14ac:dyDescent="0.25">
      <c r="A132" s="42">
        <f t="shared" si="7"/>
        <v>5</v>
      </c>
      <c r="B132" s="42" t="s">
        <v>211</v>
      </c>
      <c r="C132" s="42" t="s">
        <v>212</v>
      </c>
      <c r="D132" s="42">
        <f>39.71*10.764</f>
        <v>427.43843999999996</v>
      </c>
      <c r="E132" s="42">
        <v>0</v>
      </c>
      <c r="F132" s="42">
        <f t="shared" si="8"/>
        <v>683.90150399999993</v>
      </c>
      <c r="G132" s="162"/>
      <c r="H132" s="163"/>
      <c r="I132" s="36"/>
      <c r="N132" s="36"/>
    </row>
    <row r="133" spans="1:14" s="37" customFormat="1" ht="15.75" customHeight="1" x14ac:dyDescent="0.25">
      <c r="A133" s="42">
        <f t="shared" si="7"/>
        <v>6</v>
      </c>
      <c r="B133" s="42" t="s">
        <v>211</v>
      </c>
      <c r="C133" s="42" t="s">
        <v>212</v>
      </c>
      <c r="D133" s="42">
        <f>39.71*10.764</f>
        <v>427.43843999999996</v>
      </c>
      <c r="E133" s="42">
        <v>0</v>
      </c>
      <c r="F133" s="42">
        <f t="shared" si="8"/>
        <v>683.90150399999993</v>
      </c>
      <c r="G133" s="162"/>
      <c r="H133" s="163"/>
      <c r="I133" s="36"/>
      <c r="N133" s="36"/>
    </row>
    <row r="134" spans="1:14" s="37" customFormat="1" ht="15.75" customHeight="1" x14ac:dyDescent="0.25">
      <c r="A134" s="42">
        <f t="shared" si="7"/>
        <v>7</v>
      </c>
      <c r="B134" s="42" t="s">
        <v>211</v>
      </c>
      <c r="C134" s="42" t="s">
        <v>212</v>
      </c>
      <c r="D134" s="42">
        <f>40.88*10.764</f>
        <v>440.03232000000003</v>
      </c>
      <c r="E134" s="42">
        <v>0</v>
      </c>
      <c r="F134" s="42">
        <f t="shared" si="8"/>
        <v>704.05171200000007</v>
      </c>
      <c r="G134" s="162"/>
      <c r="H134" s="163"/>
      <c r="I134" s="36"/>
      <c r="N134" s="36"/>
    </row>
    <row r="135" spans="1:14" s="37" customFormat="1" ht="15.75" customHeight="1" x14ac:dyDescent="0.25">
      <c r="A135" s="42">
        <f t="shared" si="7"/>
        <v>8</v>
      </c>
      <c r="B135" s="42" t="s">
        <v>211</v>
      </c>
      <c r="C135" s="42" t="s">
        <v>212</v>
      </c>
      <c r="D135" s="42">
        <f>40.88*10.764</f>
        <v>440.03232000000003</v>
      </c>
      <c r="E135" s="42">
        <v>0</v>
      </c>
      <c r="F135" s="42">
        <f t="shared" si="8"/>
        <v>704.05171200000007</v>
      </c>
      <c r="G135" s="162"/>
      <c r="H135" s="163"/>
      <c r="I135" s="36"/>
      <c r="N135" s="36"/>
    </row>
    <row r="136" spans="1:14" s="37" customFormat="1" ht="15.75" customHeight="1" x14ac:dyDescent="0.25">
      <c r="A136" s="42">
        <f t="shared" si="7"/>
        <v>9</v>
      </c>
      <c r="B136" s="42" t="s">
        <v>213</v>
      </c>
      <c r="C136" s="42" t="s">
        <v>216</v>
      </c>
      <c r="D136" s="42">
        <f>25.9*10.764</f>
        <v>278.78759999999994</v>
      </c>
      <c r="E136" s="42">
        <v>0</v>
      </c>
      <c r="F136" s="42">
        <f t="shared" si="8"/>
        <v>446.06015999999994</v>
      </c>
      <c r="G136" s="162"/>
      <c r="H136" s="163"/>
      <c r="I136" s="36"/>
      <c r="N136" s="36"/>
    </row>
    <row r="137" spans="1:14" s="37" customFormat="1" ht="15.75" customHeight="1" x14ac:dyDescent="0.25">
      <c r="A137" s="42">
        <f t="shared" si="7"/>
        <v>10</v>
      </c>
      <c r="B137" s="42" t="s">
        <v>213</v>
      </c>
      <c r="C137" s="42" t="s">
        <v>216</v>
      </c>
      <c r="D137" s="42">
        <f t="shared" ref="D137:D139" si="9">25.9*10.764</f>
        <v>278.78759999999994</v>
      </c>
      <c r="E137" s="42">
        <v>0</v>
      </c>
      <c r="F137" s="42">
        <f t="shared" si="8"/>
        <v>446.06015999999994</v>
      </c>
      <c r="G137" s="162"/>
      <c r="H137" s="163"/>
      <c r="I137" s="36"/>
      <c r="N137" s="36"/>
    </row>
    <row r="138" spans="1:14" s="37" customFormat="1" ht="15.75" customHeight="1" x14ac:dyDescent="0.25">
      <c r="A138" s="42">
        <f t="shared" si="7"/>
        <v>11</v>
      </c>
      <c r="B138" s="42" t="s">
        <v>213</v>
      </c>
      <c r="C138" s="42" t="s">
        <v>216</v>
      </c>
      <c r="D138" s="42">
        <f t="shared" si="9"/>
        <v>278.78759999999994</v>
      </c>
      <c r="E138" s="42">
        <v>0</v>
      </c>
      <c r="F138" s="42">
        <f t="shared" si="8"/>
        <v>446.06015999999994</v>
      </c>
      <c r="G138" s="162"/>
      <c r="H138" s="163"/>
      <c r="I138" s="36"/>
      <c r="N138" s="36"/>
    </row>
    <row r="139" spans="1:14" s="37" customFormat="1" ht="15.75" customHeight="1" x14ac:dyDescent="0.25">
      <c r="A139" s="42">
        <f t="shared" si="7"/>
        <v>12</v>
      </c>
      <c r="B139" s="42" t="s">
        <v>213</v>
      </c>
      <c r="C139" s="42" t="s">
        <v>216</v>
      </c>
      <c r="D139" s="42">
        <f t="shared" si="9"/>
        <v>278.78759999999994</v>
      </c>
      <c r="E139" s="42">
        <v>0</v>
      </c>
      <c r="F139" s="42">
        <f t="shared" si="8"/>
        <v>446.06015999999994</v>
      </c>
      <c r="G139" s="164"/>
      <c r="H139" s="165"/>
      <c r="I139" s="36"/>
      <c r="N139" s="36"/>
    </row>
    <row r="140" spans="1:14" s="37" customFormat="1" x14ac:dyDescent="0.25">
      <c r="A140" s="78" t="s">
        <v>217</v>
      </c>
      <c r="B140" s="78"/>
      <c r="C140" s="78"/>
      <c r="D140" s="78"/>
      <c r="E140" s="78"/>
      <c r="F140" s="78"/>
      <c r="G140" s="78"/>
      <c r="H140" s="78"/>
      <c r="I140" s="36"/>
      <c r="L140" s="138"/>
      <c r="M140" s="138"/>
    </row>
    <row r="141" spans="1:14" s="37" customFormat="1" ht="15.75" customHeight="1" x14ac:dyDescent="0.25">
      <c r="A141" s="42">
        <v>1</v>
      </c>
      <c r="B141" s="42" t="s">
        <v>211</v>
      </c>
      <c r="C141" s="42" t="s">
        <v>212</v>
      </c>
      <c r="D141" s="42">
        <f>39.71*10.764</f>
        <v>427.43843999999996</v>
      </c>
      <c r="E141" s="42">
        <v>0</v>
      </c>
      <c r="F141" s="42">
        <f t="shared" ref="F141:F142" si="10">D141*(($F$119)+1)+(IF(E141&lt;101,E141,IF(E141&lt;201,E141/2,IF(E141&lt;=301,E141/3,E141/4))))</f>
        <v>683.90150399999993</v>
      </c>
      <c r="G141" s="160" t="str">
        <f>A140</f>
        <v>7th Floor (Part Refuge Area)</v>
      </c>
      <c r="H141" s="161"/>
      <c r="I141" s="36"/>
      <c r="N141" s="36"/>
    </row>
    <row r="142" spans="1:14" s="37" customFormat="1" ht="15.75" customHeight="1" x14ac:dyDescent="0.25">
      <c r="A142" s="42">
        <f t="shared" ref="A142:A152" si="11">A141+1</f>
        <v>2</v>
      </c>
      <c r="B142" s="42" t="s">
        <v>211</v>
      </c>
      <c r="C142" s="42" t="s">
        <v>212</v>
      </c>
      <c r="D142" s="42">
        <f>39.71*10.764</f>
        <v>427.43843999999996</v>
      </c>
      <c r="E142" s="42">
        <v>0</v>
      </c>
      <c r="F142" s="42">
        <f t="shared" si="10"/>
        <v>683.90150399999993</v>
      </c>
      <c r="G142" s="162"/>
      <c r="H142" s="163"/>
      <c r="I142" s="36"/>
      <c r="N142" s="36"/>
    </row>
    <row r="143" spans="1:14" s="37" customFormat="1" ht="15.75" customHeight="1" x14ac:dyDescent="0.25">
      <c r="A143" s="42">
        <f t="shared" si="11"/>
        <v>3</v>
      </c>
      <c r="B143" s="42" t="s">
        <v>211</v>
      </c>
      <c r="C143" s="42" t="s">
        <v>212</v>
      </c>
      <c r="D143" s="42">
        <f>40.88*10.764</f>
        <v>440.03232000000003</v>
      </c>
      <c r="E143" s="42">
        <v>0</v>
      </c>
      <c r="F143" s="42">
        <f>D143*(($F$119)+1)+(IF(E143&lt;101,E143,IF(E143&lt;201,E143/2,IF(E143&lt;=301,E143/3,E143/4))))</f>
        <v>704.05171200000007</v>
      </c>
      <c r="G143" s="162"/>
      <c r="H143" s="163"/>
      <c r="I143" s="36"/>
      <c r="N143" s="36"/>
    </row>
    <row r="144" spans="1:14" s="37" customFormat="1" ht="15.75" customHeight="1" x14ac:dyDescent="0.25">
      <c r="A144" s="42">
        <f t="shared" si="11"/>
        <v>4</v>
      </c>
      <c r="B144" s="144" t="s">
        <v>219</v>
      </c>
      <c r="C144" s="147"/>
      <c r="D144" s="147"/>
      <c r="E144" s="147"/>
      <c r="F144" s="145"/>
      <c r="G144" s="162"/>
      <c r="H144" s="163"/>
      <c r="I144" s="36"/>
      <c r="N144" s="36"/>
    </row>
    <row r="145" spans="1:14" s="37" customFormat="1" ht="15.75" customHeight="1" x14ac:dyDescent="0.25">
      <c r="A145" s="42">
        <f t="shared" si="11"/>
        <v>5</v>
      </c>
      <c r="B145" s="42" t="s">
        <v>211</v>
      </c>
      <c r="C145" s="42" t="s">
        <v>212</v>
      </c>
      <c r="D145" s="42">
        <f>39.71*10.764</f>
        <v>427.43843999999996</v>
      </c>
      <c r="E145" s="42">
        <v>0</v>
      </c>
      <c r="F145" s="42">
        <f>D145*(($F$119)+1)+(IF(E145&lt;101,E145,IF(E145&lt;201,E145/2,IF(E145&lt;=301,E145/3,E145/4))))</f>
        <v>683.90150399999993</v>
      </c>
      <c r="G145" s="162"/>
      <c r="H145" s="163"/>
      <c r="I145" s="36"/>
      <c r="N145" s="36"/>
    </row>
    <row r="146" spans="1:14" s="37" customFormat="1" ht="15.75" customHeight="1" x14ac:dyDescent="0.25">
      <c r="A146" s="42">
        <f t="shared" si="11"/>
        <v>6</v>
      </c>
      <c r="B146" s="42" t="s">
        <v>211</v>
      </c>
      <c r="C146" s="42" t="s">
        <v>212</v>
      </c>
      <c r="D146" s="42">
        <f>39.71*10.764</f>
        <v>427.43843999999996</v>
      </c>
      <c r="E146" s="42">
        <v>0</v>
      </c>
      <c r="F146" s="42">
        <f>D146*(($F$119)+1)+(IF(E146&lt;101,E146,IF(E146&lt;201,E146/2,IF(E146&lt;=301,E146/3,E146/4))))</f>
        <v>683.90150399999993</v>
      </c>
      <c r="G146" s="162"/>
      <c r="H146" s="163"/>
      <c r="I146" s="36"/>
      <c r="N146" s="36"/>
    </row>
    <row r="147" spans="1:14" s="37" customFormat="1" ht="15.75" customHeight="1" x14ac:dyDescent="0.25">
      <c r="A147" s="42">
        <f t="shared" si="11"/>
        <v>7</v>
      </c>
      <c r="B147" s="160" t="s">
        <v>219</v>
      </c>
      <c r="C147" s="166"/>
      <c r="D147" s="166"/>
      <c r="E147" s="166"/>
      <c r="F147" s="161"/>
      <c r="G147" s="162"/>
      <c r="H147" s="163"/>
      <c r="I147" s="36"/>
      <c r="N147" s="36"/>
    </row>
    <row r="148" spans="1:14" s="37" customFormat="1" ht="15.75" customHeight="1" x14ac:dyDescent="0.25">
      <c r="A148" s="42">
        <f t="shared" si="11"/>
        <v>8</v>
      </c>
      <c r="B148" s="164"/>
      <c r="C148" s="167"/>
      <c r="D148" s="167"/>
      <c r="E148" s="167"/>
      <c r="F148" s="165"/>
      <c r="G148" s="162"/>
      <c r="H148" s="163"/>
      <c r="I148" s="36"/>
      <c r="N148" s="36"/>
    </row>
    <row r="149" spans="1:14" s="37" customFormat="1" ht="15.75" customHeight="1" x14ac:dyDescent="0.25">
      <c r="A149" s="42">
        <f t="shared" si="11"/>
        <v>9</v>
      </c>
      <c r="B149" s="42" t="s">
        <v>213</v>
      </c>
      <c r="C149" s="42" t="s">
        <v>216</v>
      </c>
      <c r="D149" s="42">
        <f>25.9*10.764</f>
        <v>278.78759999999994</v>
      </c>
      <c r="E149" s="42">
        <v>0</v>
      </c>
      <c r="F149" s="42">
        <f>D149*(($F$119)+1)+(IF(E149&lt;101,E149,IF(E149&lt;201,E149/2,IF(E149&lt;=301,E149/3,E149/4))))</f>
        <v>446.06015999999994</v>
      </c>
      <c r="G149" s="162"/>
      <c r="H149" s="163"/>
      <c r="I149" s="36"/>
      <c r="N149" s="36"/>
    </row>
    <row r="150" spans="1:14" s="37" customFormat="1" ht="15.75" customHeight="1" x14ac:dyDescent="0.25">
      <c r="A150" s="42">
        <f t="shared" si="11"/>
        <v>10</v>
      </c>
      <c r="B150" s="42" t="s">
        <v>213</v>
      </c>
      <c r="C150" s="42" t="s">
        <v>216</v>
      </c>
      <c r="D150" s="42">
        <f t="shared" ref="D150:D152" si="12">25.9*10.764</f>
        <v>278.78759999999994</v>
      </c>
      <c r="E150" s="42">
        <v>0</v>
      </c>
      <c r="F150" s="42">
        <f>D150*(($F$119)+1)+(IF(E150&lt;101,E150,IF(E150&lt;201,E150/2,IF(E150&lt;=301,E150/3,E150/4))))</f>
        <v>446.06015999999994</v>
      </c>
      <c r="G150" s="162"/>
      <c r="H150" s="163"/>
      <c r="I150" s="36"/>
      <c r="N150" s="36"/>
    </row>
    <row r="151" spans="1:14" s="37" customFormat="1" ht="15.75" customHeight="1" x14ac:dyDescent="0.25">
      <c r="A151" s="42">
        <f t="shared" si="11"/>
        <v>11</v>
      </c>
      <c r="B151" s="42" t="s">
        <v>213</v>
      </c>
      <c r="C151" s="42" t="s">
        <v>216</v>
      </c>
      <c r="D151" s="42">
        <f t="shared" si="12"/>
        <v>278.78759999999994</v>
      </c>
      <c r="E151" s="42">
        <v>0</v>
      </c>
      <c r="F151" s="42">
        <f>D151*(($F$119)+1)+(IF(E151&lt;101,E151,IF(E151&lt;201,E151/2,IF(E151&lt;=301,E151/3,E151/4))))</f>
        <v>446.06015999999994</v>
      </c>
      <c r="G151" s="162"/>
      <c r="H151" s="163"/>
      <c r="I151" s="36"/>
      <c r="N151" s="36"/>
    </row>
    <row r="152" spans="1:14" s="37" customFormat="1" ht="15.75" customHeight="1" x14ac:dyDescent="0.25">
      <c r="A152" s="42">
        <f t="shared" si="11"/>
        <v>12</v>
      </c>
      <c r="B152" s="42" t="s">
        <v>213</v>
      </c>
      <c r="C152" s="42" t="s">
        <v>216</v>
      </c>
      <c r="D152" s="42">
        <f t="shared" si="12"/>
        <v>278.78759999999994</v>
      </c>
      <c r="E152" s="42">
        <v>0</v>
      </c>
      <c r="F152" s="42">
        <f>D152*(($F$119)+1)+(IF(E152&lt;101,E152,IF(E152&lt;201,E152/2,IF(E152&lt;=301,E152/3,E152/4))))</f>
        <v>446.06015999999994</v>
      </c>
      <c r="G152" s="164"/>
      <c r="H152" s="165"/>
      <c r="I152" s="36"/>
      <c r="N152" s="36"/>
    </row>
    <row r="153" spans="1:14" s="37" customFormat="1" x14ac:dyDescent="0.25">
      <c r="A153" s="78" t="s">
        <v>214</v>
      </c>
      <c r="B153" s="78"/>
      <c r="C153" s="78"/>
      <c r="D153" s="78"/>
      <c r="E153" s="78"/>
      <c r="F153" s="78"/>
      <c r="G153" s="78"/>
      <c r="H153" s="78"/>
      <c r="I153" s="36"/>
      <c r="L153" s="138"/>
      <c r="M153" s="138"/>
    </row>
    <row r="154" spans="1:14" s="37" customFormat="1" x14ac:dyDescent="0.25">
      <c r="A154" s="42">
        <v>1</v>
      </c>
      <c r="B154" s="42" t="s">
        <v>211</v>
      </c>
      <c r="C154" s="42" t="s">
        <v>212</v>
      </c>
      <c r="D154" s="42">
        <f>39.71*10.764</f>
        <v>427.43843999999996</v>
      </c>
      <c r="E154" s="42">
        <v>0</v>
      </c>
      <c r="F154" s="42">
        <f t="shared" ref="F154:F155" si="13">D154*(($F$119)+1)+(IF(E154&lt;101,E154,IF(E154&lt;201,E154/2,IF(E154&lt;=301,E154/3,E154/4))))</f>
        <v>683.90150399999993</v>
      </c>
      <c r="G154" s="160" t="str">
        <f>A153</f>
        <v>12th Floor</v>
      </c>
      <c r="H154" s="161"/>
      <c r="I154" s="36"/>
      <c r="N154" s="36"/>
    </row>
    <row r="155" spans="1:14" s="37" customFormat="1" x14ac:dyDescent="0.25">
      <c r="A155" s="42">
        <f t="shared" ref="A155:A165" si="14">A154+1</f>
        <v>2</v>
      </c>
      <c r="B155" s="42" t="s">
        <v>211</v>
      </c>
      <c r="C155" s="42" t="s">
        <v>212</v>
      </c>
      <c r="D155" s="42">
        <f>39.71*10.764</f>
        <v>427.43843999999996</v>
      </c>
      <c r="E155" s="42">
        <v>0</v>
      </c>
      <c r="F155" s="42">
        <f t="shared" si="13"/>
        <v>683.90150399999993</v>
      </c>
      <c r="G155" s="162"/>
      <c r="H155" s="163"/>
      <c r="I155" s="36"/>
      <c r="N155" s="36"/>
    </row>
    <row r="156" spans="1:14" s="37" customFormat="1" x14ac:dyDescent="0.25">
      <c r="A156" s="42">
        <f t="shared" si="14"/>
        <v>3</v>
      </c>
      <c r="B156" s="42" t="s">
        <v>213</v>
      </c>
      <c r="C156" s="42" t="s">
        <v>212</v>
      </c>
      <c r="D156" s="42">
        <f>40.88*10.764</f>
        <v>440.03232000000003</v>
      </c>
      <c r="E156" s="42">
        <v>0</v>
      </c>
      <c r="F156" s="42">
        <f t="shared" ref="F156:F165" si="15">D156*(($F$119)+1)+(IF(E156&lt;101,E156,IF(E156&lt;201,E156/2,IF(E156&lt;=301,E156/3,E156/4))))</f>
        <v>704.05171200000007</v>
      </c>
      <c r="G156" s="162"/>
      <c r="H156" s="163"/>
      <c r="I156" s="36"/>
      <c r="N156" s="36"/>
    </row>
    <row r="157" spans="1:14" s="37" customFormat="1" x14ac:dyDescent="0.25">
      <c r="A157" s="42">
        <f t="shared" si="14"/>
        <v>4</v>
      </c>
      <c r="B157" s="42" t="s">
        <v>213</v>
      </c>
      <c r="C157" s="42" t="s">
        <v>212</v>
      </c>
      <c r="D157" s="42">
        <f>40.88*10.764</f>
        <v>440.03232000000003</v>
      </c>
      <c r="E157" s="42">
        <v>0</v>
      </c>
      <c r="F157" s="42">
        <f t="shared" si="15"/>
        <v>704.05171200000007</v>
      </c>
      <c r="G157" s="162"/>
      <c r="H157" s="163"/>
      <c r="I157" s="36"/>
      <c r="N157" s="36"/>
    </row>
    <row r="158" spans="1:14" s="37" customFormat="1" x14ac:dyDescent="0.25">
      <c r="A158" s="42">
        <f t="shared" si="14"/>
        <v>5</v>
      </c>
      <c r="B158" s="42" t="s">
        <v>213</v>
      </c>
      <c r="C158" s="42" t="s">
        <v>212</v>
      </c>
      <c r="D158" s="42">
        <f>39.71*10.764</f>
        <v>427.43843999999996</v>
      </c>
      <c r="E158" s="42">
        <v>0</v>
      </c>
      <c r="F158" s="42">
        <f t="shared" si="15"/>
        <v>683.90150399999993</v>
      </c>
      <c r="G158" s="162"/>
      <c r="H158" s="163"/>
      <c r="I158" s="36"/>
      <c r="N158" s="36"/>
    </row>
    <row r="159" spans="1:14" s="37" customFormat="1" x14ac:dyDescent="0.25">
      <c r="A159" s="42">
        <f t="shared" si="14"/>
        <v>6</v>
      </c>
      <c r="B159" s="42" t="s">
        <v>213</v>
      </c>
      <c r="C159" s="42" t="s">
        <v>212</v>
      </c>
      <c r="D159" s="42">
        <f>39.71*10.764</f>
        <v>427.43843999999996</v>
      </c>
      <c r="E159" s="42">
        <v>0</v>
      </c>
      <c r="F159" s="42">
        <f t="shared" si="15"/>
        <v>683.90150399999993</v>
      </c>
      <c r="G159" s="162"/>
      <c r="H159" s="163"/>
      <c r="I159" s="36"/>
      <c r="N159" s="36"/>
    </row>
    <row r="160" spans="1:14" s="37" customFormat="1" x14ac:dyDescent="0.25">
      <c r="A160" s="42">
        <f t="shared" si="14"/>
        <v>7</v>
      </c>
      <c r="B160" s="42" t="s">
        <v>213</v>
      </c>
      <c r="C160" s="42" t="s">
        <v>212</v>
      </c>
      <c r="D160" s="42">
        <f>40.88*10.764</f>
        <v>440.03232000000003</v>
      </c>
      <c r="E160" s="42">
        <v>0</v>
      </c>
      <c r="F160" s="42">
        <f t="shared" si="15"/>
        <v>704.05171200000007</v>
      </c>
      <c r="G160" s="162"/>
      <c r="H160" s="163"/>
      <c r="I160" s="36"/>
      <c r="N160" s="36"/>
    </row>
    <row r="161" spans="1:14" s="37" customFormat="1" x14ac:dyDescent="0.25">
      <c r="A161" s="42">
        <f t="shared" si="14"/>
        <v>8</v>
      </c>
      <c r="B161" s="42" t="s">
        <v>213</v>
      </c>
      <c r="C161" s="42" t="s">
        <v>212</v>
      </c>
      <c r="D161" s="42">
        <f>40.88*10.764</f>
        <v>440.03232000000003</v>
      </c>
      <c r="E161" s="42">
        <v>0</v>
      </c>
      <c r="F161" s="42">
        <f t="shared" si="15"/>
        <v>704.05171200000007</v>
      </c>
      <c r="G161" s="162"/>
      <c r="H161" s="163"/>
      <c r="I161" s="36"/>
      <c r="N161" s="36"/>
    </row>
    <row r="162" spans="1:14" s="37" customFormat="1" x14ac:dyDescent="0.25">
      <c r="A162" s="42">
        <f t="shared" si="14"/>
        <v>9</v>
      </c>
      <c r="B162" s="42" t="s">
        <v>213</v>
      </c>
      <c r="C162" s="42" t="s">
        <v>216</v>
      </c>
      <c r="D162" s="42">
        <f>25.9*10.764</f>
        <v>278.78759999999994</v>
      </c>
      <c r="E162" s="42">
        <v>0</v>
      </c>
      <c r="F162" s="42">
        <f t="shared" si="15"/>
        <v>446.06015999999994</v>
      </c>
      <c r="G162" s="162"/>
      <c r="H162" s="163"/>
      <c r="I162" s="36"/>
      <c r="N162" s="36"/>
    </row>
    <row r="163" spans="1:14" s="37" customFormat="1" x14ac:dyDescent="0.25">
      <c r="A163" s="42">
        <f t="shared" si="14"/>
        <v>10</v>
      </c>
      <c r="B163" s="42" t="s">
        <v>213</v>
      </c>
      <c r="C163" s="42" t="s">
        <v>216</v>
      </c>
      <c r="D163" s="42">
        <f t="shared" ref="D163:D165" si="16">25.9*10.764</f>
        <v>278.78759999999994</v>
      </c>
      <c r="E163" s="42">
        <v>0</v>
      </c>
      <c r="F163" s="42">
        <f t="shared" si="15"/>
        <v>446.06015999999994</v>
      </c>
      <c r="G163" s="162"/>
      <c r="H163" s="163"/>
      <c r="I163" s="36"/>
      <c r="N163" s="36"/>
    </row>
    <row r="164" spans="1:14" s="37" customFormat="1" x14ac:dyDescent="0.25">
      <c r="A164" s="42">
        <f t="shared" si="14"/>
        <v>11</v>
      </c>
      <c r="B164" s="42" t="s">
        <v>213</v>
      </c>
      <c r="C164" s="42" t="s">
        <v>216</v>
      </c>
      <c r="D164" s="42">
        <f t="shared" si="16"/>
        <v>278.78759999999994</v>
      </c>
      <c r="E164" s="42">
        <v>0</v>
      </c>
      <c r="F164" s="42">
        <f t="shared" si="15"/>
        <v>446.06015999999994</v>
      </c>
      <c r="G164" s="162"/>
      <c r="H164" s="163"/>
      <c r="I164" s="36"/>
      <c r="N164" s="36"/>
    </row>
    <row r="165" spans="1:14" s="37" customFormat="1" x14ac:dyDescent="0.25">
      <c r="A165" s="42">
        <f t="shared" si="14"/>
        <v>12</v>
      </c>
      <c r="B165" s="42" t="s">
        <v>213</v>
      </c>
      <c r="C165" s="42" t="s">
        <v>216</v>
      </c>
      <c r="D165" s="42">
        <f t="shared" si="16"/>
        <v>278.78759999999994</v>
      </c>
      <c r="E165" s="42">
        <v>0</v>
      </c>
      <c r="F165" s="42">
        <f t="shared" si="15"/>
        <v>446.06015999999994</v>
      </c>
      <c r="G165" s="164"/>
      <c r="H165" s="165"/>
      <c r="I165" s="36"/>
      <c r="N165" s="36"/>
    </row>
    <row r="166" spans="1:14" s="37" customFormat="1" x14ac:dyDescent="0.25">
      <c r="A166" s="78" t="s">
        <v>215</v>
      </c>
      <c r="B166" s="78"/>
      <c r="C166" s="78"/>
      <c r="D166" s="78"/>
      <c r="E166" s="78"/>
      <c r="F166" s="78"/>
      <c r="G166" s="78"/>
      <c r="H166" s="78"/>
      <c r="I166" s="36"/>
      <c r="L166" s="138"/>
      <c r="M166" s="138"/>
    </row>
    <row r="167" spans="1:14" s="37" customFormat="1" x14ac:dyDescent="0.25">
      <c r="A167" s="42">
        <v>1</v>
      </c>
      <c r="B167" s="42" t="s">
        <v>213</v>
      </c>
      <c r="C167" s="42" t="s">
        <v>212</v>
      </c>
      <c r="D167" s="42">
        <f>39.71*10.764</f>
        <v>427.43843999999996</v>
      </c>
      <c r="E167" s="42">
        <v>0</v>
      </c>
      <c r="F167" s="42">
        <f t="shared" ref="F167:F168" si="17">D167*(($F$119)+1)+(IF(E167&lt;101,E167,IF(E167&lt;201,E167/2,IF(E167&lt;=301,E167/3,E167/4))))</f>
        <v>683.90150399999993</v>
      </c>
      <c r="G167" s="160" t="str">
        <f>A166</f>
        <v>13th &amp; 15th to 20th Floor</v>
      </c>
      <c r="H167" s="161"/>
      <c r="I167" s="36"/>
      <c r="N167" s="36"/>
    </row>
    <row r="168" spans="1:14" s="37" customFormat="1" x14ac:dyDescent="0.25">
      <c r="A168" s="42">
        <f t="shared" ref="A168:A178" si="18">A167+1</f>
        <v>2</v>
      </c>
      <c r="B168" s="42" t="s">
        <v>213</v>
      </c>
      <c r="C168" s="42" t="s">
        <v>212</v>
      </c>
      <c r="D168" s="42">
        <f>39.71*10.764</f>
        <v>427.43843999999996</v>
      </c>
      <c r="E168" s="42">
        <v>0</v>
      </c>
      <c r="F168" s="42">
        <f t="shared" si="17"/>
        <v>683.90150399999993</v>
      </c>
      <c r="G168" s="162"/>
      <c r="H168" s="163"/>
      <c r="I168" s="36"/>
      <c r="N168" s="36"/>
    </row>
    <row r="169" spans="1:14" s="37" customFormat="1" x14ac:dyDescent="0.25">
      <c r="A169" s="42">
        <f t="shared" si="18"/>
        <v>3</v>
      </c>
      <c r="B169" s="42" t="s">
        <v>213</v>
      </c>
      <c r="C169" s="42" t="s">
        <v>212</v>
      </c>
      <c r="D169" s="42">
        <f>40.88*10.764</f>
        <v>440.03232000000003</v>
      </c>
      <c r="E169" s="42">
        <v>0</v>
      </c>
      <c r="F169" s="42">
        <f t="shared" ref="F169:F178" si="19">D169*(($F$119)+1)+(IF(E169&lt;101,E169,IF(E169&lt;201,E169/2,IF(E169&lt;=301,E169/3,E169/4))))</f>
        <v>704.05171200000007</v>
      </c>
      <c r="G169" s="162"/>
      <c r="H169" s="163"/>
      <c r="I169" s="36"/>
      <c r="N169" s="36"/>
    </row>
    <row r="170" spans="1:14" s="37" customFormat="1" x14ac:dyDescent="0.25">
      <c r="A170" s="42">
        <f t="shared" si="18"/>
        <v>4</v>
      </c>
      <c r="B170" s="42" t="s">
        <v>213</v>
      </c>
      <c r="C170" s="42" t="s">
        <v>212</v>
      </c>
      <c r="D170" s="42">
        <f>40.88*10.764</f>
        <v>440.03232000000003</v>
      </c>
      <c r="E170" s="42">
        <v>0</v>
      </c>
      <c r="F170" s="42">
        <f t="shared" si="19"/>
        <v>704.05171200000007</v>
      </c>
      <c r="G170" s="162"/>
      <c r="H170" s="163"/>
      <c r="I170" s="36"/>
      <c r="N170" s="36"/>
    </row>
    <row r="171" spans="1:14" s="37" customFormat="1" x14ac:dyDescent="0.25">
      <c r="A171" s="42">
        <f t="shared" si="18"/>
        <v>5</v>
      </c>
      <c r="B171" s="42" t="s">
        <v>213</v>
      </c>
      <c r="C171" s="42" t="s">
        <v>212</v>
      </c>
      <c r="D171" s="42">
        <f>39.71*10.764</f>
        <v>427.43843999999996</v>
      </c>
      <c r="E171" s="42">
        <v>0</v>
      </c>
      <c r="F171" s="42">
        <f t="shared" si="19"/>
        <v>683.90150399999993</v>
      </c>
      <c r="G171" s="162"/>
      <c r="H171" s="163"/>
      <c r="I171" s="36"/>
      <c r="N171" s="36"/>
    </row>
    <row r="172" spans="1:14" s="37" customFormat="1" x14ac:dyDescent="0.25">
      <c r="A172" s="42">
        <f t="shared" si="18"/>
        <v>6</v>
      </c>
      <c r="B172" s="42" t="s">
        <v>213</v>
      </c>
      <c r="C172" s="42" t="s">
        <v>212</v>
      </c>
      <c r="D172" s="42">
        <f>39.71*10.764</f>
        <v>427.43843999999996</v>
      </c>
      <c r="E172" s="42">
        <v>0</v>
      </c>
      <c r="F172" s="42">
        <f t="shared" si="19"/>
        <v>683.90150399999993</v>
      </c>
      <c r="G172" s="162"/>
      <c r="H172" s="163"/>
      <c r="I172" s="36"/>
      <c r="N172" s="36"/>
    </row>
    <row r="173" spans="1:14" s="37" customFormat="1" x14ac:dyDescent="0.25">
      <c r="A173" s="42">
        <f t="shared" si="18"/>
        <v>7</v>
      </c>
      <c r="B173" s="42" t="s">
        <v>213</v>
      </c>
      <c r="C173" s="42" t="s">
        <v>212</v>
      </c>
      <c r="D173" s="42">
        <f>40.88*10.764</f>
        <v>440.03232000000003</v>
      </c>
      <c r="E173" s="42">
        <v>0</v>
      </c>
      <c r="F173" s="42">
        <f t="shared" si="19"/>
        <v>704.05171200000007</v>
      </c>
      <c r="G173" s="162"/>
      <c r="H173" s="163"/>
      <c r="I173" s="36"/>
      <c r="N173" s="36"/>
    </row>
    <row r="174" spans="1:14" s="37" customFormat="1" x14ac:dyDescent="0.25">
      <c r="A174" s="42">
        <f t="shared" si="18"/>
        <v>8</v>
      </c>
      <c r="B174" s="42" t="s">
        <v>213</v>
      </c>
      <c r="C174" s="42" t="s">
        <v>212</v>
      </c>
      <c r="D174" s="42">
        <f>40.88*10.764</f>
        <v>440.03232000000003</v>
      </c>
      <c r="E174" s="42">
        <v>0</v>
      </c>
      <c r="F174" s="42">
        <f t="shared" si="19"/>
        <v>704.05171200000007</v>
      </c>
      <c r="G174" s="162"/>
      <c r="H174" s="163"/>
      <c r="I174" s="36"/>
      <c r="N174" s="36"/>
    </row>
    <row r="175" spans="1:14" s="37" customFormat="1" x14ac:dyDescent="0.25">
      <c r="A175" s="42">
        <f t="shared" si="18"/>
        <v>9</v>
      </c>
      <c r="B175" s="42" t="s">
        <v>213</v>
      </c>
      <c r="C175" s="42" t="s">
        <v>216</v>
      </c>
      <c r="D175" s="42">
        <f>25.9*10.764</f>
        <v>278.78759999999994</v>
      </c>
      <c r="E175" s="42">
        <v>0</v>
      </c>
      <c r="F175" s="42">
        <f t="shared" si="19"/>
        <v>446.06015999999994</v>
      </c>
      <c r="G175" s="162"/>
      <c r="H175" s="163"/>
      <c r="I175" s="36"/>
      <c r="N175" s="36"/>
    </row>
    <row r="176" spans="1:14" s="37" customFormat="1" x14ac:dyDescent="0.25">
      <c r="A176" s="42">
        <f t="shared" si="18"/>
        <v>10</v>
      </c>
      <c r="B176" s="42" t="s">
        <v>213</v>
      </c>
      <c r="C176" s="42" t="s">
        <v>216</v>
      </c>
      <c r="D176" s="42">
        <f t="shared" ref="D176:D178" si="20">25.9*10.764</f>
        <v>278.78759999999994</v>
      </c>
      <c r="E176" s="42">
        <v>0</v>
      </c>
      <c r="F176" s="42">
        <f t="shared" si="19"/>
        <v>446.06015999999994</v>
      </c>
      <c r="G176" s="162"/>
      <c r="H176" s="163"/>
      <c r="I176" s="36"/>
      <c r="N176" s="36"/>
    </row>
    <row r="177" spans="1:14" s="37" customFormat="1" x14ac:dyDescent="0.25">
      <c r="A177" s="42">
        <f t="shared" si="18"/>
        <v>11</v>
      </c>
      <c r="B177" s="42" t="s">
        <v>213</v>
      </c>
      <c r="C177" s="42" t="s">
        <v>216</v>
      </c>
      <c r="D177" s="42">
        <f t="shared" si="20"/>
        <v>278.78759999999994</v>
      </c>
      <c r="E177" s="42">
        <v>0</v>
      </c>
      <c r="F177" s="42">
        <f t="shared" si="19"/>
        <v>446.06015999999994</v>
      </c>
      <c r="G177" s="162"/>
      <c r="H177" s="163"/>
      <c r="I177" s="36"/>
      <c r="N177" s="36"/>
    </row>
    <row r="178" spans="1:14" s="37" customFormat="1" x14ac:dyDescent="0.25">
      <c r="A178" s="42">
        <f t="shared" si="18"/>
        <v>12</v>
      </c>
      <c r="B178" s="42" t="s">
        <v>213</v>
      </c>
      <c r="C178" s="42" t="s">
        <v>216</v>
      </c>
      <c r="D178" s="42">
        <f t="shared" si="20"/>
        <v>278.78759999999994</v>
      </c>
      <c r="E178" s="42">
        <v>0</v>
      </c>
      <c r="F178" s="42">
        <f t="shared" si="19"/>
        <v>446.06015999999994</v>
      </c>
      <c r="G178" s="164"/>
      <c r="H178" s="165"/>
      <c r="I178" s="36"/>
      <c r="N178" s="36"/>
    </row>
    <row r="179" spans="1:14" s="37" customFormat="1" x14ac:dyDescent="0.25">
      <c r="A179" s="78" t="s">
        <v>218</v>
      </c>
      <c r="B179" s="78"/>
      <c r="C179" s="78"/>
      <c r="D179" s="78"/>
      <c r="E179" s="78"/>
      <c r="F179" s="78"/>
      <c r="G179" s="78"/>
      <c r="H179" s="78"/>
      <c r="I179" s="36"/>
      <c r="L179" s="138"/>
      <c r="M179" s="138"/>
    </row>
    <row r="180" spans="1:14" s="37" customFormat="1" x14ac:dyDescent="0.25">
      <c r="A180" s="42">
        <v>1</v>
      </c>
      <c r="B180" s="42" t="s">
        <v>213</v>
      </c>
      <c r="C180" s="42" t="s">
        <v>212</v>
      </c>
      <c r="D180" s="42">
        <f>39.71*10.764</f>
        <v>427.43843999999996</v>
      </c>
      <c r="E180" s="42">
        <v>0</v>
      </c>
      <c r="F180" s="42">
        <f t="shared" ref="F180:F181" si="21">D180*(($F$119)+1)+(IF(E180&lt;101,E180,IF(E180&lt;201,E180/2,IF(E180&lt;=301,E180/3,E180/4))))</f>
        <v>683.90150399999993</v>
      </c>
      <c r="G180" s="160" t="str">
        <f>A179</f>
        <v>14th Floor (Part Refuge Area)</v>
      </c>
      <c r="H180" s="161"/>
      <c r="I180" s="36"/>
      <c r="N180" s="36"/>
    </row>
    <row r="181" spans="1:14" s="37" customFormat="1" x14ac:dyDescent="0.25">
      <c r="A181" s="42">
        <f t="shared" ref="A181:A191" si="22">A180+1</f>
        <v>2</v>
      </c>
      <c r="B181" s="42" t="s">
        <v>213</v>
      </c>
      <c r="C181" s="42" t="s">
        <v>212</v>
      </c>
      <c r="D181" s="42">
        <f>39.71*10.764</f>
        <v>427.43843999999996</v>
      </c>
      <c r="E181" s="42">
        <v>0</v>
      </c>
      <c r="F181" s="42">
        <f t="shared" si="21"/>
        <v>683.90150399999993</v>
      </c>
      <c r="G181" s="162"/>
      <c r="H181" s="163"/>
      <c r="I181" s="36"/>
      <c r="N181" s="36"/>
    </row>
    <row r="182" spans="1:14" s="37" customFormat="1" x14ac:dyDescent="0.25">
      <c r="A182" s="42">
        <f t="shared" si="22"/>
        <v>3</v>
      </c>
      <c r="B182" s="42" t="s">
        <v>213</v>
      </c>
      <c r="C182" s="42" t="s">
        <v>212</v>
      </c>
      <c r="D182" s="42">
        <f>40.88*10.764</f>
        <v>440.03232000000003</v>
      </c>
      <c r="E182" s="42">
        <v>0</v>
      </c>
      <c r="F182" s="42">
        <f t="shared" ref="F182:F191" si="23">D182*(($F$119)+1)+(IF(E182&lt;101,E182,IF(E182&lt;201,E182/2,IF(E182&lt;=301,E182/3,E182/4))))</f>
        <v>704.05171200000007</v>
      </c>
      <c r="G182" s="162"/>
      <c r="H182" s="163"/>
      <c r="I182" s="36"/>
      <c r="N182" s="36"/>
    </row>
    <row r="183" spans="1:14" s="37" customFormat="1" x14ac:dyDescent="0.25">
      <c r="A183" s="42">
        <f t="shared" si="22"/>
        <v>4</v>
      </c>
      <c r="B183" s="144" t="s">
        <v>219</v>
      </c>
      <c r="C183" s="147" t="s">
        <v>212</v>
      </c>
      <c r="D183" s="147">
        <f>40.88*10.764</f>
        <v>440.03232000000003</v>
      </c>
      <c r="E183" s="147">
        <v>0</v>
      </c>
      <c r="F183" s="145">
        <f t="shared" si="23"/>
        <v>704.05171200000007</v>
      </c>
      <c r="G183" s="162"/>
      <c r="H183" s="163"/>
      <c r="I183" s="36"/>
      <c r="N183" s="36"/>
    </row>
    <row r="184" spans="1:14" s="37" customFormat="1" x14ac:dyDescent="0.25">
      <c r="A184" s="42">
        <f t="shared" si="22"/>
        <v>5</v>
      </c>
      <c r="B184" s="42" t="s">
        <v>213</v>
      </c>
      <c r="C184" s="42" t="s">
        <v>212</v>
      </c>
      <c r="D184" s="42">
        <f>39.71*10.764</f>
        <v>427.43843999999996</v>
      </c>
      <c r="E184" s="42">
        <v>0</v>
      </c>
      <c r="F184" s="42">
        <f t="shared" si="23"/>
        <v>683.90150399999993</v>
      </c>
      <c r="G184" s="162"/>
      <c r="H184" s="163"/>
      <c r="I184" s="36"/>
      <c r="N184" s="36"/>
    </row>
    <row r="185" spans="1:14" s="37" customFormat="1" x14ac:dyDescent="0.25">
      <c r="A185" s="42">
        <f t="shared" si="22"/>
        <v>6</v>
      </c>
      <c r="B185" s="42" t="s">
        <v>213</v>
      </c>
      <c r="C185" s="42" t="s">
        <v>212</v>
      </c>
      <c r="D185" s="42">
        <f>39.71*10.764</f>
        <v>427.43843999999996</v>
      </c>
      <c r="E185" s="42">
        <v>0</v>
      </c>
      <c r="F185" s="42">
        <f t="shared" si="23"/>
        <v>683.90150399999993</v>
      </c>
      <c r="G185" s="162"/>
      <c r="H185" s="163"/>
      <c r="I185" s="36"/>
      <c r="N185" s="36"/>
    </row>
    <row r="186" spans="1:14" s="37" customFormat="1" x14ac:dyDescent="0.25">
      <c r="A186" s="42">
        <f t="shared" si="22"/>
        <v>7</v>
      </c>
      <c r="B186" s="144" t="s">
        <v>219</v>
      </c>
      <c r="C186" s="147" t="s">
        <v>212</v>
      </c>
      <c r="D186" s="147">
        <f>40.88*10.764</f>
        <v>440.03232000000003</v>
      </c>
      <c r="E186" s="147">
        <v>0</v>
      </c>
      <c r="F186" s="145">
        <f t="shared" si="23"/>
        <v>704.05171200000007</v>
      </c>
      <c r="G186" s="162"/>
      <c r="H186" s="163"/>
      <c r="I186" s="36"/>
      <c r="N186" s="36"/>
    </row>
    <row r="187" spans="1:14" s="37" customFormat="1" x14ac:dyDescent="0.25">
      <c r="A187" s="42">
        <f t="shared" si="22"/>
        <v>8</v>
      </c>
      <c r="B187" s="144" t="s">
        <v>219</v>
      </c>
      <c r="C187" s="147" t="s">
        <v>212</v>
      </c>
      <c r="D187" s="147">
        <f>40.88*10.764</f>
        <v>440.03232000000003</v>
      </c>
      <c r="E187" s="147">
        <v>0</v>
      </c>
      <c r="F187" s="145">
        <f t="shared" si="23"/>
        <v>704.05171200000007</v>
      </c>
      <c r="G187" s="162"/>
      <c r="H187" s="163"/>
      <c r="I187" s="36"/>
      <c r="N187" s="36"/>
    </row>
    <row r="188" spans="1:14" s="37" customFormat="1" x14ac:dyDescent="0.25">
      <c r="A188" s="42">
        <f t="shared" si="22"/>
        <v>9</v>
      </c>
      <c r="B188" s="42" t="s">
        <v>213</v>
      </c>
      <c r="C188" s="42" t="s">
        <v>216</v>
      </c>
      <c r="D188" s="42">
        <f>25.9*10.764</f>
        <v>278.78759999999994</v>
      </c>
      <c r="E188" s="42">
        <v>0</v>
      </c>
      <c r="F188" s="42">
        <f t="shared" si="23"/>
        <v>446.06015999999994</v>
      </c>
      <c r="G188" s="162"/>
      <c r="H188" s="163"/>
      <c r="I188" s="36"/>
      <c r="N188" s="36"/>
    </row>
    <row r="189" spans="1:14" s="37" customFormat="1" x14ac:dyDescent="0.25">
      <c r="A189" s="42">
        <f t="shared" si="22"/>
        <v>10</v>
      </c>
      <c r="B189" s="42" t="s">
        <v>213</v>
      </c>
      <c r="C189" s="42" t="s">
        <v>216</v>
      </c>
      <c r="D189" s="42">
        <f t="shared" ref="D189:D191" si="24">25.9*10.764</f>
        <v>278.78759999999994</v>
      </c>
      <c r="E189" s="42">
        <v>0</v>
      </c>
      <c r="F189" s="42">
        <f t="shared" si="23"/>
        <v>446.06015999999994</v>
      </c>
      <c r="G189" s="162"/>
      <c r="H189" s="163"/>
      <c r="I189" s="36"/>
      <c r="N189" s="36"/>
    </row>
    <row r="190" spans="1:14" s="37" customFormat="1" x14ac:dyDescent="0.25">
      <c r="A190" s="42">
        <f t="shared" si="22"/>
        <v>11</v>
      </c>
      <c r="B190" s="42" t="s">
        <v>213</v>
      </c>
      <c r="C190" s="42" t="s">
        <v>216</v>
      </c>
      <c r="D190" s="42">
        <f t="shared" si="24"/>
        <v>278.78759999999994</v>
      </c>
      <c r="E190" s="42">
        <v>0</v>
      </c>
      <c r="F190" s="42">
        <f t="shared" si="23"/>
        <v>446.06015999999994</v>
      </c>
      <c r="G190" s="162"/>
      <c r="H190" s="163"/>
      <c r="I190" s="36"/>
      <c r="N190" s="36"/>
    </row>
    <row r="191" spans="1:14" s="37" customFormat="1" x14ac:dyDescent="0.25">
      <c r="A191" s="42">
        <f t="shared" si="22"/>
        <v>12</v>
      </c>
      <c r="B191" s="42" t="s">
        <v>213</v>
      </c>
      <c r="C191" s="42" t="s">
        <v>216</v>
      </c>
      <c r="D191" s="42">
        <f t="shared" si="24"/>
        <v>278.78759999999994</v>
      </c>
      <c r="E191" s="42">
        <v>0</v>
      </c>
      <c r="F191" s="42">
        <f t="shared" si="23"/>
        <v>446.06015999999994</v>
      </c>
      <c r="G191" s="164"/>
      <c r="H191" s="165"/>
      <c r="I191" s="36"/>
      <c r="N191" s="36"/>
    </row>
    <row r="192" spans="1:14" s="37" customFormat="1" x14ac:dyDescent="0.25">
      <c r="A192" s="78" t="s">
        <v>220</v>
      </c>
      <c r="B192" s="78"/>
      <c r="C192" s="78"/>
      <c r="D192" s="78"/>
      <c r="E192" s="78"/>
      <c r="F192" s="78"/>
      <c r="G192" s="78"/>
      <c r="H192" s="78"/>
      <c r="I192" s="36"/>
      <c r="L192" s="138"/>
      <c r="M192" s="138"/>
    </row>
    <row r="193" spans="1:14" s="37" customFormat="1" x14ac:dyDescent="0.25">
      <c r="A193" s="42">
        <v>1</v>
      </c>
      <c r="B193" s="42" t="s">
        <v>213</v>
      </c>
      <c r="C193" s="42" t="s">
        <v>216</v>
      </c>
      <c r="D193" s="42">
        <f>25.9*10.764</f>
        <v>278.78759999999994</v>
      </c>
      <c r="E193" s="42">
        <v>0</v>
      </c>
      <c r="F193" s="42">
        <f t="shared" ref="F193:F194" si="25">D193*(($F$119)+1)+(IF(E193&lt;101,E193,IF(E193&lt;201,E193/2,IF(E193&lt;=301,E193/3,E193/4))))</f>
        <v>446.06015999999994</v>
      </c>
      <c r="G193" s="160" t="str">
        <f>A192</f>
        <v>21st Floor</v>
      </c>
      <c r="H193" s="161"/>
      <c r="I193" s="36"/>
      <c r="N193" s="36"/>
    </row>
    <row r="194" spans="1:14" s="37" customFormat="1" x14ac:dyDescent="0.25">
      <c r="A194" s="42">
        <f t="shared" ref="A194:A201" si="26">A193+1</f>
        <v>2</v>
      </c>
      <c r="B194" s="42" t="s">
        <v>213</v>
      </c>
      <c r="C194" s="42" t="s">
        <v>212</v>
      </c>
      <c r="D194" s="42">
        <f>39.71*10.764</f>
        <v>427.43843999999996</v>
      </c>
      <c r="E194" s="42">
        <v>0</v>
      </c>
      <c r="F194" s="42">
        <f t="shared" si="25"/>
        <v>683.90150399999993</v>
      </c>
      <c r="G194" s="162"/>
      <c r="H194" s="163"/>
      <c r="I194" s="36"/>
      <c r="J194" s="37">
        <f>9000000/F194</f>
        <v>13159.789746565611</v>
      </c>
      <c r="N194" s="36"/>
    </row>
    <row r="195" spans="1:14" s="37" customFormat="1" x14ac:dyDescent="0.25">
      <c r="A195" s="42">
        <f t="shared" si="26"/>
        <v>3</v>
      </c>
      <c r="B195" s="42" t="s">
        <v>213</v>
      </c>
      <c r="C195" s="42" t="s">
        <v>212</v>
      </c>
      <c r="D195" s="42">
        <f>39.71*10.764</f>
        <v>427.43843999999996</v>
      </c>
      <c r="E195" s="42">
        <v>0</v>
      </c>
      <c r="F195" s="42">
        <f t="shared" ref="F195:F201" si="27">D195*(($F$119)+1)+(IF(E195&lt;101,E195,IF(E195&lt;201,E195/2,IF(E195&lt;=301,E195/3,E195/4))))</f>
        <v>683.90150399999993</v>
      </c>
      <c r="G195" s="162"/>
      <c r="H195" s="163"/>
      <c r="I195" s="36"/>
      <c r="N195" s="36"/>
    </row>
    <row r="196" spans="1:14" s="37" customFormat="1" x14ac:dyDescent="0.25">
      <c r="A196" s="42">
        <f t="shared" si="26"/>
        <v>4</v>
      </c>
      <c r="B196" s="42" t="s">
        <v>213</v>
      </c>
      <c r="C196" s="42" t="s">
        <v>212</v>
      </c>
      <c r="D196" s="42">
        <f>39.71*10.764</f>
        <v>427.43843999999996</v>
      </c>
      <c r="E196" s="42">
        <v>0</v>
      </c>
      <c r="F196" s="42">
        <f t="shared" si="27"/>
        <v>683.90150399999993</v>
      </c>
      <c r="G196" s="162"/>
      <c r="H196" s="163"/>
      <c r="I196" s="36"/>
      <c r="N196" s="36"/>
    </row>
    <row r="197" spans="1:14" s="37" customFormat="1" x14ac:dyDescent="0.25">
      <c r="A197" s="42">
        <f t="shared" si="26"/>
        <v>5</v>
      </c>
      <c r="B197" s="42" t="s">
        <v>213</v>
      </c>
      <c r="C197" s="42" t="s">
        <v>212</v>
      </c>
      <c r="D197" s="42">
        <f>39.71*10.764</f>
        <v>427.43843999999996</v>
      </c>
      <c r="E197" s="42">
        <v>0</v>
      </c>
      <c r="F197" s="42">
        <f t="shared" si="27"/>
        <v>683.90150399999993</v>
      </c>
      <c r="G197" s="162"/>
      <c r="H197" s="163"/>
      <c r="I197" s="36"/>
      <c r="N197" s="36"/>
    </row>
    <row r="198" spans="1:14" s="37" customFormat="1" x14ac:dyDescent="0.25">
      <c r="A198" s="42">
        <f t="shared" si="26"/>
        <v>6</v>
      </c>
      <c r="B198" s="42" t="s">
        <v>213</v>
      </c>
      <c r="C198" s="42" t="s">
        <v>216</v>
      </c>
      <c r="D198" s="42">
        <f t="shared" ref="D198:D199" si="28">25.9*10.764</f>
        <v>278.78759999999994</v>
      </c>
      <c r="E198" s="42">
        <v>0</v>
      </c>
      <c r="F198" s="42">
        <f t="shared" si="27"/>
        <v>446.06015999999994</v>
      </c>
      <c r="G198" s="162"/>
      <c r="H198" s="163"/>
      <c r="I198" s="36"/>
      <c r="N198" s="36"/>
    </row>
    <row r="199" spans="1:14" s="37" customFormat="1" x14ac:dyDescent="0.25">
      <c r="A199" s="42">
        <f t="shared" si="26"/>
        <v>7</v>
      </c>
      <c r="B199" s="42" t="s">
        <v>213</v>
      </c>
      <c r="C199" s="42" t="s">
        <v>216</v>
      </c>
      <c r="D199" s="42">
        <f t="shared" si="28"/>
        <v>278.78759999999994</v>
      </c>
      <c r="E199" s="42">
        <v>0</v>
      </c>
      <c r="F199" s="42">
        <f t="shared" si="27"/>
        <v>446.06015999999994</v>
      </c>
      <c r="G199" s="162"/>
      <c r="H199" s="163"/>
      <c r="I199" s="36"/>
      <c r="N199" s="36"/>
    </row>
    <row r="200" spans="1:14" s="37" customFormat="1" x14ac:dyDescent="0.25">
      <c r="A200" s="42">
        <f t="shared" si="26"/>
        <v>8</v>
      </c>
      <c r="B200" s="42" t="s">
        <v>213</v>
      </c>
      <c r="C200" s="42" t="s">
        <v>212</v>
      </c>
      <c r="D200" s="42">
        <f>40.88*10.764</f>
        <v>440.03232000000003</v>
      </c>
      <c r="E200" s="42">
        <v>0</v>
      </c>
      <c r="F200" s="42">
        <f t="shared" si="27"/>
        <v>704.05171200000007</v>
      </c>
      <c r="G200" s="162"/>
      <c r="H200" s="163"/>
      <c r="I200" s="36"/>
      <c r="N200" s="36"/>
    </row>
    <row r="201" spans="1:14" s="37" customFormat="1" x14ac:dyDescent="0.25">
      <c r="A201" s="42">
        <f t="shared" si="26"/>
        <v>9</v>
      </c>
      <c r="B201" s="42" t="s">
        <v>213</v>
      </c>
      <c r="C201" s="42" t="s">
        <v>216</v>
      </c>
      <c r="D201" s="42">
        <f>25.9*10.764</f>
        <v>278.78759999999994</v>
      </c>
      <c r="E201" s="42">
        <v>0</v>
      </c>
      <c r="F201" s="42">
        <f t="shared" si="27"/>
        <v>446.06015999999994</v>
      </c>
      <c r="G201" s="162"/>
      <c r="H201" s="163"/>
      <c r="I201" s="36"/>
      <c r="J201" s="37">
        <f>6500000/F201</f>
        <v>14572.02544159066</v>
      </c>
      <c r="N201" s="36"/>
    </row>
    <row r="202" spans="1:14" s="35" customFormat="1" x14ac:dyDescent="0.25">
      <c r="A202" s="171" t="s">
        <v>70</v>
      </c>
      <c r="B202" s="171"/>
      <c r="C202" s="171"/>
      <c r="D202" s="171"/>
      <c r="E202" s="171"/>
      <c r="F202" s="171"/>
      <c r="G202" s="171"/>
      <c r="H202" s="171"/>
    </row>
    <row r="203" spans="1:14" s="35" customFormat="1" x14ac:dyDescent="0.25">
      <c r="A203" s="47" t="s">
        <v>160</v>
      </c>
      <c r="B203" s="75" t="s">
        <v>235</v>
      </c>
      <c r="C203" s="76"/>
      <c r="D203" s="76"/>
      <c r="E203" s="76"/>
      <c r="F203" s="76"/>
      <c r="G203" s="76"/>
      <c r="H203" s="77"/>
    </row>
    <row r="204" spans="1:14" s="35" customFormat="1" x14ac:dyDescent="0.25">
      <c r="A204" s="47" t="s">
        <v>160</v>
      </c>
      <c r="B204" s="75" t="str">
        <f>(IF(F118="Saleable area Loading :","We have considered Saleable area of Flats as per our Calculation.","We considered Saleable area of Flat as per Builder area Sheet."))</f>
        <v>We have considered Saleable area of Flats as per our Calculation.</v>
      </c>
      <c r="C204" s="76"/>
      <c r="D204" s="76"/>
      <c r="E204" s="76"/>
      <c r="F204" s="76"/>
      <c r="G204" s="76"/>
      <c r="H204" s="77"/>
    </row>
    <row r="205" spans="1:14" s="35" customFormat="1" x14ac:dyDescent="0.25">
      <c r="A205" s="47" t="s">
        <v>160</v>
      </c>
      <c r="B205" s="75" t="str">
        <f>(IF(F110="Saleable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5" s="76"/>
      <c r="D205" s="76"/>
      <c r="E205" s="76"/>
      <c r="F205" s="76"/>
      <c r="G205" s="76"/>
      <c r="H205" s="77"/>
    </row>
    <row r="206" spans="1:14" s="35" customFormat="1" x14ac:dyDescent="0.25">
      <c r="A206" s="47" t="s">
        <v>160</v>
      </c>
      <c r="B206" s="168" t="s">
        <v>130</v>
      </c>
      <c r="C206" s="169"/>
      <c r="D206" s="169"/>
      <c r="E206" s="169"/>
      <c r="F206" s="169"/>
      <c r="G206" s="169"/>
      <c r="H206" s="170"/>
    </row>
    <row r="207" spans="1:14" s="35" customFormat="1" x14ac:dyDescent="0.25">
      <c r="A207" s="47" t="s">
        <v>160</v>
      </c>
      <c r="B207" s="168" t="s">
        <v>221</v>
      </c>
      <c r="C207" s="169"/>
      <c r="D207" s="169"/>
      <c r="E207" s="169"/>
      <c r="F207" s="169"/>
      <c r="G207" s="169"/>
      <c r="H207" s="170"/>
    </row>
    <row r="208" spans="1:14" s="35" customFormat="1" x14ac:dyDescent="0.25">
      <c r="A208" s="47" t="s">
        <v>160</v>
      </c>
      <c r="B208" s="168" t="s">
        <v>159</v>
      </c>
      <c r="C208" s="169"/>
      <c r="D208" s="169"/>
      <c r="E208" s="169"/>
      <c r="F208" s="169"/>
      <c r="G208" s="169"/>
      <c r="H208" s="170"/>
    </row>
    <row r="209" spans="1:8" s="35" customFormat="1" x14ac:dyDescent="0.25">
      <c r="A209" s="47" t="s">
        <v>160</v>
      </c>
      <c r="B209" s="168" t="s">
        <v>131</v>
      </c>
      <c r="C209" s="169"/>
      <c r="D209" s="169"/>
      <c r="E209" s="169"/>
      <c r="F209" s="169"/>
      <c r="G209" s="169"/>
      <c r="H209" s="170"/>
    </row>
    <row r="210" spans="1:8" s="35" customFormat="1" ht="34.5" customHeight="1" x14ac:dyDescent="0.25">
      <c r="A210" s="47" t="s">
        <v>160</v>
      </c>
      <c r="B210" s="168" t="s">
        <v>161</v>
      </c>
      <c r="C210" s="169"/>
      <c r="D210" s="169"/>
      <c r="E210" s="169"/>
      <c r="F210" s="169"/>
      <c r="G210" s="169"/>
      <c r="H210" s="170"/>
    </row>
    <row r="211" spans="1:8" s="35" customFormat="1" x14ac:dyDescent="0.25">
      <c r="A211" s="47" t="s">
        <v>160</v>
      </c>
      <c r="B211" s="168" t="s">
        <v>132</v>
      </c>
      <c r="C211" s="169"/>
      <c r="D211" s="169"/>
      <c r="E211" s="169"/>
      <c r="F211" s="169"/>
      <c r="G211" s="169"/>
      <c r="H211" s="170"/>
    </row>
    <row r="212" spans="1:8" s="35" customFormat="1" x14ac:dyDescent="0.25">
      <c r="A212" s="47" t="s">
        <v>160</v>
      </c>
      <c r="B212" s="168" t="s">
        <v>225</v>
      </c>
      <c r="C212" s="169"/>
      <c r="D212" s="169"/>
      <c r="E212" s="169"/>
      <c r="F212" s="169"/>
      <c r="G212" s="169"/>
      <c r="H212" s="170"/>
    </row>
    <row r="213" spans="1:8" s="35" customFormat="1" ht="49.5" customHeight="1" x14ac:dyDescent="0.25">
      <c r="A213" s="47" t="s">
        <v>160</v>
      </c>
      <c r="B213" s="75" t="s">
        <v>227</v>
      </c>
      <c r="C213" s="76"/>
      <c r="D213" s="76"/>
      <c r="E213" s="76"/>
      <c r="F213" s="76"/>
      <c r="G213" s="76"/>
      <c r="H213" s="77"/>
    </row>
    <row r="214" spans="1:8" s="35" customFormat="1" x14ac:dyDescent="0.25">
      <c r="A214" s="47" t="s">
        <v>160</v>
      </c>
      <c r="B214" s="75" t="s">
        <v>233</v>
      </c>
      <c r="C214" s="76"/>
      <c r="D214" s="76"/>
      <c r="E214" s="76"/>
      <c r="F214" s="76"/>
      <c r="G214" s="76"/>
      <c r="H214" s="77"/>
    </row>
    <row r="215" spans="1:8" s="35" customFormat="1" x14ac:dyDescent="0.25">
      <c r="A215" s="47" t="s">
        <v>160</v>
      </c>
      <c r="B215" s="75" t="s">
        <v>234</v>
      </c>
      <c r="C215" s="76"/>
      <c r="D215" s="76"/>
      <c r="E215" s="76"/>
      <c r="F215" s="76"/>
      <c r="G215" s="76"/>
      <c r="H215" s="77"/>
    </row>
    <row r="216" spans="1:8" s="35" customFormat="1" hidden="1" x14ac:dyDescent="0.25">
      <c r="A216" s="47" t="s">
        <v>160</v>
      </c>
      <c r="B216" s="75" t="s">
        <v>237</v>
      </c>
      <c r="C216" s="76"/>
      <c r="D216" s="76"/>
      <c r="E216" s="76"/>
      <c r="F216" s="76"/>
      <c r="G216" s="76"/>
      <c r="H216" s="77"/>
    </row>
    <row r="217" spans="1:8" x14ac:dyDescent="0.25">
      <c r="A217" s="80" t="s">
        <v>63</v>
      </c>
      <c r="B217" s="80"/>
      <c r="C217" s="80"/>
      <c r="D217" s="80"/>
      <c r="E217" s="80"/>
      <c r="F217" s="80"/>
      <c r="G217" s="80"/>
      <c r="H217" s="80"/>
    </row>
    <row r="218" spans="1:8" x14ac:dyDescent="0.25">
      <c r="A218" s="57" t="s">
        <v>64</v>
      </c>
      <c r="B218" s="57"/>
      <c r="C218" s="57"/>
      <c r="D218" s="57"/>
      <c r="E218" s="57"/>
      <c r="F218" s="57"/>
      <c r="G218" s="57"/>
      <c r="H218" s="57"/>
    </row>
    <row r="219" spans="1:8" ht="15.75" customHeight="1" x14ac:dyDescent="0.25">
      <c r="A219" s="81" t="s">
        <v>65</v>
      </c>
      <c r="B219" s="81"/>
      <c r="C219" s="81"/>
      <c r="D219" s="81"/>
      <c r="E219" s="81"/>
      <c r="F219" s="81"/>
      <c r="G219" s="81"/>
      <c r="H219" s="81"/>
    </row>
    <row r="220" spans="1:8" x14ac:dyDescent="0.25">
      <c r="A220" s="57" t="s">
        <v>66</v>
      </c>
      <c r="B220" s="57"/>
      <c r="C220" s="57"/>
      <c r="D220" s="57"/>
      <c r="E220" s="57"/>
      <c r="F220" s="57"/>
      <c r="G220" s="57"/>
      <c r="H220" s="57"/>
    </row>
    <row r="221" spans="1:8" x14ac:dyDescent="0.25">
      <c r="A221" s="57" t="s">
        <v>67</v>
      </c>
      <c r="B221" s="57"/>
      <c r="C221" s="57"/>
      <c r="D221" s="57"/>
      <c r="E221" s="57"/>
      <c r="F221" s="57"/>
      <c r="G221" s="57"/>
      <c r="H221" s="57"/>
    </row>
    <row r="222" spans="1:8" x14ac:dyDescent="0.25">
      <c r="A222" s="57" t="s">
        <v>133</v>
      </c>
      <c r="B222" s="57"/>
      <c r="C222" s="57"/>
      <c r="D222" s="57"/>
      <c r="E222" s="57"/>
      <c r="F222" s="57"/>
      <c r="G222" s="57"/>
      <c r="H222" s="57"/>
    </row>
    <row r="223" spans="1:8" ht="31.5" customHeight="1" x14ac:dyDescent="0.25">
      <c r="A223" s="74" t="s">
        <v>134</v>
      </c>
      <c r="B223" s="74"/>
      <c r="C223" s="74"/>
      <c r="D223" s="74"/>
      <c r="E223" s="74"/>
      <c r="F223" s="74"/>
      <c r="G223" s="74"/>
      <c r="H223" s="74"/>
    </row>
    <row r="224" spans="1:8" x14ac:dyDescent="0.25">
      <c r="A224" s="72" t="s">
        <v>80</v>
      </c>
      <c r="B224" s="72"/>
      <c r="C224" s="72" t="s">
        <v>238</v>
      </c>
      <c r="D224" s="72"/>
      <c r="E224" s="72" t="s">
        <v>110</v>
      </c>
      <c r="F224" s="72"/>
      <c r="G224" s="72" t="s">
        <v>239</v>
      </c>
      <c r="H224" s="72"/>
    </row>
    <row r="225" spans="1:8" x14ac:dyDescent="0.25">
      <c r="A225" s="71" t="s">
        <v>82</v>
      </c>
      <c r="B225" s="71"/>
      <c r="C225" s="71"/>
      <c r="D225" s="71"/>
      <c r="E225" s="71"/>
      <c r="F225" s="71"/>
      <c r="G225" s="71"/>
      <c r="H225" s="71"/>
    </row>
    <row r="226" spans="1:8" x14ac:dyDescent="0.25">
      <c r="A226" s="71"/>
      <c r="B226" s="71"/>
      <c r="C226" s="71"/>
      <c r="D226" s="71"/>
      <c r="E226" s="71"/>
      <c r="F226" s="71"/>
      <c r="G226" s="71"/>
      <c r="H226" s="71"/>
    </row>
    <row r="227" spans="1:8" x14ac:dyDescent="0.25">
      <c r="A227" s="71"/>
      <c r="B227" s="71"/>
      <c r="C227" s="71"/>
      <c r="D227" s="71"/>
      <c r="E227" s="71"/>
      <c r="F227" s="71"/>
      <c r="G227" s="71"/>
      <c r="H227" s="71"/>
    </row>
    <row r="228" spans="1:8" x14ac:dyDescent="0.25">
      <c r="A228" s="71"/>
      <c r="B228" s="71"/>
      <c r="C228" s="71"/>
      <c r="D228" s="71"/>
      <c r="E228" s="71"/>
      <c r="F228" s="71"/>
      <c r="G228" s="71"/>
      <c r="H228" s="71"/>
    </row>
    <row r="229" spans="1:8" x14ac:dyDescent="0.25">
      <c r="A229" s="38" t="s">
        <v>68</v>
      </c>
      <c r="B229" s="39"/>
      <c r="C229" s="39"/>
      <c r="D229" s="38" t="str">
        <f>E8</f>
        <v>Sushanku Avenue 36</v>
      </c>
      <c r="F229" s="39"/>
      <c r="G229" s="39"/>
      <c r="H229" s="39"/>
    </row>
    <row r="230" spans="1:8" x14ac:dyDescent="0.25">
      <c r="A230" s="39"/>
      <c r="B230" s="39"/>
      <c r="C230" s="39"/>
      <c r="D230" s="39"/>
      <c r="E230" s="39"/>
      <c r="F230" s="39"/>
      <c r="G230" s="39"/>
      <c r="H230" s="39"/>
    </row>
    <row r="231" spans="1:8" x14ac:dyDescent="0.25">
      <c r="A231" s="39"/>
      <c r="B231" s="39"/>
      <c r="C231" s="39"/>
      <c r="D231" s="39"/>
      <c r="E231" s="39"/>
      <c r="F231" s="39"/>
      <c r="G231" s="39"/>
      <c r="H231" s="39"/>
    </row>
    <row r="232" spans="1:8" ht="15" customHeight="1" x14ac:dyDescent="0.25"/>
    <row r="273" spans="1:1" x14ac:dyDescent="0.25">
      <c r="A273" s="41" t="s">
        <v>173</v>
      </c>
    </row>
    <row r="314" spans="1:1" x14ac:dyDescent="0.25">
      <c r="A314" s="41" t="s">
        <v>69</v>
      </c>
    </row>
  </sheetData>
  <mergeCells count="325">
    <mergeCell ref="B215:H215"/>
    <mergeCell ref="B214:H214"/>
    <mergeCell ref="A52:B53"/>
    <mergeCell ref="C52:E52"/>
    <mergeCell ref="G52:H52"/>
    <mergeCell ref="C53:E53"/>
    <mergeCell ref="G53:H53"/>
    <mergeCell ref="A54:B55"/>
    <mergeCell ref="C54:E54"/>
    <mergeCell ref="G54:H54"/>
    <mergeCell ref="C55:E55"/>
    <mergeCell ref="G55:H55"/>
    <mergeCell ref="A85:E85"/>
    <mergeCell ref="D110:D111"/>
    <mergeCell ref="A87:E87"/>
    <mergeCell ref="A113:B113"/>
    <mergeCell ref="A114:B114"/>
    <mergeCell ref="A126:H126"/>
    <mergeCell ref="C110:C111"/>
    <mergeCell ref="B118:B119"/>
    <mergeCell ref="G125:H125"/>
    <mergeCell ref="A86:E86"/>
    <mergeCell ref="F87:H87"/>
    <mergeCell ref="A88:E88"/>
    <mergeCell ref="A106:B106"/>
    <mergeCell ref="E106:F106"/>
    <mergeCell ref="A116:B116"/>
    <mergeCell ref="G115:H115"/>
    <mergeCell ref="A115:B115"/>
    <mergeCell ref="C106:D106"/>
    <mergeCell ref="F93:H93"/>
    <mergeCell ref="A124:B124"/>
    <mergeCell ref="G124:H124"/>
    <mergeCell ref="G114:H114"/>
    <mergeCell ref="A107:B107"/>
    <mergeCell ref="C107:D107"/>
    <mergeCell ref="L192:M192"/>
    <mergeCell ref="G193:H201"/>
    <mergeCell ref="B212:H212"/>
    <mergeCell ref="A166:H166"/>
    <mergeCell ref="L166:M166"/>
    <mergeCell ref="G167:H178"/>
    <mergeCell ref="A179:H179"/>
    <mergeCell ref="L179:M179"/>
    <mergeCell ref="G180:H191"/>
    <mergeCell ref="B206:H206"/>
    <mergeCell ref="B209:H209"/>
    <mergeCell ref="B205:H205"/>
    <mergeCell ref="B203:H203"/>
    <mergeCell ref="B204:H204"/>
    <mergeCell ref="B210:H210"/>
    <mergeCell ref="B208:H208"/>
    <mergeCell ref="B211:H211"/>
    <mergeCell ref="B207:H207"/>
    <mergeCell ref="A202:H202"/>
    <mergeCell ref="A192:H192"/>
    <mergeCell ref="L140:M140"/>
    <mergeCell ref="G141:H152"/>
    <mergeCell ref="B144:F144"/>
    <mergeCell ref="B147:F148"/>
    <mergeCell ref="B183:F183"/>
    <mergeCell ref="B186:F186"/>
    <mergeCell ref="B187:F187"/>
    <mergeCell ref="G128:H139"/>
    <mergeCell ref="G154:H165"/>
    <mergeCell ref="A153:H153"/>
    <mergeCell ref="L153:M153"/>
    <mergeCell ref="A140:H140"/>
    <mergeCell ref="G116:H116"/>
    <mergeCell ref="A108:H108"/>
    <mergeCell ref="L116:M116"/>
    <mergeCell ref="L115:M115"/>
    <mergeCell ref="L114:M114"/>
    <mergeCell ref="D63:H63"/>
    <mergeCell ref="A42:D42"/>
    <mergeCell ref="E42:H42"/>
    <mergeCell ref="E43:H43"/>
    <mergeCell ref="E44:H44"/>
    <mergeCell ref="E45:H45"/>
    <mergeCell ref="A79:B79"/>
    <mergeCell ref="A72:B72"/>
    <mergeCell ref="A75:B75"/>
    <mergeCell ref="A71:B71"/>
    <mergeCell ref="A69:B69"/>
    <mergeCell ref="C69:H69"/>
    <mergeCell ref="A47:B47"/>
    <mergeCell ref="C47:H47"/>
    <mergeCell ref="A77:B77"/>
    <mergeCell ref="A63:C63"/>
    <mergeCell ref="D62:H62"/>
    <mergeCell ref="A64:C64"/>
    <mergeCell ref="D64:H64"/>
    <mergeCell ref="A101:B101"/>
    <mergeCell ref="C101:D101"/>
    <mergeCell ref="E101:F101"/>
    <mergeCell ref="G101:H101"/>
    <mergeCell ref="A105:B105"/>
    <mergeCell ref="C105:D105"/>
    <mergeCell ref="E105:F105"/>
    <mergeCell ref="G105:H105"/>
    <mergeCell ref="C103:D103"/>
    <mergeCell ref="G103:H103"/>
    <mergeCell ref="L124:M124"/>
    <mergeCell ref="C118:C119"/>
    <mergeCell ref="A121:H121"/>
    <mergeCell ref="A122:B122"/>
    <mergeCell ref="G122:H122"/>
    <mergeCell ref="L127:M127"/>
    <mergeCell ref="A117:H117"/>
    <mergeCell ref="A118:A119"/>
    <mergeCell ref="L125:M125"/>
    <mergeCell ref="A125:B125"/>
    <mergeCell ref="A120:H120"/>
    <mergeCell ref="L122:M122"/>
    <mergeCell ref="A123:B123"/>
    <mergeCell ref="G123:H123"/>
    <mergeCell ref="L123:M123"/>
    <mergeCell ref="L113:M113"/>
    <mergeCell ref="A80:B80"/>
    <mergeCell ref="C104:D104"/>
    <mergeCell ref="E104:F104"/>
    <mergeCell ref="G104:H104"/>
    <mergeCell ref="F90:H90"/>
    <mergeCell ref="A84:E84"/>
    <mergeCell ref="A112:H112"/>
    <mergeCell ref="E110:E111"/>
    <mergeCell ref="G110:H111"/>
    <mergeCell ref="A89:E89"/>
    <mergeCell ref="F89:H89"/>
    <mergeCell ref="A90:E90"/>
    <mergeCell ref="A92:E92"/>
    <mergeCell ref="F86:H86"/>
    <mergeCell ref="A91:E91"/>
    <mergeCell ref="A83:E83"/>
    <mergeCell ref="E103:F103"/>
    <mergeCell ref="G113:H113"/>
    <mergeCell ref="F83:H83"/>
    <mergeCell ref="F88:H88"/>
    <mergeCell ref="F91:H91"/>
    <mergeCell ref="F84:H84"/>
    <mergeCell ref="G99:H99"/>
    <mergeCell ref="A36:H36"/>
    <mergeCell ref="A35:B35"/>
    <mergeCell ref="C35:E35"/>
    <mergeCell ref="A40:D40"/>
    <mergeCell ref="E40:H40"/>
    <mergeCell ref="C48:E48"/>
    <mergeCell ref="C51:E51"/>
    <mergeCell ref="G51:H51"/>
    <mergeCell ref="G48:H48"/>
    <mergeCell ref="G50:H50"/>
    <mergeCell ref="A49:B49"/>
    <mergeCell ref="F35:H35"/>
    <mergeCell ref="A48:B48"/>
    <mergeCell ref="C37:H37"/>
    <mergeCell ref="A44:D44"/>
    <mergeCell ref="A38:B38"/>
    <mergeCell ref="C38:H38"/>
    <mergeCell ref="A57:H57"/>
    <mergeCell ref="A58:C58"/>
    <mergeCell ref="A59:C59"/>
    <mergeCell ref="D59:H59"/>
    <mergeCell ref="G56:H56"/>
    <mergeCell ref="A37:B37"/>
    <mergeCell ref="A39:H39"/>
    <mergeCell ref="A62:C62"/>
    <mergeCell ref="A43:D43"/>
    <mergeCell ref="A45:D45"/>
    <mergeCell ref="A46:H46"/>
    <mergeCell ref="D60:H60"/>
    <mergeCell ref="A60:C60"/>
    <mergeCell ref="G49:H49"/>
    <mergeCell ref="A50:B51"/>
    <mergeCell ref="D58:H58"/>
    <mergeCell ref="C50:E50"/>
    <mergeCell ref="A61:C61"/>
    <mergeCell ref="D61:H61"/>
    <mergeCell ref="C49:E49"/>
    <mergeCell ref="A56:B56"/>
    <mergeCell ref="C56:E56"/>
    <mergeCell ref="E41:H41"/>
    <mergeCell ref="A41:D41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4:B34"/>
    <mergeCell ref="C34:E34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D65:H65"/>
    <mergeCell ref="A68:C68"/>
    <mergeCell ref="D68:H68"/>
    <mergeCell ref="A66:C66"/>
    <mergeCell ref="D66:H66"/>
    <mergeCell ref="A67:C67"/>
    <mergeCell ref="D67:H67"/>
    <mergeCell ref="A73:B73"/>
    <mergeCell ref="G72:H72"/>
    <mergeCell ref="E73:F82"/>
    <mergeCell ref="G73:H82"/>
    <mergeCell ref="A81:B81"/>
    <mergeCell ref="A82:B82"/>
    <mergeCell ref="A78:B78"/>
    <mergeCell ref="C71:H71"/>
    <mergeCell ref="A74:B74"/>
    <mergeCell ref="A76:B76"/>
    <mergeCell ref="E72:F72"/>
    <mergeCell ref="A65:C65"/>
    <mergeCell ref="A225:H228"/>
    <mergeCell ref="A224:B224"/>
    <mergeCell ref="E224:F224"/>
    <mergeCell ref="C224:D224"/>
    <mergeCell ref="G224:H224"/>
    <mergeCell ref="A97:H97"/>
    <mergeCell ref="A223:H223"/>
    <mergeCell ref="A221:H221"/>
    <mergeCell ref="A222:H222"/>
    <mergeCell ref="B213:H213"/>
    <mergeCell ref="A127:H127"/>
    <mergeCell ref="A104:B104"/>
    <mergeCell ref="A99:B99"/>
    <mergeCell ref="A220:H220"/>
    <mergeCell ref="A102:H102"/>
    <mergeCell ref="A217:H217"/>
    <mergeCell ref="A218:H218"/>
    <mergeCell ref="A219:H219"/>
    <mergeCell ref="A103:B103"/>
    <mergeCell ref="D118:D119"/>
    <mergeCell ref="E118:E119"/>
    <mergeCell ref="G118:H119"/>
    <mergeCell ref="A100:B100"/>
    <mergeCell ref="B216:H216"/>
    <mergeCell ref="B110:B111"/>
    <mergeCell ref="A110:A111"/>
    <mergeCell ref="A95:E95"/>
    <mergeCell ref="F95:H95"/>
    <mergeCell ref="A96:E96"/>
    <mergeCell ref="F96:H96"/>
    <mergeCell ref="E98:F98"/>
    <mergeCell ref="A98:B98"/>
    <mergeCell ref="F85:H85"/>
    <mergeCell ref="E107:F107"/>
    <mergeCell ref="G107:H107"/>
    <mergeCell ref="C98:D98"/>
    <mergeCell ref="F94:H94"/>
    <mergeCell ref="F92:H92"/>
    <mergeCell ref="A109:H109"/>
    <mergeCell ref="G98:H98"/>
    <mergeCell ref="A93:E93"/>
    <mergeCell ref="C99:D99"/>
    <mergeCell ref="E99:F99"/>
    <mergeCell ref="A94:E94"/>
    <mergeCell ref="G106:H106"/>
    <mergeCell ref="C100:D100"/>
    <mergeCell ref="E100:F100"/>
    <mergeCell ref="G100:H100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28" max="16383" man="1"/>
    <brk id="272" max="16383" man="1"/>
    <brk id="31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3"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9" t="s">
        <v>111</v>
      </c>
      <c r="C3" s="179"/>
      <c r="D3" s="179"/>
      <c r="E3" s="179"/>
      <c r="F3" s="179"/>
      <c r="G3" s="179"/>
      <c r="H3" s="179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SACHIN</cp:lastModifiedBy>
  <cp:lastPrinted>2025-08-21T12:51:18Z</cp:lastPrinted>
  <dcterms:created xsi:type="dcterms:W3CDTF">2019-07-16T09:29:46Z</dcterms:created>
  <dcterms:modified xsi:type="dcterms:W3CDTF">2025-08-21T12:53:33Z</dcterms:modified>
</cp:coreProperties>
</file>