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Z:\APF\25-26\August 2025\AXIS\NEW\Aura Business Center\"/>
    </mc:Choice>
  </mc:AlternateContent>
  <xr:revisionPtr revIDLastSave="0" documentId="13_ncr:1_{272CE8CD-1FBD-4D96-AEF9-6CDCA0BD45BB}" xr6:coauthVersionLast="47" xr6:coauthVersionMax="47" xr10:uidLastSave="{00000000-0000-0000-0000-000000000000}"/>
  <bookViews>
    <workbookView xWindow="-120" yWindow="-120" windowWidth="20730" windowHeight="11160"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Report!$A$1:$H$460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46" i="1" l="1"/>
  <c r="N245" i="1"/>
  <c r="N244" i="1"/>
  <c r="N243" i="1"/>
  <c r="N242" i="1"/>
  <c r="N241" i="1"/>
  <c r="N240" i="1"/>
  <c r="N239" i="1"/>
  <c r="N238" i="1"/>
  <c r="N237" i="1"/>
  <c r="N236" i="1"/>
  <c r="N235" i="1"/>
  <c r="N234" i="1"/>
  <c r="N233" i="1"/>
  <c r="N232" i="1"/>
  <c r="N231" i="1"/>
  <c r="B233" i="1"/>
  <c r="B234" i="1" s="1"/>
  <c r="B235" i="1" s="1"/>
  <c r="B236" i="1" s="1"/>
  <c r="B237" i="1" s="1"/>
  <c r="B238" i="1" s="1"/>
  <c r="B239" i="1" s="1"/>
  <c r="B240" i="1" s="1"/>
  <c r="B241" i="1" s="1"/>
  <c r="B242" i="1" s="1"/>
  <c r="B243" i="1" s="1"/>
  <c r="B244" i="1" s="1"/>
  <c r="B245" i="1" s="1"/>
  <c r="B246" i="1" s="1"/>
  <c r="B232" i="1"/>
  <c r="D148" i="1"/>
  <c r="K248" i="1"/>
  <c r="K246" i="1"/>
  <c r="K245" i="1"/>
  <c r="K244" i="1"/>
  <c r="K243" i="1"/>
  <c r="K242" i="1"/>
  <c r="K241" i="1"/>
  <c r="K240" i="1"/>
  <c r="K239" i="1"/>
  <c r="K238" i="1"/>
  <c r="K237" i="1"/>
  <c r="K236" i="1"/>
  <c r="K235" i="1"/>
  <c r="K234" i="1"/>
  <c r="K233" i="1"/>
  <c r="K232" i="1"/>
  <c r="K231" i="1"/>
  <c r="K228" i="1"/>
  <c r="K227" i="1"/>
  <c r="K226" i="1"/>
  <c r="K225" i="1"/>
  <c r="K224" i="1"/>
  <c r="K223" i="1"/>
  <c r="K222" i="1"/>
  <c r="K221" i="1"/>
  <c r="K220" i="1"/>
  <c r="K219" i="1"/>
  <c r="K218" i="1"/>
  <c r="K217" i="1"/>
  <c r="K216" i="1"/>
  <c r="K215" i="1"/>
  <c r="K214" i="1"/>
  <c r="K213" i="1"/>
  <c r="K211" i="1"/>
  <c r="K210" i="1"/>
  <c r="K209" i="1"/>
  <c r="K208" i="1"/>
  <c r="K207" i="1"/>
  <c r="K206" i="1"/>
  <c r="K205" i="1"/>
  <c r="K204" i="1"/>
  <c r="K203" i="1"/>
  <c r="K202" i="1"/>
  <c r="K201" i="1"/>
  <c r="K200" i="1"/>
  <c r="K199" i="1"/>
  <c r="K198" i="1"/>
  <c r="K197" i="1"/>
  <c r="K196" i="1"/>
  <c r="K195" i="1"/>
  <c r="K191" i="1"/>
  <c r="K190" i="1"/>
  <c r="K189" i="1"/>
  <c r="K188" i="1"/>
  <c r="K187" i="1"/>
  <c r="K186" i="1"/>
  <c r="K185" i="1"/>
  <c r="K184" i="1"/>
  <c r="K183" i="1"/>
  <c r="K182" i="1"/>
  <c r="K181" i="1"/>
  <c r="K180" i="1"/>
  <c r="K179" i="1"/>
  <c r="K178" i="1"/>
  <c r="K177" i="1"/>
  <c r="K175" i="1"/>
  <c r="K174" i="1"/>
  <c r="K173" i="1"/>
  <c r="K172" i="1"/>
  <c r="K171" i="1"/>
  <c r="K170" i="1"/>
  <c r="K169" i="1"/>
  <c r="K168" i="1"/>
  <c r="K167" i="1"/>
  <c r="K166" i="1"/>
  <c r="K165" i="1"/>
  <c r="K164" i="1"/>
  <c r="K163" i="1"/>
  <c r="K162" i="1"/>
  <c r="K161" i="1"/>
  <c r="K160" i="1"/>
  <c r="K159" i="1"/>
  <c r="K157" i="1"/>
  <c r="K155" i="1"/>
  <c r="K154" i="1"/>
  <c r="K153" i="1"/>
  <c r="K152" i="1"/>
  <c r="K151" i="1"/>
  <c r="K150" i="1"/>
  <c r="K148" i="1"/>
  <c r="K147" i="1"/>
  <c r="F130" i="1"/>
  <c r="J150" i="1" l="1"/>
  <c r="GWC181" i="1"/>
  <c r="GWC180" i="1"/>
  <c r="GWC179" i="1"/>
  <c r="GWC178" i="1"/>
  <c r="GWC177" i="1"/>
  <c r="GWC176" i="1"/>
  <c r="GWC175" i="1"/>
  <c r="GWC174" i="1"/>
  <c r="GWC173" i="1"/>
  <c r="GWC172" i="1"/>
  <c r="GWC171" i="1"/>
  <c r="GWC170" i="1"/>
  <c r="GWC169" i="1"/>
  <c r="GWC168" i="1"/>
  <c r="GWC167" i="1"/>
  <c r="GWC166" i="1"/>
  <c r="GWC165" i="1"/>
  <c r="F248" i="1"/>
  <c r="H248" i="1" l="1"/>
  <c r="L240" i="1"/>
  <c r="F232" i="1"/>
  <c r="H232" i="1" s="1"/>
  <c r="F246" i="1"/>
  <c r="H246" i="1" s="1"/>
  <c r="F245" i="1"/>
  <c r="H245" i="1" s="1"/>
  <c r="F244" i="1"/>
  <c r="H244" i="1" s="1"/>
  <c r="F243" i="1"/>
  <c r="H243" i="1" s="1"/>
  <c r="F242" i="1"/>
  <c r="H242" i="1" s="1"/>
  <c r="F241" i="1"/>
  <c r="H241" i="1" s="1"/>
  <c r="F240" i="1"/>
  <c r="H240" i="1" s="1"/>
  <c r="F239" i="1"/>
  <c r="H239" i="1" s="1"/>
  <c r="F238" i="1"/>
  <c r="H238" i="1" s="1"/>
  <c r="F237" i="1"/>
  <c r="H237" i="1" s="1"/>
  <c r="F236" i="1"/>
  <c r="H236" i="1" s="1"/>
  <c r="F235" i="1"/>
  <c r="H235" i="1" s="1"/>
  <c r="F234" i="1"/>
  <c r="H234" i="1" s="1"/>
  <c r="F233" i="1"/>
  <c r="H233" i="1" s="1"/>
  <c r="A233" i="1"/>
  <c r="A234" i="1" s="1"/>
  <c r="A235" i="1" s="1"/>
  <c r="A236" i="1" s="1"/>
  <c r="A237" i="1" s="1"/>
  <c r="A238" i="1" s="1"/>
  <c r="A239" i="1" s="1"/>
  <c r="A240" i="1" s="1"/>
  <c r="A241" i="1" s="1"/>
  <c r="A242" i="1" s="1"/>
  <c r="A243" i="1" s="1"/>
  <c r="A244" i="1" s="1"/>
  <c r="A245" i="1" s="1"/>
  <c r="A246" i="1" s="1"/>
  <c r="F231" i="1"/>
  <c r="H231" i="1" s="1"/>
  <c r="F228" i="1"/>
  <c r="H228" i="1" s="1"/>
  <c r="F227" i="1"/>
  <c r="H227" i="1" s="1"/>
  <c r="F226" i="1"/>
  <c r="H226" i="1" s="1"/>
  <c r="F225" i="1"/>
  <c r="H225" i="1" s="1"/>
  <c r="F224" i="1"/>
  <c r="H224" i="1" s="1"/>
  <c r="F223" i="1"/>
  <c r="H223" i="1" s="1"/>
  <c r="F221" i="1"/>
  <c r="H221" i="1" s="1"/>
  <c r="F220" i="1"/>
  <c r="H220" i="1" s="1"/>
  <c r="F219" i="1"/>
  <c r="H219" i="1" s="1"/>
  <c r="F218" i="1"/>
  <c r="H218" i="1" s="1"/>
  <c r="F217" i="1"/>
  <c r="H217" i="1" s="1"/>
  <c r="F216" i="1"/>
  <c r="H216" i="1" s="1"/>
  <c r="F215" i="1"/>
  <c r="H215" i="1" s="1"/>
  <c r="F214" i="1"/>
  <c r="H214" i="1" s="1"/>
  <c r="F213" i="1"/>
  <c r="H213" i="1" s="1"/>
  <c r="L220" i="1"/>
  <c r="F222" i="1"/>
  <c r="H222" i="1" s="1"/>
  <c r="A214" i="1"/>
  <c r="A215" i="1" s="1"/>
  <c r="A216" i="1" s="1"/>
  <c r="A217" i="1" s="1"/>
  <c r="A218" i="1" s="1"/>
  <c r="A219" i="1" s="1"/>
  <c r="A220" i="1" s="1"/>
  <c r="A221" i="1" s="1"/>
  <c r="A222" i="1" s="1"/>
  <c r="A223" i="1" s="1"/>
  <c r="A224" i="1" s="1"/>
  <c r="A225" i="1" s="1"/>
  <c r="A226" i="1" s="1"/>
  <c r="A227" i="1" s="1"/>
  <c r="A228" i="1" s="1"/>
  <c r="A229" i="1" s="1"/>
  <c r="F211" i="1"/>
  <c r="H211" i="1" s="1"/>
  <c r="F210" i="1"/>
  <c r="H210" i="1" s="1"/>
  <c r="F209" i="1"/>
  <c r="H209" i="1" s="1"/>
  <c r="F208" i="1"/>
  <c r="H208" i="1" s="1"/>
  <c r="F207" i="1"/>
  <c r="H207" i="1" s="1"/>
  <c r="F206" i="1"/>
  <c r="H206" i="1" s="1"/>
  <c r="F204" i="1"/>
  <c r="H204" i="1" s="1"/>
  <c r="F203" i="1"/>
  <c r="H203" i="1" s="1"/>
  <c r="F202" i="1"/>
  <c r="H202" i="1" s="1"/>
  <c r="F201" i="1"/>
  <c r="H201" i="1" s="1"/>
  <c r="F200" i="1"/>
  <c r="H200" i="1" s="1"/>
  <c r="F199" i="1"/>
  <c r="H199" i="1" s="1"/>
  <c r="F198" i="1"/>
  <c r="H198" i="1" s="1"/>
  <c r="F197" i="1"/>
  <c r="H197" i="1" s="1"/>
  <c r="F196" i="1"/>
  <c r="H196" i="1" s="1"/>
  <c r="C134" i="1"/>
  <c r="I211" i="1"/>
  <c r="F175" i="1"/>
  <c r="H175" i="1" s="1"/>
  <c r="I207" i="1"/>
  <c r="F205" i="1"/>
  <c r="H205" i="1" s="1"/>
  <c r="I204" i="1"/>
  <c r="I197" i="1"/>
  <c r="I196" i="1"/>
  <c r="A196" i="1"/>
  <c r="A197" i="1" s="1"/>
  <c r="A198" i="1" s="1"/>
  <c r="A199" i="1" s="1"/>
  <c r="A200" i="1" s="1"/>
  <c r="A201" i="1" s="1"/>
  <c r="A202" i="1" s="1"/>
  <c r="A203" i="1" s="1"/>
  <c r="A204" i="1" s="1"/>
  <c r="A205" i="1" s="1"/>
  <c r="A206" i="1" s="1"/>
  <c r="A207" i="1" s="1"/>
  <c r="A208" i="1" s="1"/>
  <c r="A209" i="1" s="1"/>
  <c r="A210" i="1" s="1"/>
  <c r="A211" i="1" s="1"/>
  <c r="F174" i="1"/>
  <c r="H174" i="1" s="1"/>
  <c r="F171" i="1"/>
  <c r="H171" i="1" s="1"/>
  <c r="F170" i="1"/>
  <c r="H170" i="1" s="1"/>
  <c r="F169" i="1"/>
  <c r="H169" i="1" s="1"/>
  <c r="F168" i="1"/>
  <c r="H168" i="1" s="1"/>
  <c r="F166" i="1"/>
  <c r="H166" i="1" s="1"/>
  <c r="F167" i="1"/>
  <c r="H167" i="1" s="1"/>
  <c r="F165" i="1"/>
  <c r="H165" i="1" s="1"/>
  <c r="F162" i="1"/>
  <c r="H162" i="1" s="1"/>
  <c r="F160" i="1"/>
  <c r="H160" i="1" s="1"/>
  <c r="I178" i="1"/>
  <c r="F191" i="1"/>
  <c r="H191" i="1" s="1"/>
  <c r="F190" i="1"/>
  <c r="H190" i="1" s="1"/>
  <c r="I189" i="1"/>
  <c r="F187" i="1"/>
  <c r="H187" i="1" s="1"/>
  <c r="I186" i="1"/>
  <c r="F186" i="1"/>
  <c r="H186" i="1" s="1"/>
  <c r="F184" i="1"/>
  <c r="H184" i="1" s="1"/>
  <c r="F182" i="1"/>
  <c r="H182" i="1" s="1"/>
  <c r="F181" i="1"/>
  <c r="H181" i="1" s="1"/>
  <c r="F180" i="1"/>
  <c r="H180" i="1" s="1"/>
  <c r="I179" i="1"/>
  <c r="F179" i="1"/>
  <c r="H179" i="1" s="1"/>
  <c r="F178" i="1"/>
  <c r="H178" i="1" s="1"/>
  <c r="F177" i="1"/>
  <c r="H177" i="1" s="1"/>
  <c r="F189" i="1"/>
  <c r="H189" i="1" s="1"/>
  <c r="F188" i="1"/>
  <c r="H188" i="1" s="1"/>
  <c r="F185" i="1"/>
  <c r="H185" i="1" s="1"/>
  <c r="F183" i="1"/>
  <c r="H183" i="1" s="1"/>
  <c r="A178" i="1"/>
  <c r="A179" i="1" s="1"/>
  <c r="A180" i="1" s="1"/>
  <c r="A181" i="1" s="1"/>
  <c r="A182" i="1" s="1"/>
  <c r="A183" i="1" s="1"/>
  <c r="A184" i="1" s="1"/>
  <c r="A185" i="1" s="1"/>
  <c r="A186" i="1" s="1"/>
  <c r="A187" i="1" s="1"/>
  <c r="A188" i="1" s="1"/>
  <c r="A189" i="1" s="1"/>
  <c r="A190" i="1" s="1"/>
  <c r="A191" i="1" s="1"/>
  <c r="A192" i="1" s="1"/>
  <c r="A193" i="1" s="1"/>
  <c r="F159" i="1"/>
  <c r="F173" i="1"/>
  <c r="H173" i="1" s="1"/>
  <c r="F172" i="1"/>
  <c r="H172" i="1" s="1"/>
  <c r="F163" i="1"/>
  <c r="H163" i="1" s="1"/>
  <c r="F161" i="1"/>
  <c r="H161" i="1" s="1"/>
  <c r="A160" i="1"/>
  <c r="A161" i="1" s="1"/>
  <c r="A162" i="1" s="1"/>
  <c r="A163" i="1" s="1"/>
  <c r="A164" i="1" s="1"/>
  <c r="A165" i="1" s="1"/>
  <c r="A166" i="1" s="1"/>
  <c r="A167" i="1" s="1"/>
  <c r="A168" i="1" s="1"/>
  <c r="A169" i="1" s="1"/>
  <c r="A170" i="1" s="1"/>
  <c r="A171" i="1" s="1"/>
  <c r="A172" i="1" s="1"/>
  <c r="A173" i="1" s="1"/>
  <c r="A174" i="1" s="1"/>
  <c r="A175" i="1" s="1"/>
  <c r="F268" i="1"/>
  <c r="H268" i="1" s="1"/>
  <c r="F267" i="1"/>
  <c r="H267" i="1" s="1"/>
  <c r="F266" i="1"/>
  <c r="H266" i="1" s="1"/>
  <c r="F265" i="1"/>
  <c r="H265" i="1" s="1"/>
  <c r="F263" i="1"/>
  <c r="H263" i="1" s="1"/>
  <c r="F262" i="1"/>
  <c r="H262" i="1" s="1"/>
  <c r="F261" i="1"/>
  <c r="H261" i="1" s="1"/>
  <c r="F260" i="1"/>
  <c r="H260" i="1" s="1"/>
  <c r="F259" i="1"/>
  <c r="H259" i="1" s="1"/>
  <c r="F258" i="1"/>
  <c r="H258" i="1" s="1"/>
  <c r="F257" i="1"/>
  <c r="H257" i="1" s="1"/>
  <c r="F256" i="1"/>
  <c r="H256" i="1" s="1"/>
  <c r="F255" i="1"/>
  <c r="H255" i="1" s="1"/>
  <c r="F254" i="1"/>
  <c r="H254" i="1" s="1"/>
  <c r="G157" i="1"/>
  <c r="F157" i="1"/>
  <c r="H157" i="1" s="1"/>
  <c r="F155" i="1"/>
  <c r="H155" i="1" s="1"/>
  <c r="F154" i="1"/>
  <c r="H154" i="1" s="1"/>
  <c r="F153" i="1"/>
  <c r="H153" i="1" s="1"/>
  <c r="F152" i="1"/>
  <c r="H152" i="1" s="1"/>
  <c r="F151" i="1"/>
  <c r="H151" i="1" s="1"/>
  <c r="F150" i="1"/>
  <c r="H150" i="1" s="1"/>
  <c r="G148" i="1"/>
  <c r="F148" i="1"/>
  <c r="C133" i="1"/>
  <c r="A148" i="1"/>
  <c r="A151" i="1"/>
  <c r="A152" i="1" s="1"/>
  <c r="A153" i="1" s="1"/>
  <c r="F195" i="1" l="1"/>
  <c r="H195" i="1" s="1"/>
  <c r="C135" i="1"/>
  <c r="C141" i="1" s="1"/>
  <c r="H159" i="1"/>
  <c r="F147" i="1"/>
  <c r="H147" i="1" s="1"/>
  <c r="F164" i="1"/>
  <c r="H164" i="1" s="1"/>
  <c r="A154" i="1"/>
  <c r="A155" i="1" s="1"/>
  <c r="H148" i="1"/>
  <c r="G133" i="1" s="1"/>
  <c r="C77" i="1"/>
  <c r="E133" i="1" l="1"/>
  <c r="E134" i="1"/>
  <c r="G134" i="1"/>
  <c r="G135" i="1" s="1"/>
  <c r="G141" i="1" s="1"/>
  <c r="F251" i="1"/>
  <c r="B38" i="6"/>
  <c r="B39" i="6" s="1"/>
  <c r="B40" i="6" s="1"/>
  <c r="B41" i="6" s="1"/>
  <c r="B42" i="6" s="1"/>
  <c r="B43" i="6" s="1"/>
  <c r="B44" i="6" s="1"/>
  <c r="B45" i="6" s="1"/>
  <c r="B46" i="6" s="1"/>
  <c r="B47" i="6" s="1"/>
  <c r="B48" i="6" s="1"/>
  <c r="B49" i="6" s="1"/>
  <c r="B50" i="6" s="1"/>
  <c r="B51" i="6" s="1"/>
  <c r="B52" i="6" s="1"/>
  <c r="B53" i="6" s="1"/>
  <c r="B54" i="6" s="1"/>
  <c r="E135" i="1" l="1"/>
  <c r="E141" i="1" s="1"/>
  <c r="H251" i="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329" i="1"/>
  <c r="B304" i="1"/>
  <c r="B303" i="1"/>
  <c r="F300" i="1"/>
  <c r="H300" i="1" s="1"/>
  <c r="F299" i="1"/>
  <c r="H299" i="1" s="1"/>
  <c r="F298" i="1"/>
  <c r="H298" i="1" s="1"/>
  <c r="F297" i="1"/>
  <c r="H297" i="1" s="1"/>
  <c r="F296" i="1"/>
  <c r="H296" i="1" s="1"/>
  <c r="F294" i="1"/>
  <c r="H294" i="1" s="1"/>
  <c r="F293" i="1"/>
  <c r="H293" i="1" s="1"/>
  <c r="F292" i="1"/>
  <c r="H292" i="1" s="1"/>
  <c r="F291" i="1"/>
  <c r="H291" i="1" s="1"/>
  <c r="F290" i="1"/>
  <c r="H290" i="1" s="1"/>
  <c r="F288" i="1"/>
  <c r="H288" i="1" s="1"/>
  <c r="F287" i="1"/>
  <c r="H287" i="1" s="1"/>
  <c r="F286" i="1"/>
  <c r="H286" i="1" s="1"/>
  <c r="F285" i="1"/>
  <c r="H285" i="1" s="1"/>
  <c r="F284" i="1"/>
  <c r="H284" i="1" s="1"/>
  <c r="F282" i="1"/>
  <c r="H282" i="1" s="1"/>
  <c r="F281" i="1"/>
  <c r="H281" i="1" s="1"/>
  <c r="F280" i="1"/>
  <c r="H280" i="1" s="1"/>
  <c r="F279" i="1"/>
  <c r="H279" i="1" s="1"/>
  <c r="F278" i="1"/>
  <c r="H278" i="1" s="1"/>
  <c r="A278" i="1"/>
  <c r="A279" i="1" s="1"/>
  <c r="A280" i="1" s="1"/>
  <c r="A281" i="1" s="1"/>
  <c r="A282" i="1" s="1"/>
  <c r="F276" i="1"/>
  <c r="H276" i="1" s="1"/>
  <c r="F275" i="1"/>
  <c r="H275" i="1" s="1"/>
  <c r="F274" i="1"/>
  <c r="H274" i="1" s="1"/>
  <c r="A274" i="1"/>
  <c r="A275" i="1" s="1"/>
  <c r="A276" i="1" s="1"/>
  <c r="F273" i="1"/>
  <c r="H273" i="1" s="1"/>
  <c r="F264" i="1"/>
  <c r="H264" i="1" s="1"/>
  <c r="F253" i="1"/>
  <c r="H253" i="1" s="1"/>
  <c r="F252" i="1"/>
  <c r="H252" i="1" s="1"/>
  <c r="A252" i="1"/>
  <c r="A253" i="1" s="1"/>
  <c r="A254" i="1" s="1"/>
  <c r="A255" i="1" s="1"/>
  <c r="A256" i="1" s="1"/>
  <c r="A257" i="1" s="1"/>
  <c r="A258" i="1" s="1"/>
  <c r="A259" i="1" s="1"/>
  <c r="A260" i="1" s="1"/>
  <c r="A261" i="1" s="1"/>
  <c r="A262" i="1" s="1"/>
  <c r="A263" i="1" s="1"/>
  <c r="A264" i="1" s="1"/>
  <c r="A265" i="1" s="1"/>
  <c r="A266" i="1" s="1"/>
  <c r="A267" i="1" s="1"/>
  <c r="A268" i="1" s="1"/>
  <c r="C105" i="1"/>
  <c r="C91" i="1"/>
  <c r="B78" i="1"/>
  <c r="D71" i="1"/>
  <c r="D64" i="1"/>
  <c r="G57" i="1"/>
  <c r="C57" i="1"/>
  <c r="K55" i="1"/>
  <c r="C55" i="1"/>
  <c r="G51" i="1"/>
  <c r="C51" i="1"/>
  <c r="C52" i="1" s="1"/>
  <c r="E44" i="1"/>
  <c r="E45" i="1" s="1"/>
  <c r="S33" i="1"/>
  <c r="E31" i="1"/>
  <c r="E28" i="1"/>
  <c r="E26" i="1"/>
  <c r="C16" i="1"/>
  <c r="I15" i="1"/>
  <c r="Z13" i="1"/>
  <c r="E8" i="1"/>
  <c r="E3" i="1"/>
  <c r="B312" i="1" s="1"/>
  <c r="H106" i="1"/>
  <c r="H92" i="1"/>
  <c r="A296" i="1"/>
  <c r="A284" i="1"/>
  <c r="A290" i="1"/>
  <c r="E42" i="7" l="1"/>
  <c r="J85" i="1"/>
  <c r="J86" i="1"/>
  <c r="B106" i="1"/>
  <c r="J114" i="1" s="1"/>
  <c r="I42" i="7"/>
  <c r="H42" i="7" s="1"/>
  <c r="L42" i="7"/>
  <c r="K42" i="7" s="1"/>
  <c r="J91" i="1"/>
  <c r="J93" i="1" s="1"/>
  <c r="D100" i="1"/>
  <c r="D99" i="1"/>
  <c r="D104" i="1"/>
  <c r="D98" i="1"/>
  <c r="J94" i="1"/>
  <c r="D103" i="1"/>
  <c r="J96" i="1"/>
  <c r="C95" i="1" s="1"/>
  <c r="D97" i="1"/>
  <c r="D102" i="1"/>
  <c r="J95" i="1"/>
  <c r="D101" i="1"/>
  <c r="D115" i="1"/>
  <c r="J109" i="1"/>
  <c r="J105" i="1"/>
  <c r="J107" i="1" s="1"/>
  <c r="J108" i="1"/>
  <c r="D113" i="1"/>
  <c r="D118" i="1"/>
  <c r="D112" i="1"/>
  <c r="D117" i="1"/>
  <c r="D111" i="1"/>
  <c r="D114" i="1"/>
  <c r="J110" i="1"/>
  <c r="C109" i="1" s="1"/>
  <c r="D109" i="1" s="1"/>
  <c r="D116" i="1"/>
  <c r="D42" i="7"/>
  <c r="L55" i="1"/>
  <c r="B92" i="1"/>
  <c r="J87" i="1"/>
  <c r="J88" i="1"/>
  <c r="I52" i="1"/>
  <c r="H78" i="1"/>
  <c r="A297" i="1"/>
  <c r="A285" i="1"/>
  <c r="A291" i="1"/>
  <c r="D89" i="1" l="1"/>
  <c r="D83" i="1"/>
  <c r="J83" i="1"/>
  <c r="J84" i="1" s="1"/>
  <c r="J89" i="1" s="1"/>
  <c r="J90" i="1" s="1"/>
  <c r="C82" i="1" s="1"/>
  <c r="E81" i="1" s="1"/>
  <c r="J82" i="1"/>
  <c r="C81" i="1" s="1"/>
  <c r="D81" i="1" s="1"/>
  <c r="D88" i="1"/>
  <c r="D87" i="1"/>
  <c r="J77" i="1"/>
  <c r="J79" i="1" s="1"/>
  <c r="D86" i="1"/>
  <c r="D90" i="1"/>
  <c r="D84" i="1"/>
  <c r="J81" i="1"/>
  <c r="J80" i="1"/>
  <c r="D85" i="1"/>
  <c r="J116" i="1"/>
  <c r="J115" i="1"/>
  <c r="D44" i="7"/>
  <c r="E44" i="7"/>
  <c r="J113" i="1"/>
  <c r="J111" i="1"/>
  <c r="J112" i="1" s="1"/>
  <c r="J117" i="1" s="1"/>
  <c r="J118" i="1" s="1"/>
  <c r="C110" i="1" s="1"/>
  <c r="G109" i="1" s="1"/>
  <c r="D95" i="1"/>
  <c r="J100" i="1"/>
  <c r="J97" i="1"/>
  <c r="J98" i="1" s="1"/>
  <c r="J103" i="1" s="1"/>
  <c r="J104" i="1" s="1"/>
  <c r="C96" i="1" s="1"/>
  <c r="J102" i="1"/>
  <c r="J99" i="1"/>
  <c r="J101" i="1"/>
  <c r="A298" i="1"/>
  <c r="A286" i="1"/>
  <c r="A292" i="1"/>
  <c r="G81" i="1" l="1"/>
  <c r="D75" i="1" s="1"/>
  <c r="D76" i="1" s="1"/>
  <c r="D82" i="1"/>
  <c r="I78" i="1" s="1"/>
  <c r="I79" i="1" s="1"/>
  <c r="D110" i="1"/>
  <c r="I106" i="1" s="1"/>
  <c r="I107" i="1" s="1"/>
  <c r="J106" i="1"/>
  <c r="E109" i="1"/>
  <c r="J78" i="1"/>
  <c r="E95" i="1"/>
  <c r="D96" i="1"/>
  <c r="I92" i="1" s="1"/>
  <c r="J92" i="1"/>
  <c r="G95" i="1"/>
  <c r="A299" i="1"/>
  <c r="A293" i="1"/>
  <c r="A287" i="1"/>
  <c r="F76" i="1" l="1"/>
  <c r="I105" i="1"/>
  <c r="C107" i="1" s="1"/>
  <c r="I77" i="1"/>
  <c r="C79" i="1" s="1"/>
  <c r="I93" i="1"/>
  <c r="I91" i="1" s="1"/>
  <c r="C93" i="1" s="1"/>
  <c r="A300" i="1"/>
  <c r="A288" i="1"/>
  <c r="A29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6" authorId="1" shapeId="0" xr:uid="{00000000-0006-0000-0000-000003000000}">
      <text>
        <r>
          <rPr>
            <b/>
            <sz val="9"/>
            <color indexed="81"/>
            <rFont val="Tahoma"/>
            <family val="2"/>
          </rPr>
          <t>SACHIN:</t>
        </r>
        <r>
          <rPr>
            <sz val="9"/>
            <color indexed="81"/>
            <rFont val="Tahoma"/>
            <family val="2"/>
          </rPr>
          <t xml:space="preserve">
Floor with height</t>
        </r>
      </text>
    </comment>
    <comment ref="C58" authorId="1" shapeId="0" xr:uid="{00000000-0006-0000-0000-000004000000}">
      <text>
        <r>
          <rPr>
            <b/>
            <sz val="9"/>
            <color indexed="81"/>
            <rFont val="Tahoma"/>
            <family val="2"/>
          </rPr>
          <t>SACHIN:</t>
        </r>
        <r>
          <rPr>
            <sz val="9"/>
            <color indexed="81"/>
            <rFont val="Tahoma"/>
            <family val="2"/>
          </rPr>
          <t xml:space="preserve">
Survey Nos.</t>
        </r>
      </text>
    </comment>
    <comment ref="D64" authorId="0" shapeId="0" xr:uid="{00000000-0006-0000-0000-000005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3" authorId="1" shapeId="0" xr:uid="{00000000-0006-0000-0000-000006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271" authorId="1" shapeId="0" xr:uid="{00000000-0006-0000-0000-000007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<sst xmlns="http://schemas.openxmlformats.org/spreadsheetml/2006/main" count="808" uniqueCount="446">
  <si>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</si>
  <si>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</si>
  <si>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</si>
  <si>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</si>
  <si>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</si>
  <si>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</si>
  <si>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</si>
  <si>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</si>
  <si>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</si>
  <si>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</si>
  <si>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</si>
  <si>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</si>
  <si>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</si>
  <si>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</si>
  <si>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</si>
  <si>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</si>
  <si>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</si>
  <si>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</si>
  <si>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</si>
  <si>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</si>
  <si>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</si>
  <si>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</si>
  <si>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</si>
  <si>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</si>
  <si>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</si>
  <si>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</si>
  <si>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</si>
  <si>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</si>
  <si>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</si>
  <si>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</si>
  <si>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</si>
  <si>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</si>
  <si>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</si>
  <si>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</si>
  <si>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</si>
  <si>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</si>
  <si>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</si>
  <si>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</si>
  <si>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</si>
  <si>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</si>
  <si>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</si>
  <si>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</si>
  <si>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</si>
  <si>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</si>
  <si>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</si>
  <si>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</si>
  <si>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</si>
  <si>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</si>
  <si>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</si>
  <si>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</si>
  <si>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</si>
  <si>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</si>
  <si>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</si>
  <si>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</si>
  <si>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</si>
  <si>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</si>
  <si>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</si>
  <si>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</si>
  <si>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</si>
  <si>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</si>
  <si>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</si>
  <si>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</si>
  <si>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</si>
  <si>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</si>
  <si>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</si>
  <si>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</si>
  <si>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</si>
  <si>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</si>
  <si>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</si>
  <si>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</si>
  <si>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</si>
  <si>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</si>
  <si>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</si>
  <si>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</si>
  <si>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</si>
  <si>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</si>
  <si>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</si>
  <si>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</si>
  <si>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</si>
  <si>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</si>
  <si>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</si>
  <si>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</si>
  <si>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</si>
  <si>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</si>
  <si>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</si>
  <si>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</si>
  <si>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</si>
  <si>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</si>
  <si>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</si>
  <si>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</si>
  <si>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</si>
  <si>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</si>
  <si>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</si>
  <si>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</si>
  <si>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</si>
  <si>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</si>
  <si>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</si>
  <si>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</si>
  <si>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</si>
  <si>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</si>
  <si>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</si>
  <si>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</si>
  <si>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</si>
  <si>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</si>
  <si>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</si>
  <si>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</si>
  <si>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</si>
  <si>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</si>
  <si>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</si>
  <si>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</si>
  <si>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</si>
  <si>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</si>
  <si>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</si>
  <si>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</si>
  <si>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</si>
  <si>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</si>
  <si>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</si>
  <si>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</si>
  <si>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</si>
  <si>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</si>
  <si>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</si>
  <si>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</si>
  <si>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</si>
  <si>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</si>
  <si>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</si>
  <si>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</si>
  <si>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</si>
  <si>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</si>
  <si>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</si>
  <si>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</si>
  <si>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</si>
  <si>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</si>
  <si>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</si>
  <si>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</si>
  <si>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</si>
  <si>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</si>
  <si>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</si>
  <si>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</si>
  <si>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</si>
  <si>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</si>
  <si>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</si>
  <si>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</si>
  <si>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</si>
  <si>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</si>
  <si>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</si>
  <si>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</si>
  <si>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</si>
  <si>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</si>
  <si>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</si>
  <si>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</si>
  <si>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</si>
  <si>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</si>
  <si>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</si>
  <si>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</si>
  <si>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</si>
  <si>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</si>
  <si>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</si>
  <si>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</si>
  <si>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</si>
  <si>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</si>
  <si>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</si>
  <si>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</si>
  <si>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</si>
  <si>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</si>
  <si>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</si>
  <si>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</si>
  <si>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</si>
  <si>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</si>
  <si>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</si>
  <si>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</si>
  <si>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</si>
  <si>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</si>
  <si>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</si>
  <si>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</si>
  <si>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</si>
  <si>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</si>
  <si>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</si>
  <si>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</si>
  <si>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</si>
  <si>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</si>
  <si>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</si>
  <si>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</si>
  <si>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</si>
  <si>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</si>
  <si>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</si>
  <si>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</si>
  <si>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</si>
  <si>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</si>
  <si>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</si>
  <si>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</si>
  <si>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</si>
  <si>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</si>
  <si>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</si>
  <si>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</si>
  <si>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</si>
  <si>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</si>
  <si>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</si>
  <si>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</si>
  <si>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</si>
  <si>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</si>
  <si>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</si>
  <si>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</si>
  <si>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</si>
  <si>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</si>
  <si>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</si>
  <si>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</si>
  <si>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</si>
  <si>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</si>
  <si>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</si>
  <si>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</si>
  <si>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</si>
  <si>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</si>
  <si>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</si>
  <si>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</si>
  <si>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</si>
  <si>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</si>
  <si>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</si>
  <si>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</si>
  <si>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</si>
  <si>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</si>
  <si>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</si>
  <si>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</si>
  <si>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</si>
  <si>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</si>
  <si>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</si>
  <si>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</si>
  <si>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</si>
  <si>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</si>
  <si>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</si>
  <si>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</si>
  <si>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</si>
  <si>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</si>
  <si>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</si>
  <si>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</si>
  <si>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</si>
  <si>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</si>
  <si>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</si>
  <si>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</si>
  <si>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</si>
  <si>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</si>
  <si>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</si>
  <si>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</si>
  <si>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</si>
  <si>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</si>
  <si>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</si>
  <si>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</si>
  <si>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</si>
  <si>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</si>
  <si>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</si>
  <si>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</si>
  <si>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</si>
  <si>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</si>
  <si>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</si>
  <si>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</si>
  <si>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</si>
  <si>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</si>
  <si>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</si>
  <si>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</si>
  <si>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</si>
  <si>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</si>
  <si>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</si>
  <si>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</si>
  <si>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</si>
  <si>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</si>
  <si>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</si>
  <si>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</si>
  <si>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</si>
  <si>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</si>
  <si>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</si>
  <si>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</si>
  <si>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</si>
  <si>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</si>
  <si>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</si>
  <si>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</si>
  <si>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</si>
  <si>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</si>
  <si>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</si>
  <si>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</si>
  <si>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</si>
  <si>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</si>
  <si>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</si>
  <si>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</si>
  <si>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</si>
  <si>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</si>
  <si>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</si>
  <si>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</si>
  <si>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</si>
  <si>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</si>
  <si>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</si>
  <si>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</si>
  <si>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</si>
  <si>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</si>
  <si>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</si>
  <si>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</si>
  <si>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</si>
  <si>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</si>
  <si>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</si>
  <si>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</si>
  <si>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</si>
  <si>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</si>
  <si>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</si>
  <si>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</si>
  <si>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</si>
  <si>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</si>
  <si>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</si>
  <si>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</si>
  <si>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</si>
  <si>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</si>
  <si>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</si>
  <si>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</si>
  <si>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</si>
  <si>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</si>
  <si>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</si>
  <si>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</si>
  <si>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</si>
  <si>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</si>
  <si>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</si>
  <si>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</si>
  <si>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</si>
  <si>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</si>
  <si>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</si>
  <si>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</si>
  <si>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</si>
  <si>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</si>
  <si>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</si>
  <si>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</si>
  <si>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</si>
  <si>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</si>
  <si>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</si>
  <si>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</si>
  <si>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</si>
  <si>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</si>
  <si>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</si>
  <si>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</si>
  <si>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</si>
  <si>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</si>
  <si>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</si>
  <si>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</si>
  <si>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</si>
  <si>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</si>
  <si>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</si>
  <si>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</si>
  <si>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</si>
  <si>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</si>
  <si>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</si>
  <si>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</si>
  <si>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</si>
  <si>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</si>
  <si>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</si>
  <si>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</si>
  <si>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</si>
  <si>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</si>
  <si>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</si>
  <si>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</si>
  <si>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</si>
  <si>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</si>
  <si>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</si>
  <si>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</si>
  <si>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</si>
  <si>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</si>
  <si>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</si>
  <si>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</si>
  <si>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</si>
  <si>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</si>
  <si>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</si>
  <si>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</si>
  <si>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</si>
  <si>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</si>
  <si>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</si>
  <si>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</si>
  <si>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</si>
  <si>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</si>
  <si>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</si>
  <si>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</si>
  <si>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</si>
  <si>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</si>
  <si>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</si>
  <si>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Carpet Area</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</si>
  <si>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</si>
  <si>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</si>
  <si>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</si>
  <si>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</si>
  <si>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</si>
  <si>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Jio Finance</t>
  </si>
  <si>
    <t>JFL Koparkhairane</t>
  </si>
  <si>
    <t>The Domus Prive</t>
  </si>
  <si>
    <t>As per the approved floor plan dtd.22/07/2024, the building height is 61.55 Mtrs (Upto OHT), which is reached up to his maximum height limit of 61.73 Mtrs with reference to the airport
NOC.</t>
  </si>
  <si>
    <t>As per visit dtd 13/08/2025, we have observed that construction work of Shop no. 1, 2, 3, 6, 7, 8 from Building No. 1 and Shop no. 11, 12, 13, 16, 17 from Building No. 2 are Completed.Therefore it can be considered as Progress 100% and Disbursement 100%.</t>
  </si>
  <si>
    <t>Remark if shops construction is asked</t>
  </si>
  <si>
    <t>Ms. Palak Satra – 8433616996</t>
  </si>
  <si>
    <t>Aum Developers</t>
  </si>
  <si>
    <t>Aura Business Center</t>
  </si>
  <si>
    <t>As per RERA</t>
  </si>
  <si>
    <t>P51700055734</t>
  </si>
  <si>
    <t>Plot No</t>
  </si>
  <si>
    <t>B-45</t>
  </si>
  <si>
    <t>Wagle Industrial Estate</t>
  </si>
  <si>
    <t>Thane West</t>
  </si>
  <si>
    <t>Nehru Nagar</t>
  </si>
  <si>
    <t>Road No.16/Z</t>
  </si>
  <si>
    <t>Ashar IT Park</t>
  </si>
  <si>
    <t>19.197951,72.954967</t>
  </si>
  <si>
    <t>https://maps.app.goo.gl/SpW1hfPq6LDa21SD7</t>
  </si>
  <si>
    <t>18.30M W Road</t>
  </si>
  <si>
    <t>Other Plot</t>
  </si>
  <si>
    <t>Plot No. A-178</t>
  </si>
  <si>
    <t>Plot No. D-2</t>
  </si>
  <si>
    <t>Road No. 16/Z</t>
  </si>
  <si>
    <t>Ashar 16</t>
  </si>
  <si>
    <t>Warehouse / Factory</t>
  </si>
  <si>
    <t>DE&amp;PAIII/THN/SPA/BPAMS/ I-86004/2024</t>
  </si>
  <si>
    <t>G + 1st to 9th Floor
Total BUA = 8240.4 Sqmt</t>
  </si>
  <si>
    <t>G + 1st to 9th Floor</t>
  </si>
  <si>
    <t>As per RERA - 31/12/2026</t>
  </si>
  <si>
    <t>Grand Entrance Lobby, High Speed Elevators, Vastu Compliant, Automate Mechanical Car Parking, Roof Top Restaturant etc.</t>
  </si>
  <si>
    <r>
      <t xml:space="preserve">Proposed Amenities :                                                                                                                                                                                                                         </t>
    </r>
    <r>
      <rPr>
        <b/>
        <sz val="12"/>
        <color theme="1"/>
        <rFont val="Times New Roman"/>
        <family val="1"/>
      </rPr>
      <t xml:space="preserve">                                               </t>
    </r>
  </si>
  <si>
    <t>Ground Floor For Commercial, Entrance Lobby, Fire Tower &amp; Parking</t>
  </si>
  <si>
    <t xml:space="preserve">Details of  Commercials in Building   </t>
  </si>
  <si>
    <t>-</t>
  </si>
  <si>
    <t>ITSS Unit Duplex With Ground Floor</t>
  </si>
  <si>
    <t>1st Floor Commercial, Hirkani Kaksha &amp; Parking Tower</t>
  </si>
  <si>
    <t>ITSS Unit</t>
  </si>
  <si>
    <t>ITSS Unit
Duplex With 1st Floor</t>
  </si>
  <si>
    <t>Terrace Area at 1st Floor</t>
  </si>
  <si>
    <t>IT Office</t>
  </si>
  <si>
    <t>Incubation Center Only On 3rd Floor</t>
  </si>
  <si>
    <t>4th to 6th Floor</t>
  </si>
  <si>
    <t>3rd Floor</t>
  </si>
  <si>
    <t>7th Floor (Part Refuge Area)</t>
  </si>
  <si>
    <t>Refuge Area</t>
  </si>
  <si>
    <t>8th Floor</t>
  </si>
  <si>
    <t>Terrace Area</t>
  </si>
  <si>
    <t>9th Floor (Part Terrace Area)</t>
  </si>
  <si>
    <t>ITSS Unit - 10, IT Offices - 115</t>
  </si>
  <si>
    <t>Construction work is in process at the time of Visit.</t>
  </si>
  <si>
    <t>We have referred Revised CC from RERA site.</t>
  </si>
  <si>
    <t>Gaurav Panchal</t>
  </si>
  <si>
    <t>Ajay Songare</t>
  </si>
  <si>
    <t xml:space="preserve">Project Aura Business Center is near MSEDCL Ashar IT Park Swotching Station. Please check for Power Noc and Fire Noc.
</t>
  </si>
  <si>
    <t>3.9 KM from Thane Railway Station</t>
  </si>
  <si>
    <t>As per site banner &amp; bank provided brochure project name is Codename RTGS (Rise to growth &amp; success)</t>
  </si>
  <si>
    <t>https://aurabusinesscentre.com/</t>
  </si>
  <si>
    <t>A1 B45</t>
  </si>
  <si>
    <t xml:space="preserve">Combined Approval Letter No
Valid Up to: </t>
  </si>
  <si>
    <t>We considered Gross carpet area = Net carpet.</t>
  </si>
  <si>
    <t>Carpet area taken from sale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</si>
</sst>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2"/>
      <color rgb="FFFFFF00"/>
      <name val="Times New Roman"/>
      <family val="1"/>
    </font>
    <font>
      <b/>
      <sz val="11"/>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92">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0" fontId="0" fillId="0" borderId="25" xfId="0" applyBorder="1"/>
    <xf numFmtId="0" fontId="0" fillId="0" borderId="8" xfId="0" applyBorder="1"/>
    <xf numFmtId="0" fontId="0" fillId="0" borderId="1" xfId="0" applyBorder="1" applyAlignment="1">
      <alignment vertical="top" wrapText="1"/>
    </xf>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5" fillId="2" borderId="0" xfId="1" applyFont="1" applyFill="1"/>
    <xf numFmtId="14" fontId="12"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4" xfId="0" applyBorder="1" applyAlignment="1">
      <alignment vertical="top"/>
    </xf>
    <xf numFmtId="0" fontId="0" fillId="0" borderId="35" xfId="0" applyBorder="1" applyAlignment="1">
      <alignment vertical="top" wrapText="1"/>
    </xf>
    <xf numFmtId="0" fontId="0" fillId="0" borderId="36"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5"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0" fillId="0" borderId="9" xfId="0" applyBorder="1" applyAlignment="1">
      <alignment vertical="top" wrapText="1"/>
    </xf>
    <xf numFmtId="16" fontId="7" fillId="0" borderId="0" xfId="1" applyNumberFormat="1" applyFont="1"/>
    <xf numFmtId="0" fontId="0" fillId="0" borderId="37" xfId="0" applyBorder="1" applyAlignment="1">
      <alignment vertical="top" wrapText="1"/>
    </xf>
    <xf numFmtId="0" fontId="31" fillId="0" borderId="0" xfId="1" applyFont="1"/>
    <xf numFmtId="0" fontId="7" fillId="0" borderId="1" xfId="1" applyFont="1" applyBorder="1" applyAlignment="1" applyProtection="1">
      <alignment horizontal="center" vertical="top"/>
      <protection locked="0"/>
    </xf>
    <xf numFmtId="1" fontId="10" fillId="0" borderId="3" xfId="1" applyNumberFormat="1" applyFont="1" applyBorder="1" applyAlignment="1" applyProtection="1">
      <alignment horizontal="center" vertical="top" wrapText="1"/>
      <protection locked="0"/>
    </xf>
    <xf numFmtId="9" fontId="10" fillId="0" borderId="16" xfId="8" applyFont="1" applyFill="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15" fillId="0" borderId="1" xfId="1" applyNumberFormat="1" applyFont="1" applyBorder="1" applyAlignment="1" applyProtection="1">
      <alignment horizontal="center" vertical="center" wrapText="1"/>
      <protection locked="0"/>
    </xf>
    <xf numFmtId="164" fontId="7" fillId="0" borderId="0" xfId="1" applyNumberFormat="1" applyFont="1" applyAlignment="1">
      <alignment horizontal="center" vertical="center"/>
    </xf>
    <xf numFmtId="2" fontId="7" fillId="0" borderId="0" xfId="1" applyNumberFormat="1" applyFont="1" applyAlignment="1">
      <alignment horizontal="center" vertical="center"/>
    </xf>
    <xf numFmtId="1" fontId="7" fillId="0" borderId="1" xfId="1" applyNumberFormat="1" applyFont="1" applyBorder="1" applyAlignment="1">
      <alignment horizontal="center" vertical="center"/>
    </xf>
    <xf numFmtId="1" fontId="15" fillId="0" borderId="0" xfId="1" applyNumberFormat="1" applyFont="1" applyAlignment="1">
      <alignment horizontal="center" vertical="center"/>
    </xf>
    <xf numFmtId="20" fontId="7" fillId="0" borderId="0" xfId="1" applyNumberFormat="1" applyFont="1" applyAlignment="1">
      <alignment horizontal="center" vertical="center"/>
    </xf>
    <xf numFmtId="1" fontId="6" fillId="0" borderId="0" xfId="1" applyNumberFormat="1" applyFont="1" applyAlignment="1" applyProtection="1">
      <alignment horizontal="center" vertical="center" wrapText="1"/>
      <protection locked="0"/>
    </xf>
    <xf numFmtId="0" fontId="17" fillId="0" borderId="0" xfId="1" applyFont="1" applyAlignment="1">
      <alignment vertical="top"/>
    </xf>
    <xf numFmtId="0" fontId="27" fillId="0" borderId="0" xfId="10"/>
    <xf numFmtId="1" fontId="10" fillId="0" borderId="8" xfId="0" applyNumberFormat="1" applyFont="1" applyBorder="1" applyAlignment="1" applyProtection="1">
      <alignment vertical="top" wrapText="1"/>
      <protection locked="0"/>
    </xf>
    <xf numFmtId="1" fontId="10" fillId="0" borderId="21" xfId="0" applyNumberFormat="1" applyFont="1" applyBorder="1" applyAlignment="1" applyProtection="1">
      <alignment vertical="top" wrapText="1"/>
      <protection locked="0"/>
    </xf>
    <xf numFmtId="1" fontId="10" fillId="0" borderId="9" xfId="0" applyNumberFormat="1" applyFont="1" applyBorder="1" applyAlignment="1" applyProtection="1">
      <alignment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0"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7" fillId="0" borderId="1" xfId="1" applyFont="1" applyBorder="1" applyAlignment="1" applyProtection="1">
      <alignment horizontal="left" vertical="top"/>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1" fontId="6" fillId="0" borderId="21" xfId="1" applyNumberFormat="1" applyFont="1" applyBorder="1" applyAlignment="1" applyProtection="1">
      <alignment horizontal="center" vertical="center" wrapText="1"/>
      <protection locked="0"/>
    </xf>
    <xf numFmtId="0" fontId="6" fillId="0" borderId="1" xfId="1" applyFont="1" applyBorder="1" applyAlignment="1" applyProtection="1">
      <alignment vertical="top"/>
      <protection locked="0"/>
    </xf>
    <xf numFmtId="1" fontId="6" fillId="0" borderId="1" xfId="1" applyNumberFormat="1" applyFont="1" applyBorder="1" applyAlignment="1" applyProtection="1">
      <alignment horizontal="center" vertical="center" wrapText="1"/>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6" fillId="0" borderId="1" xfId="0" applyNumberFormat="1"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164"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5" fillId="0" borderId="25" xfId="1" applyFont="1" applyBorder="1" applyAlignment="1" applyProtection="1">
      <alignment horizontal="left" vertical="top" wrapText="1"/>
      <protection locked="0"/>
    </xf>
    <xf numFmtId="0" fontId="15" fillId="0" borderId="26"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17" xfId="1" applyFont="1" applyBorder="1" applyAlignment="1" applyProtection="1">
      <alignment horizontal="center" vertical="top" wrapText="1"/>
      <protection locked="0"/>
    </xf>
    <xf numFmtId="0" fontId="6" fillId="0" borderId="24" xfId="1" applyFont="1" applyBorder="1" applyAlignment="1" applyProtection="1">
      <alignment horizontal="center" vertical="top" wrapText="1"/>
      <protection locked="0"/>
    </xf>
    <xf numFmtId="0" fontId="6" fillId="0" borderId="18" xfId="1" applyFont="1" applyBorder="1" applyAlignment="1" applyProtection="1">
      <alignment horizontal="center" vertical="top" wrapText="1"/>
      <protection locked="0"/>
    </xf>
    <xf numFmtId="0" fontId="6" fillId="0" borderId="19" xfId="1" applyFont="1" applyBorder="1" applyAlignment="1" applyProtection="1">
      <alignment horizontal="center" vertical="top" wrapText="1"/>
      <protection locked="0"/>
    </xf>
    <xf numFmtId="0" fontId="6" fillId="0" borderId="2" xfId="1" applyFont="1" applyBorder="1" applyAlignment="1" applyProtection="1">
      <alignment horizontal="center" vertical="top" wrapText="1"/>
      <protection locked="0"/>
    </xf>
    <xf numFmtId="0" fontId="6" fillId="0" borderId="20"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5" fillId="0" borderId="25" xfId="1" applyFont="1" applyBorder="1" applyAlignment="1" applyProtection="1">
      <alignment horizontal="left" vertical="top"/>
      <protection locked="0"/>
    </xf>
    <xf numFmtId="0" fontId="15" fillId="0" borderId="0" xfId="1" applyFont="1" applyAlignment="1" applyProtection="1">
      <alignment horizontal="left" vertical="top"/>
      <protection locked="0"/>
    </xf>
    <xf numFmtId="0" fontId="15" fillId="0" borderId="26" xfId="1" applyFont="1" applyBorder="1" applyAlignment="1" applyProtection="1">
      <alignment horizontal="left" vertical="top"/>
      <protection locked="0"/>
    </xf>
    <xf numFmtId="0" fontId="13" fillId="0" borderId="4"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25" xfId="1" applyFont="1" applyBorder="1" applyAlignment="1" applyProtection="1">
      <alignment horizontal="left" vertical="top" wrapText="1"/>
      <protection locked="0"/>
    </xf>
    <xf numFmtId="0" fontId="6" fillId="0" borderId="26"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0" fontId="7" fillId="0" borderId="0" xfId="1" applyFont="1" applyAlignment="1">
      <alignment horizontal="center" vertical="center"/>
    </xf>
    <xf numFmtId="0" fontId="7" fillId="0" borderId="1" xfId="0" applyFont="1" applyBorder="1" applyAlignment="1" applyProtection="1">
      <alignment horizontal="center" vertical="top" wrapText="1"/>
      <protection locked="0"/>
    </xf>
    <xf numFmtId="1" fontId="32" fillId="0" borderId="3" xfId="1" applyNumberFormat="1" applyFont="1" applyBorder="1" applyAlignment="1" applyProtection="1">
      <alignment horizontal="center" vertical="top" wrapText="1"/>
      <protection locked="0"/>
    </xf>
    <xf numFmtId="1" fontId="32" fillId="0" borderId="16" xfId="1" applyNumberFormat="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10" fillId="0" borderId="33" xfId="0" applyNumberFormat="1" applyFont="1" applyBorder="1" applyAlignment="1" applyProtection="1">
      <alignment horizontal="center" vertical="center"/>
      <protection locked="0"/>
    </xf>
    <xf numFmtId="0" fontId="27" fillId="0" borderId="1" xfId="10" applyFill="1" applyBorder="1" applyAlignment="1" applyProtection="1">
      <alignment horizontal="left" vertical="top" wrapText="1"/>
      <protection locked="0"/>
    </xf>
    <xf numFmtId="1" fontId="10" fillId="0" borderId="3" xfId="1" applyNumberFormat="1" applyFont="1" applyBorder="1" applyAlignment="1" applyProtection="1">
      <alignment horizontal="center" vertical="top" wrapText="1"/>
      <protection locked="0"/>
    </xf>
    <xf numFmtId="1" fontId="10" fillId="0" borderId="16" xfId="1" applyNumberFormat="1"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6" fillId="0" borderId="16" xfId="1" applyFont="1" applyBorder="1" applyAlignment="1" applyProtection="1">
      <alignment horizontal="left" vertical="top" wrapText="1"/>
      <protection locked="0"/>
    </xf>
    <xf numFmtId="14" fontId="6" fillId="0" borderId="17" xfId="1" applyNumberFormat="1" applyFont="1" applyBorder="1" applyAlignment="1" applyProtection="1">
      <alignment horizontal="left" vertical="top" wrapText="1"/>
      <protection locked="0"/>
    </xf>
    <xf numFmtId="14" fontId="6" fillId="0" borderId="18" xfId="1" applyNumberFormat="1" applyFont="1" applyBorder="1" applyAlignment="1" applyProtection="1">
      <alignment horizontal="left" vertical="top" wrapText="1"/>
      <protection locked="0"/>
    </xf>
    <xf numFmtId="14" fontId="6" fillId="0" borderId="19" xfId="1" applyNumberFormat="1" applyFont="1" applyBorder="1" applyAlignment="1" applyProtection="1">
      <alignment horizontal="left" vertical="top" wrapText="1"/>
      <protection locked="0"/>
    </xf>
    <xf numFmtId="14" fontId="6" fillId="0" borderId="20" xfId="1" applyNumberFormat="1" applyFont="1" applyBorder="1" applyAlignment="1" applyProtection="1">
      <alignment horizontal="left" vertical="top" wrapText="1"/>
      <protection locked="0"/>
    </xf>
    <xf numFmtId="1" fontId="15" fillId="0" borderId="25" xfId="1" applyNumberFormat="1" applyFont="1" applyBorder="1" applyAlignment="1">
      <alignment horizontal="center" vertical="center"/>
    </xf>
    <xf numFmtId="1" fontId="15" fillId="0" borderId="0" xfId="1" applyNumberFormat="1" applyFont="1" applyAlignment="1">
      <alignment horizontal="center" vertical="center"/>
    </xf>
    <xf numFmtId="20" fontId="7" fillId="0" borderId="0" xfId="1" applyNumberFormat="1" applyFont="1" applyAlignment="1">
      <alignment horizontal="center" vertical="center"/>
    </xf>
    <xf numFmtId="0" fontId="9" fillId="0" borderId="1" xfId="5" applyFont="1" applyBorder="1" applyAlignment="1">
      <alignment horizontal="left"/>
    </xf>
    <xf numFmtId="0" fontId="0" fillId="0" borderId="25" xfId="0" applyBorder="1" applyAlignment="1">
      <alignment horizontal="left" vertical="top" wrapText="1"/>
    </xf>
    <xf numFmtId="0" fontId="0" fillId="0" borderId="0" xfId="0" applyAlignment="1">
      <alignment horizontal="left" vertical="top" wrapText="1"/>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13" fillId="0" borderId="16" xfId="1" applyFont="1" applyBorder="1" applyAlignment="1" applyProtection="1">
      <alignment horizontal="left" vertical="top"/>
      <protection locked="0"/>
    </xf>
    <xf numFmtId="0" fontId="13" fillId="0" borderId="16" xfId="1" applyFont="1" applyBorder="1" applyAlignment="1" applyProtection="1">
      <alignment horizontal="center" vertical="top"/>
      <protection locked="0"/>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9</xdr:col>
      <xdr:colOff>352425</xdr:colOff>
      <xdr:row>51</xdr:row>
      <xdr:rowOff>142875</xdr:rowOff>
    </xdr:from>
    <xdr:to>
      <xdr:col>13</xdr:col>
      <xdr:colOff>723450</xdr:colOff>
      <xdr:row>74</xdr:row>
      <xdr:rowOff>142462</xdr:rowOff>
    </xdr:to>
    <xdr:pic>
      <xdr:nvPicPr>
        <xdr:cNvPr id="2" name="Picture 1">
          <a:extLst>
            <a:ext uri="{FF2B5EF4-FFF2-40B4-BE49-F238E27FC236}">
              <a16:creationId xmlns:a16="http://schemas.microsoft.com/office/drawing/2014/main" id="{93F47C93-2FCA-4159-A5BB-9E21226414FE}"/>
            </a:ext>
          </a:extLst>
        </xdr:cNvPr>
        <xdr:cNvPicPr>
          <a:picLocks noChangeAspect="1"/>
        </xdr:cNvPicPr>
      </xdr:nvPicPr>
      <xdr:blipFill>
        <a:blip xmlns:r="http://schemas.openxmlformats.org/officeDocument/2006/relationships" r:embed="rId1"/>
        <a:stretch>
          <a:fillRect/>
        </a:stretch>
      </xdr:blipFill>
      <xdr:spPr>
        <a:xfrm>
          <a:off x="7829550" y="11982450"/>
          <a:ext cx="3600000" cy="3314287"/>
        </a:xfrm>
        <a:prstGeom prst="rect">
          <a:avLst/>
        </a:prstGeom>
      </xdr:spPr>
    </xdr:pic>
    <xdr:clientData/>
  </xdr:twoCellAnchor>
  <xdr:twoCellAnchor editAs="oneCell">
    <xdr:from>
      <xdr:col>9</xdr:col>
      <xdr:colOff>400050</xdr:colOff>
      <xdr:row>73</xdr:row>
      <xdr:rowOff>171450</xdr:rowOff>
    </xdr:from>
    <xdr:to>
      <xdr:col>13</xdr:col>
      <xdr:colOff>460255</xdr:colOff>
      <xdr:row>82</xdr:row>
      <xdr:rowOff>102600</xdr:rowOff>
    </xdr:to>
    <xdr:pic>
      <xdr:nvPicPr>
        <xdr:cNvPr id="3" name="Picture 2">
          <a:extLst>
            <a:ext uri="{FF2B5EF4-FFF2-40B4-BE49-F238E27FC236}">
              <a16:creationId xmlns:a16="http://schemas.microsoft.com/office/drawing/2014/main" id="{2FB68B5C-F2C9-49A0-A196-DF23CC97CF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877175" y="15201900"/>
          <a:ext cx="3289180" cy="2160000"/>
        </a:xfrm>
        <a:prstGeom prst="rect">
          <a:avLst/>
        </a:prstGeom>
      </xdr:spPr>
    </xdr:pic>
    <xdr:clientData/>
  </xdr:twoCellAnchor>
  <xdr:twoCellAnchor editAs="oneCell">
    <xdr:from>
      <xdr:col>9</xdr:col>
      <xdr:colOff>66675</xdr:colOff>
      <xdr:row>14</xdr:row>
      <xdr:rowOff>161925</xdr:rowOff>
    </xdr:from>
    <xdr:to>
      <xdr:col>14</xdr:col>
      <xdr:colOff>143453</xdr:colOff>
      <xdr:row>21</xdr:row>
      <xdr:rowOff>200260</xdr:rowOff>
    </xdr:to>
    <xdr:pic>
      <xdr:nvPicPr>
        <xdr:cNvPr id="4" name="Picture 3">
          <a:extLst>
            <a:ext uri="{FF2B5EF4-FFF2-40B4-BE49-F238E27FC236}">
              <a16:creationId xmlns:a16="http://schemas.microsoft.com/office/drawing/2014/main" id="{9AEB9D5E-A17F-4966-B938-EFD3FDBF6C65}"/>
            </a:ext>
          </a:extLst>
        </xdr:cNvPr>
        <xdr:cNvPicPr>
          <a:picLocks noChangeAspect="1"/>
        </xdr:cNvPicPr>
      </xdr:nvPicPr>
      <xdr:blipFill>
        <a:blip xmlns:r="http://schemas.openxmlformats.org/officeDocument/2006/relationships" r:embed="rId3"/>
        <a:stretch>
          <a:fillRect/>
        </a:stretch>
      </xdr:blipFill>
      <xdr:spPr>
        <a:xfrm>
          <a:off x="7543800" y="3552825"/>
          <a:ext cx="4143953" cy="1686160"/>
        </a:xfrm>
        <a:prstGeom prst="rect">
          <a:avLst/>
        </a:prstGeom>
      </xdr:spPr>
    </xdr:pic>
    <xdr:clientData/>
  </xdr:twoCellAnchor>
  <xdr:twoCellAnchor editAs="oneCell">
    <xdr:from>
      <xdr:col>8</xdr:col>
      <xdr:colOff>190500</xdr:colOff>
      <xdr:row>45</xdr:row>
      <xdr:rowOff>28575</xdr:rowOff>
    </xdr:from>
    <xdr:to>
      <xdr:col>12</xdr:col>
      <xdr:colOff>190050</xdr:colOff>
      <xdr:row>50</xdr:row>
      <xdr:rowOff>242405</xdr:rowOff>
    </xdr:to>
    <xdr:pic>
      <xdr:nvPicPr>
        <xdr:cNvPr id="5" name="Picture 4">
          <a:extLst>
            <a:ext uri="{FF2B5EF4-FFF2-40B4-BE49-F238E27FC236}">
              <a16:creationId xmlns:a16="http://schemas.microsoft.com/office/drawing/2014/main" id="{EC07D5BD-D91E-4657-8654-F9E1CEBDC47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505575" y="10077450"/>
          <a:ext cx="3600000" cy="1623530"/>
        </a:xfrm>
        <a:prstGeom prst="rect">
          <a:avLst/>
        </a:prstGeom>
      </xdr:spPr>
    </xdr:pic>
    <xdr:clientData/>
  </xdr:twoCellAnchor>
  <xdr:twoCellAnchor editAs="oneCell">
    <xdr:from>
      <xdr:col>8</xdr:col>
      <xdr:colOff>190500</xdr:colOff>
      <xdr:row>36</xdr:row>
      <xdr:rowOff>180975</xdr:rowOff>
    </xdr:from>
    <xdr:to>
      <xdr:col>11</xdr:col>
      <xdr:colOff>393975</xdr:colOff>
      <xdr:row>45</xdr:row>
      <xdr:rowOff>5365</xdr:rowOff>
    </xdr:to>
    <xdr:pic>
      <xdr:nvPicPr>
        <xdr:cNvPr id="6" name="Picture 5">
          <a:extLst>
            <a:ext uri="{FF2B5EF4-FFF2-40B4-BE49-F238E27FC236}">
              <a16:creationId xmlns:a16="http://schemas.microsoft.com/office/drawing/2014/main" id="{7A59E48F-D5F5-4CC9-B921-73B8E5AF5BB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05575" y="8429625"/>
          <a:ext cx="2880000" cy="1624615"/>
        </a:xfrm>
        <a:prstGeom prst="rect">
          <a:avLst/>
        </a:prstGeom>
      </xdr:spPr>
    </xdr:pic>
    <xdr:clientData/>
  </xdr:twoCellAnchor>
  <xdr:twoCellAnchor>
    <xdr:from>
      <xdr:col>0</xdr:col>
      <xdr:colOff>85725</xdr:colOff>
      <xdr:row>330</xdr:row>
      <xdr:rowOff>161924</xdr:rowOff>
    </xdr:from>
    <xdr:to>
      <xdr:col>7</xdr:col>
      <xdr:colOff>676275</xdr:colOff>
      <xdr:row>355</xdr:row>
      <xdr:rowOff>51093</xdr:rowOff>
    </xdr:to>
    <xdr:grpSp>
      <xdr:nvGrpSpPr>
        <xdr:cNvPr id="7" name="Group 6">
          <a:extLst>
            <a:ext uri="{FF2B5EF4-FFF2-40B4-BE49-F238E27FC236}">
              <a16:creationId xmlns:a16="http://schemas.microsoft.com/office/drawing/2014/main" id="{E8C9DCCF-F843-42B0-8B24-C35C23020CC7}"/>
            </a:ext>
          </a:extLst>
        </xdr:cNvPr>
        <xdr:cNvGrpSpPr/>
      </xdr:nvGrpSpPr>
      <xdr:grpSpPr>
        <a:xfrm>
          <a:off x="85725" y="49602277"/>
          <a:ext cx="6171079" cy="4920610"/>
          <a:chOff x="10095" y="233081"/>
          <a:chExt cx="6848372" cy="5508919"/>
        </a:xfrm>
      </xdr:grpSpPr>
      <xdr:pic>
        <xdr:nvPicPr>
          <xdr:cNvPr id="8" name="Picture 7">
            <a:extLst>
              <a:ext uri="{FF2B5EF4-FFF2-40B4-BE49-F238E27FC236}">
                <a16:creationId xmlns:a16="http://schemas.microsoft.com/office/drawing/2014/main" id="{CBEECB3D-6FB7-402F-A467-E2B6FE4C30B1}"/>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26667" y="233081"/>
            <a:ext cx="2283467" cy="3047799"/>
          </a:xfrm>
          <a:prstGeom prst="rect">
            <a:avLst/>
          </a:prstGeom>
          <a:ln>
            <a:solidFill>
              <a:schemeClr val="tx1"/>
            </a:solidFill>
          </a:ln>
        </xdr:spPr>
      </xdr:pic>
      <xdr:pic>
        <xdr:nvPicPr>
          <xdr:cNvPr id="9" name="Picture 8">
            <a:extLst>
              <a:ext uri="{FF2B5EF4-FFF2-40B4-BE49-F238E27FC236}">
                <a16:creationId xmlns:a16="http://schemas.microsoft.com/office/drawing/2014/main" id="{7C0D1CFE-968F-4042-A2E4-E6FAD5BBE2CD}"/>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611281" y="233081"/>
            <a:ext cx="4059969" cy="3047799"/>
          </a:xfrm>
          <a:prstGeom prst="rect">
            <a:avLst/>
          </a:prstGeom>
          <a:ln>
            <a:solidFill>
              <a:schemeClr val="tx1"/>
            </a:solidFill>
          </a:ln>
        </xdr:spPr>
      </xdr:pic>
      <xdr:pic>
        <xdr:nvPicPr>
          <xdr:cNvPr id="10" name="Picture 9">
            <a:extLst>
              <a:ext uri="{FF2B5EF4-FFF2-40B4-BE49-F238E27FC236}">
                <a16:creationId xmlns:a16="http://schemas.microsoft.com/office/drawing/2014/main" id="{62D3A25E-14E1-4C57-A9CF-C07EA07A085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095" y="3402000"/>
            <a:ext cx="1753173" cy="2340000"/>
          </a:xfrm>
          <a:prstGeom prst="rect">
            <a:avLst/>
          </a:prstGeom>
          <a:ln>
            <a:solidFill>
              <a:schemeClr val="tx1"/>
            </a:solidFill>
          </a:ln>
        </xdr:spPr>
      </xdr:pic>
      <xdr:pic>
        <xdr:nvPicPr>
          <xdr:cNvPr id="11" name="Picture 10">
            <a:extLst>
              <a:ext uri="{FF2B5EF4-FFF2-40B4-BE49-F238E27FC236}">
                <a16:creationId xmlns:a16="http://schemas.microsoft.com/office/drawing/2014/main" id="{FCC34C28-C602-4D0C-9CCD-DA46BA10F01A}"/>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870444" y="3402000"/>
            <a:ext cx="3117111" cy="2340000"/>
          </a:xfrm>
          <a:prstGeom prst="rect">
            <a:avLst/>
          </a:prstGeom>
          <a:ln>
            <a:solidFill>
              <a:schemeClr val="tx1"/>
            </a:solidFill>
          </a:ln>
        </xdr:spPr>
      </xdr:pic>
      <xdr:pic>
        <xdr:nvPicPr>
          <xdr:cNvPr id="12" name="Picture 11">
            <a:extLst>
              <a:ext uri="{FF2B5EF4-FFF2-40B4-BE49-F238E27FC236}">
                <a16:creationId xmlns:a16="http://schemas.microsoft.com/office/drawing/2014/main" id="{8D257A7D-B408-4CA3-8823-841071E747D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105295" y="3402000"/>
            <a:ext cx="1753172" cy="2340000"/>
          </a:xfrm>
          <a:prstGeom prst="rect">
            <a:avLst/>
          </a:prstGeom>
          <a:ln>
            <a:solidFill>
              <a:schemeClr val="tx1"/>
            </a:solidFill>
          </a:ln>
        </xdr:spPr>
      </xdr:pic>
    </xdr:grpSp>
    <xdr:clientData/>
  </xdr:twoCellAnchor>
  <xdr:twoCellAnchor>
    <xdr:from>
      <xdr:col>1</xdr:col>
      <xdr:colOff>638175</xdr:colOff>
      <xdr:row>373</xdr:row>
      <xdr:rowOff>76200</xdr:rowOff>
    </xdr:from>
    <xdr:to>
      <xdr:col>5</xdr:col>
      <xdr:colOff>213008</xdr:colOff>
      <xdr:row>411</xdr:row>
      <xdr:rowOff>199544</xdr:rowOff>
    </xdr:to>
    <xdr:grpSp>
      <xdr:nvGrpSpPr>
        <xdr:cNvPr id="13" name="Group 12">
          <a:extLst>
            <a:ext uri="{FF2B5EF4-FFF2-40B4-BE49-F238E27FC236}">
              <a16:creationId xmlns:a16="http://schemas.microsoft.com/office/drawing/2014/main" id="{B28A5A05-496A-4927-9553-967A9B9C7546}"/>
            </a:ext>
          </a:extLst>
        </xdr:cNvPr>
        <xdr:cNvGrpSpPr/>
      </xdr:nvGrpSpPr>
      <xdr:grpSpPr>
        <a:xfrm>
          <a:off x="1400175" y="58178700"/>
          <a:ext cx="2925392" cy="7788168"/>
          <a:chOff x="1721049" y="348722"/>
          <a:chExt cx="2918108" cy="7724294"/>
        </a:xfrm>
      </xdr:grpSpPr>
      <xdr:pic>
        <xdr:nvPicPr>
          <xdr:cNvPr id="14" name="Picture 13">
            <a:extLst>
              <a:ext uri="{FF2B5EF4-FFF2-40B4-BE49-F238E27FC236}">
                <a16:creationId xmlns:a16="http://schemas.microsoft.com/office/drawing/2014/main" id="{E5258047-714C-4DDF-95FA-78961CDD91D9}"/>
              </a:ext>
            </a:extLst>
          </xdr:cNvPr>
          <xdr:cNvPicPr>
            <a:picLocks noChangeAspect="1"/>
          </xdr:cNvPicPr>
        </xdr:nvPicPr>
        <xdr:blipFill>
          <a:blip xmlns:r="http://schemas.openxmlformats.org/officeDocument/2006/relationships" r:embed="rId11"/>
          <a:stretch>
            <a:fillRect/>
          </a:stretch>
        </xdr:blipFill>
        <xdr:spPr>
          <a:xfrm>
            <a:off x="1752679" y="348722"/>
            <a:ext cx="2886478" cy="4896533"/>
          </a:xfrm>
          <a:prstGeom prst="rect">
            <a:avLst/>
          </a:prstGeom>
          <a:ln>
            <a:solidFill>
              <a:schemeClr val="tx1"/>
            </a:solidFill>
          </a:ln>
        </xdr:spPr>
      </xdr:pic>
      <xdr:pic>
        <xdr:nvPicPr>
          <xdr:cNvPr id="15" name="Picture 14">
            <a:extLst>
              <a:ext uri="{FF2B5EF4-FFF2-40B4-BE49-F238E27FC236}">
                <a16:creationId xmlns:a16="http://schemas.microsoft.com/office/drawing/2014/main" id="{08A70181-E0BB-4283-8A47-292F9272E65C}"/>
              </a:ext>
            </a:extLst>
          </xdr:cNvPr>
          <xdr:cNvPicPr>
            <a:picLocks noChangeAspect="1"/>
          </xdr:cNvPicPr>
        </xdr:nvPicPr>
        <xdr:blipFill>
          <a:blip xmlns:r="http://schemas.openxmlformats.org/officeDocument/2006/relationships" r:embed="rId12"/>
          <a:stretch>
            <a:fillRect/>
          </a:stretch>
        </xdr:blipFill>
        <xdr:spPr>
          <a:xfrm>
            <a:off x="1752679" y="5409190"/>
            <a:ext cx="2880000" cy="2663826"/>
          </a:xfrm>
          <a:prstGeom prst="rect">
            <a:avLst/>
          </a:prstGeom>
          <a:ln>
            <a:solidFill>
              <a:schemeClr val="tx1"/>
            </a:solidFill>
          </a:ln>
        </xdr:spPr>
      </xdr:pic>
      <xdr:sp macro="" textlink="">
        <xdr:nvSpPr>
          <xdr:cNvPr id="16" name="Arrow: Right 15">
            <a:extLst>
              <a:ext uri="{FF2B5EF4-FFF2-40B4-BE49-F238E27FC236}">
                <a16:creationId xmlns:a16="http://schemas.microsoft.com/office/drawing/2014/main" id="{8470E4D3-E6A3-4AF7-ACCF-68B57A619279}"/>
              </a:ext>
            </a:extLst>
          </xdr:cNvPr>
          <xdr:cNvSpPr/>
        </xdr:nvSpPr>
        <xdr:spPr>
          <a:xfrm rot="3496177">
            <a:off x="1918649" y="4556298"/>
            <a:ext cx="508000" cy="351637"/>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7" name="TextBox 17">
            <a:extLst>
              <a:ext uri="{FF2B5EF4-FFF2-40B4-BE49-F238E27FC236}">
                <a16:creationId xmlns:a16="http://schemas.microsoft.com/office/drawing/2014/main" id="{598BB57A-1DF9-45A5-8A8B-3F6A6BF1129E}"/>
              </a:ext>
            </a:extLst>
          </xdr:cNvPr>
          <xdr:cNvSpPr txBox="1"/>
        </xdr:nvSpPr>
        <xdr:spPr>
          <a:xfrm>
            <a:off x="1721049" y="4218978"/>
            <a:ext cx="336952"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clientData/>
  </xdr:twoCellAnchor>
  <xdr:twoCellAnchor>
    <xdr:from>
      <xdr:col>0</xdr:col>
      <xdr:colOff>704850</xdr:colOff>
      <xdr:row>418</xdr:row>
      <xdr:rowOff>85725</xdr:rowOff>
    </xdr:from>
    <xdr:to>
      <xdr:col>6</xdr:col>
      <xdr:colOff>534875</xdr:colOff>
      <xdr:row>451</xdr:row>
      <xdr:rowOff>141896</xdr:rowOff>
    </xdr:to>
    <xdr:grpSp>
      <xdr:nvGrpSpPr>
        <xdr:cNvPr id="18" name="Group 17">
          <a:extLst>
            <a:ext uri="{FF2B5EF4-FFF2-40B4-BE49-F238E27FC236}">
              <a16:creationId xmlns:a16="http://schemas.microsoft.com/office/drawing/2014/main" id="{C40AD75A-B72E-4A6B-B383-1BD76183C1A8}"/>
            </a:ext>
          </a:extLst>
        </xdr:cNvPr>
        <xdr:cNvGrpSpPr/>
      </xdr:nvGrpSpPr>
      <xdr:grpSpPr>
        <a:xfrm>
          <a:off x="704850" y="67264990"/>
          <a:ext cx="4682172" cy="6712465"/>
          <a:chOff x="1089875" y="1340326"/>
          <a:chExt cx="4678250" cy="6656996"/>
        </a:xfrm>
      </xdr:grpSpPr>
      <xdr:pic>
        <xdr:nvPicPr>
          <xdr:cNvPr id="19" name="Picture 18">
            <a:extLst>
              <a:ext uri="{FF2B5EF4-FFF2-40B4-BE49-F238E27FC236}">
                <a16:creationId xmlns:a16="http://schemas.microsoft.com/office/drawing/2014/main" id="{28CB1CA0-87A1-496E-B48B-86E9751521DD}"/>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628999" y="5201578"/>
            <a:ext cx="3600000" cy="2795744"/>
          </a:xfrm>
          <a:prstGeom prst="rect">
            <a:avLst/>
          </a:prstGeom>
          <a:ln>
            <a:solidFill>
              <a:schemeClr val="tx1"/>
            </a:solidFill>
          </a:ln>
        </xdr:spPr>
      </xdr:pic>
      <xdr:grpSp>
        <xdr:nvGrpSpPr>
          <xdr:cNvPr id="20" name="Group 19">
            <a:extLst>
              <a:ext uri="{FF2B5EF4-FFF2-40B4-BE49-F238E27FC236}">
                <a16:creationId xmlns:a16="http://schemas.microsoft.com/office/drawing/2014/main" id="{2A9EAB0B-3D98-464F-908B-F3A889B7B2F2}"/>
              </a:ext>
            </a:extLst>
          </xdr:cNvPr>
          <xdr:cNvGrpSpPr/>
        </xdr:nvGrpSpPr>
        <xdr:grpSpPr>
          <a:xfrm>
            <a:off x="1089875" y="1340326"/>
            <a:ext cx="4678250" cy="3600000"/>
            <a:chOff x="1089875" y="1340326"/>
            <a:chExt cx="4678250" cy="3600000"/>
          </a:xfrm>
        </xdr:grpSpPr>
        <xdr:pic>
          <xdr:nvPicPr>
            <xdr:cNvPr id="21" name="Picture 20">
              <a:extLst>
                <a:ext uri="{FF2B5EF4-FFF2-40B4-BE49-F238E27FC236}">
                  <a16:creationId xmlns:a16="http://schemas.microsoft.com/office/drawing/2014/main" id="{138615A1-C832-4239-A56B-0D7772E923E6}"/>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1089875" y="1340326"/>
              <a:ext cx="4678250" cy="3600000"/>
            </a:xfrm>
            <a:prstGeom prst="rect">
              <a:avLst/>
            </a:prstGeom>
            <a:ln>
              <a:solidFill>
                <a:schemeClr val="tx1"/>
              </a:solidFill>
            </a:ln>
          </xdr:spPr>
        </xdr:pic>
        <xdr:sp macro="" textlink="">
          <xdr:nvSpPr>
            <xdr:cNvPr id="22" name="Rectangle 21">
              <a:extLst>
                <a:ext uri="{FF2B5EF4-FFF2-40B4-BE49-F238E27FC236}">
                  <a16:creationId xmlns:a16="http://schemas.microsoft.com/office/drawing/2014/main" id="{21AFBB4C-6399-40D7-AD06-DCFCEC5758BB}"/>
                </a:ext>
              </a:extLst>
            </xdr:cNvPr>
            <xdr:cNvSpPr/>
          </xdr:nvSpPr>
          <xdr:spPr>
            <a:xfrm rot="1265132">
              <a:off x="3846177" y="2979040"/>
              <a:ext cx="427738" cy="653738"/>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3" name="Rectangle 22">
              <a:extLst>
                <a:ext uri="{FF2B5EF4-FFF2-40B4-BE49-F238E27FC236}">
                  <a16:creationId xmlns:a16="http://schemas.microsoft.com/office/drawing/2014/main" id="{3C08EAA0-E69D-48CA-AF26-222422C50E01}"/>
                </a:ext>
              </a:extLst>
            </xdr:cNvPr>
            <xdr:cNvSpPr/>
          </xdr:nvSpPr>
          <xdr:spPr>
            <a:xfrm rot="969295">
              <a:off x="3104165" y="3567677"/>
              <a:ext cx="368300" cy="61356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4" name="TextBox 23">
              <a:extLst>
                <a:ext uri="{FF2B5EF4-FFF2-40B4-BE49-F238E27FC236}">
                  <a16:creationId xmlns:a16="http://schemas.microsoft.com/office/drawing/2014/main" id="{B1E26C77-22A1-44BA-A461-B3C89F529B72}"/>
                </a:ext>
              </a:extLst>
            </xdr:cNvPr>
            <xdr:cNvSpPr txBox="1"/>
          </xdr:nvSpPr>
          <xdr:spPr>
            <a:xfrm>
              <a:off x="2520898" y="4220363"/>
              <a:ext cx="1816203" cy="52322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MSEDCL Ashar IT Park</a:t>
              </a:r>
            </a:p>
            <a:p>
              <a:r>
                <a:rPr lang="en-US" sz="1400" b="1">
                  <a:solidFill>
                    <a:srgbClr val="FF0000"/>
                  </a:solidFill>
                </a:rPr>
                <a:t> Switching Station</a:t>
              </a:r>
              <a:endParaRPr lang="en-IN" sz="1400" b="1">
                <a:solidFill>
                  <a:srgbClr val="FF0000"/>
                </a:solidFill>
              </a:endParaRPr>
            </a:p>
          </xdr:txBody>
        </xdr:sp>
        <xdr:sp macro="" textlink="">
          <xdr:nvSpPr>
            <xdr:cNvPr id="25" name="TextBox 24">
              <a:extLst>
                <a:ext uri="{FF2B5EF4-FFF2-40B4-BE49-F238E27FC236}">
                  <a16:creationId xmlns:a16="http://schemas.microsoft.com/office/drawing/2014/main" id="{A69E4F9A-AEB7-4E3F-A137-ACB89EFB18F1}"/>
                </a:ext>
              </a:extLst>
            </xdr:cNvPr>
            <xdr:cNvSpPr txBox="1"/>
          </xdr:nvSpPr>
          <xdr:spPr>
            <a:xfrm>
              <a:off x="1805526" y="2869817"/>
              <a:ext cx="219925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Aura Business Center</a:t>
              </a:r>
              <a:endParaRPr lang="en-IN" b="1">
                <a:solidFill>
                  <a:srgbClr val="FFFF00"/>
                </a:solidFill>
              </a:endParaRPr>
            </a:p>
          </xdr:txBody>
        </xdr:sp>
      </xdr:grpSp>
    </xdr:grpSp>
    <xdr:clientData/>
  </xdr:twoCellAnchor>
  <xdr:twoCellAnchor editAs="oneCell">
    <xdr:from>
      <xdr:col>8</xdr:col>
      <xdr:colOff>800100</xdr:colOff>
      <xdr:row>120</xdr:row>
      <xdr:rowOff>47625</xdr:rowOff>
    </xdr:from>
    <xdr:to>
      <xdr:col>15</xdr:col>
      <xdr:colOff>161250</xdr:colOff>
      <xdr:row>141</xdr:row>
      <xdr:rowOff>134792</xdr:rowOff>
    </xdr:to>
    <xdr:pic>
      <xdr:nvPicPr>
        <xdr:cNvPr id="26" name="Picture 25">
          <a:extLst>
            <a:ext uri="{FF2B5EF4-FFF2-40B4-BE49-F238E27FC236}">
              <a16:creationId xmlns:a16="http://schemas.microsoft.com/office/drawing/2014/main" id="{194B954A-8158-48FD-93CE-D5BB8124C59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7115175" y="19307175"/>
          <a:ext cx="5400000" cy="17064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aurabusinesscentre.com/" TargetMode="External"/><Relationship Id="rId1" Type="http://schemas.openxmlformats.org/officeDocument/2006/relationships/hyperlink" Target="https://maps.app.goo.gl/SpW1hfPq6LDa21SD7"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JZ417"/>
  <sheetViews>
    <sheetView tabSelected="1" view="pageBreakPreview" zoomScale="85" zoomScaleNormal="100" zoomScaleSheetLayoutView="85" zoomScalePageLayoutView="85" workbookViewId="0">
      <selection activeCell="F121" sqref="F121:H121"/>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85" t="s">
        <v>380</v>
      </c>
      <c r="B1" s="185"/>
      <c r="C1" s="185"/>
      <c r="D1" s="185"/>
      <c r="E1" s="185"/>
      <c r="F1" s="185"/>
      <c r="G1" s="185"/>
      <c r="H1" s="185"/>
      <c r="I1" s="109" t="s">
        <v>440</v>
      </c>
    </row>
    <row r="2" spans="1:26" ht="16.5" customHeight="1" x14ac:dyDescent="0.25">
      <c r="A2" s="186" t="s">
        <v>0</v>
      </c>
      <c r="B2" s="186"/>
      <c r="C2" s="186"/>
      <c r="D2" s="186"/>
      <c r="E2" s="186"/>
      <c r="F2" s="186"/>
      <c r="G2" s="186"/>
      <c r="H2" s="186"/>
    </row>
    <row r="3" spans="1:26" x14ac:dyDescent="0.25">
      <c r="A3" s="178" t="s">
        <v>1</v>
      </c>
      <c r="B3" s="178"/>
      <c r="C3" s="178"/>
      <c r="D3" s="178"/>
      <c r="E3" s="178" t="str">
        <f ca="1">TEXT(TODAY(),"DD/MM/YYYY")</f>
        <v>23/08/2025</v>
      </c>
      <c r="F3" s="178"/>
      <c r="G3" s="178"/>
      <c r="H3" s="178"/>
      <c r="K3" s="56" t="s">
        <v>236</v>
      </c>
      <c r="L3" s="54" t="s">
        <v>234</v>
      </c>
      <c r="M3" s="54" t="s">
        <v>239</v>
      </c>
      <c r="N3" s="54" t="s">
        <v>237</v>
      </c>
      <c r="O3" s="54" t="s">
        <v>357</v>
      </c>
      <c r="P3" s="54" t="s">
        <v>383</v>
      </c>
    </row>
    <row r="4" spans="1:26" ht="15" customHeight="1" x14ac:dyDescent="0.25">
      <c r="A4" s="178" t="s">
        <v>233</v>
      </c>
      <c r="B4" s="178"/>
      <c r="C4" s="178"/>
      <c r="D4" s="178"/>
      <c r="E4" s="149" t="s">
        <v>234</v>
      </c>
      <c r="F4" s="149"/>
      <c r="G4" s="149"/>
      <c r="H4" s="149"/>
      <c r="K4" s="53" t="s">
        <v>235</v>
      </c>
      <c r="L4" s="54" t="s">
        <v>171</v>
      </c>
      <c r="M4" s="54" t="s">
        <v>244</v>
      </c>
      <c r="N4" s="54" t="s">
        <v>246</v>
      </c>
      <c r="O4" s="54" t="s">
        <v>342</v>
      </c>
      <c r="P4" s="54" t="s">
        <v>384</v>
      </c>
    </row>
    <row r="5" spans="1:26" ht="15" customHeight="1" x14ac:dyDescent="0.25">
      <c r="A5" s="178" t="s">
        <v>2</v>
      </c>
      <c r="B5" s="178"/>
      <c r="C5" s="178"/>
      <c r="D5" s="178"/>
      <c r="E5" s="149" t="s">
        <v>241</v>
      </c>
      <c r="F5" s="149"/>
      <c r="G5" s="149"/>
      <c r="H5" s="149"/>
      <c r="K5" s="53"/>
      <c r="L5" s="54" t="s">
        <v>241</v>
      </c>
      <c r="M5" s="54" t="s">
        <v>245</v>
      </c>
      <c r="N5" s="54" t="s">
        <v>247</v>
      </c>
      <c r="O5" s="54" t="s">
        <v>343</v>
      </c>
      <c r="P5" s="54"/>
    </row>
    <row r="6" spans="1:26" x14ac:dyDescent="0.25">
      <c r="A6" s="178" t="s">
        <v>3</v>
      </c>
      <c r="B6" s="178"/>
      <c r="C6" s="178"/>
      <c r="D6" s="178"/>
      <c r="E6" s="188">
        <v>45890</v>
      </c>
      <c r="F6" s="178"/>
      <c r="G6" s="178"/>
      <c r="H6" s="178"/>
      <c r="K6" s="53"/>
      <c r="L6" s="54" t="s">
        <v>242</v>
      </c>
      <c r="M6" s="54" t="s">
        <v>355</v>
      </c>
      <c r="N6" s="54"/>
      <c r="O6" s="54" t="s">
        <v>344</v>
      </c>
      <c r="P6" s="54"/>
    </row>
    <row r="7" spans="1:26" ht="16.5" customHeight="1" x14ac:dyDescent="0.25">
      <c r="A7" s="178" t="s">
        <v>4</v>
      </c>
      <c r="B7" s="178"/>
      <c r="C7" s="178"/>
      <c r="D7" s="178"/>
      <c r="E7" s="178" t="s">
        <v>390</v>
      </c>
      <c r="F7" s="178"/>
      <c r="G7" s="178"/>
      <c r="H7" s="178"/>
      <c r="K7" s="53"/>
      <c r="L7" s="54" t="s">
        <v>243</v>
      </c>
      <c r="M7" s="54"/>
      <c r="N7" s="54"/>
      <c r="O7" s="54" t="s">
        <v>344</v>
      </c>
      <c r="P7" s="54"/>
    </row>
    <row r="8" spans="1:26" ht="15" customHeight="1" x14ac:dyDescent="0.25">
      <c r="A8" s="178" t="s">
        <v>5</v>
      </c>
      <c r="B8" s="178"/>
      <c r="C8" s="178"/>
      <c r="D8" s="178"/>
      <c r="E8" s="178" t="str">
        <f>E7</f>
        <v>Aum Developers</v>
      </c>
      <c r="F8" s="178"/>
      <c r="G8" s="178"/>
      <c r="H8" s="178"/>
      <c r="K8" s="53"/>
      <c r="L8" s="54"/>
      <c r="M8" s="54"/>
      <c r="N8" s="54"/>
      <c r="O8" s="54" t="s">
        <v>345</v>
      </c>
      <c r="P8" s="54"/>
    </row>
    <row r="9" spans="1:26" x14ac:dyDescent="0.25">
      <c r="A9" s="178" t="s">
        <v>6</v>
      </c>
      <c r="B9" s="178"/>
      <c r="C9" s="178"/>
      <c r="D9" s="178"/>
      <c r="E9" s="187" t="s">
        <v>391</v>
      </c>
      <c r="F9" s="187"/>
      <c r="G9" s="187"/>
      <c r="H9" s="187"/>
      <c r="I9" s="22" t="s">
        <v>445</v>
      </c>
      <c r="K9" s="53"/>
      <c r="L9" s="54"/>
      <c r="M9" s="54"/>
      <c r="N9" s="54"/>
      <c r="O9" s="54" t="s">
        <v>346</v>
      </c>
      <c r="P9" s="54"/>
    </row>
    <row r="10" spans="1:26" x14ac:dyDescent="0.25">
      <c r="A10" s="178" t="s">
        <v>167</v>
      </c>
      <c r="B10" s="178"/>
      <c r="C10" s="178"/>
      <c r="D10" s="178"/>
      <c r="E10" s="178" t="s">
        <v>389</v>
      </c>
      <c r="F10" s="178"/>
      <c r="G10" s="178"/>
      <c r="H10" s="178"/>
      <c r="K10" s="53"/>
      <c r="L10" s="54"/>
      <c r="M10" s="54"/>
      <c r="N10" s="54"/>
      <c r="O10" s="54" t="s">
        <v>347</v>
      </c>
      <c r="P10" s="54"/>
    </row>
    <row r="11" spans="1:26" x14ac:dyDescent="0.25">
      <c r="A11" s="178" t="s">
        <v>168</v>
      </c>
      <c r="B11" s="178"/>
      <c r="C11" s="178"/>
      <c r="D11" s="178"/>
      <c r="E11" s="178" t="s">
        <v>389</v>
      </c>
      <c r="F11" s="178"/>
      <c r="G11" s="178"/>
      <c r="H11" s="178"/>
      <c r="O11" s="54" t="s">
        <v>348</v>
      </c>
    </row>
    <row r="12" spans="1:26" x14ac:dyDescent="0.25">
      <c r="A12" s="178" t="s">
        <v>7</v>
      </c>
      <c r="B12" s="178"/>
      <c r="C12" s="178"/>
      <c r="D12" s="178"/>
      <c r="E12" s="178" t="s">
        <v>442</v>
      </c>
      <c r="F12" s="178"/>
      <c r="G12" s="178"/>
      <c r="H12" s="178"/>
      <c r="I12" s="97" t="s">
        <v>392</v>
      </c>
    </row>
    <row r="13" spans="1:26" x14ac:dyDescent="0.25">
      <c r="A13" s="149" t="s">
        <v>172</v>
      </c>
      <c r="B13" s="149"/>
      <c r="C13" s="149"/>
      <c r="D13" s="149"/>
      <c r="E13" s="149" t="s">
        <v>28</v>
      </c>
      <c r="F13" s="149"/>
      <c r="G13" s="149"/>
      <c r="H13" s="149"/>
      <c r="S13" s="54" t="s">
        <v>179</v>
      </c>
      <c r="T13" s="54" t="s">
        <v>188</v>
      </c>
      <c r="U13" s="54" t="s">
        <v>173</v>
      </c>
      <c r="V13" s="54" t="s">
        <v>193</v>
      </c>
      <c r="W13" s="54" t="s">
        <v>211</v>
      </c>
      <c r="X13"/>
      <c r="Y13" t="s">
        <v>193</v>
      </c>
      <c r="Z13" t="e">
        <f ca="1">OFFSET($S$13,1,MATCH($G20,$S$13:$W$13,0)-1,15,1)</f>
        <v>#VALUE!</v>
      </c>
    </row>
    <row r="14" spans="1:26" ht="32.25" customHeight="1" x14ac:dyDescent="0.25">
      <c r="A14" s="138" t="s">
        <v>279</v>
      </c>
      <c r="B14" s="138"/>
      <c r="C14" s="138"/>
      <c r="D14" s="138"/>
      <c r="E14" s="189" t="s">
        <v>228</v>
      </c>
      <c r="F14" s="189"/>
      <c r="G14" s="189"/>
      <c r="H14" s="189"/>
      <c r="S14" s="54" t="s">
        <v>179</v>
      </c>
      <c r="T14" s="54" t="s">
        <v>186</v>
      </c>
      <c r="U14" s="54" t="s">
        <v>208</v>
      </c>
      <c r="V14" s="54" t="s">
        <v>194</v>
      </c>
      <c r="W14" s="54" t="s">
        <v>212</v>
      </c>
      <c r="X14"/>
      <c r="Y14"/>
      <c r="Z14"/>
    </row>
    <row r="15" spans="1:26" x14ac:dyDescent="0.25">
      <c r="A15" s="138" t="s">
        <v>8</v>
      </c>
      <c r="B15" s="138"/>
      <c r="C15" s="138"/>
      <c r="D15" s="138"/>
      <c r="E15" s="189" t="s">
        <v>393</v>
      </c>
      <c r="F15" s="149"/>
      <c r="G15" s="149"/>
      <c r="H15" s="149"/>
      <c r="I15" s="139" t="e">
        <f ca="1">OFFSET($D$5,1,MATCH($J13,$D$5:$H$5,0)-1,15,1)</f>
        <v>#N/A</v>
      </c>
      <c r="J15" s="140"/>
      <c r="K15" s="140"/>
      <c r="L15" s="140"/>
      <c r="M15" s="140"/>
      <c r="N15" s="140"/>
      <c r="O15" s="140"/>
      <c r="P15" s="140"/>
      <c r="S15" s="54" t="s">
        <v>180</v>
      </c>
      <c r="T15" s="54" t="s">
        <v>187</v>
      </c>
      <c r="U15" s="54" t="s">
        <v>209</v>
      </c>
      <c r="V15" s="54" t="s">
        <v>195</v>
      </c>
      <c r="W15" s="54" t="s">
        <v>225</v>
      </c>
      <c r="X15"/>
      <c r="Y15"/>
      <c r="Z15"/>
    </row>
    <row r="16" spans="1:26" ht="35.25" customHeight="1" x14ac:dyDescent="0.25">
      <c r="A16" s="127" t="s">
        <v>9</v>
      </c>
      <c r="B16" s="127"/>
      <c r="C16" s="127" t="str">
        <f>CONCATENATE((IF(OR(E9="",E9="NA"),"",E9)),", ",(IF(OR(A17="",A17="NA"),"",A17)),".",(IF(OR(C17="",C17="NA"),"",C17)),", near ",(IF(OR(C22="",C22="NA"),"",C22)),", ",(IF(OR(C19="",C19="NA"),"",C19)),", ",(IF(OR(C18="",C18="NA"),"",C18)),", ",(IF(OR(G19="",G19="NA"),"",G19)),", ",(IF(OR(C20="",C20="NA"),"",C20)),", ",(IF(OR(C21="",C21="NA"),"",C21)),", ",(IF(OR(G20="",G20="NA"),"",G20))," - ",(IF(OR(G21="",G21="NA"),"",G21)),".")</f>
        <v>Aura Business Center, Plot No.B-45, near Ashar IT Park, Road No.16/Z, Nehru Nagar, Wagle Industrial Estate, Thane West, Thane, Thane - 400604.</v>
      </c>
      <c r="D16" s="127"/>
      <c r="E16" s="127"/>
      <c r="F16" s="127"/>
      <c r="G16" s="127"/>
      <c r="H16" s="127"/>
      <c r="S16" s="54" t="s">
        <v>181</v>
      </c>
      <c r="T16" s="54" t="s">
        <v>189</v>
      </c>
      <c r="U16" s="54" t="s">
        <v>210</v>
      </c>
      <c r="V16" s="54" t="s">
        <v>196</v>
      </c>
      <c r="W16" s="54" t="s">
        <v>213</v>
      </c>
      <c r="X16"/>
      <c r="Y16"/>
      <c r="Z16"/>
    </row>
    <row r="17" spans="1:26" x14ac:dyDescent="0.25">
      <c r="A17" s="189" t="s">
        <v>394</v>
      </c>
      <c r="B17" s="189"/>
      <c r="C17" s="189" t="s">
        <v>395</v>
      </c>
      <c r="D17" s="189"/>
      <c r="E17" s="189"/>
      <c r="F17" s="189"/>
      <c r="G17" s="189"/>
      <c r="H17" s="189"/>
      <c r="S17" s="54" t="s">
        <v>182</v>
      </c>
      <c r="T17" s="54" t="s">
        <v>190</v>
      </c>
      <c r="U17" s="54" t="s">
        <v>173</v>
      </c>
      <c r="V17" s="54" t="s">
        <v>197</v>
      </c>
      <c r="W17" s="54" t="s">
        <v>214</v>
      </c>
      <c r="X17"/>
      <c r="Y17"/>
      <c r="Z17"/>
    </row>
    <row r="18" spans="1:26" ht="15.75" customHeight="1" x14ac:dyDescent="0.25">
      <c r="A18" s="190" t="s">
        <v>163</v>
      </c>
      <c r="B18" s="190"/>
      <c r="C18" s="190" t="s">
        <v>398</v>
      </c>
      <c r="D18" s="190"/>
      <c r="E18" s="190"/>
      <c r="F18" s="190"/>
      <c r="G18" s="190"/>
      <c r="H18" s="190"/>
      <c r="S18" s="54" t="s">
        <v>183</v>
      </c>
      <c r="T18" s="54" t="s">
        <v>188</v>
      </c>
      <c r="U18" s="54"/>
      <c r="V18" s="54" t="s">
        <v>198</v>
      </c>
      <c r="W18" s="54" t="s">
        <v>215</v>
      </c>
      <c r="X18"/>
      <c r="Y18"/>
      <c r="Z18"/>
    </row>
    <row r="19" spans="1:26" ht="15.75" customHeight="1" x14ac:dyDescent="0.25">
      <c r="A19" s="127" t="s">
        <v>10</v>
      </c>
      <c r="B19" s="127"/>
      <c r="C19" s="178" t="s">
        <v>399</v>
      </c>
      <c r="D19" s="178"/>
      <c r="E19" s="127" t="s">
        <v>69</v>
      </c>
      <c r="F19" s="127"/>
      <c r="G19" s="190" t="s">
        <v>396</v>
      </c>
      <c r="H19" s="190"/>
      <c r="S19" s="54" t="s">
        <v>184</v>
      </c>
      <c r="T19" s="54" t="s">
        <v>191</v>
      </c>
      <c r="U19" s="54"/>
      <c r="V19" s="54" t="s">
        <v>199</v>
      </c>
      <c r="W19" s="54" t="s">
        <v>216</v>
      </c>
      <c r="X19"/>
      <c r="Y19"/>
      <c r="Z19"/>
    </row>
    <row r="20" spans="1:26" x14ac:dyDescent="0.25">
      <c r="A20" s="138" t="s">
        <v>12</v>
      </c>
      <c r="B20" s="138"/>
      <c r="C20" s="190" t="s">
        <v>397</v>
      </c>
      <c r="D20" s="190"/>
      <c r="E20" s="127" t="s">
        <v>11</v>
      </c>
      <c r="F20" s="127"/>
      <c r="G20" s="191" t="s">
        <v>179</v>
      </c>
      <c r="H20" s="191"/>
      <c r="S20" s="54" t="s">
        <v>185</v>
      </c>
      <c r="T20" s="54" t="s">
        <v>192</v>
      </c>
      <c r="U20" s="54"/>
      <c r="V20" s="54" t="s">
        <v>200</v>
      </c>
      <c r="W20" s="54" t="s">
        <v>217</v>
      </c>
      <c r="X20"/>
      <c r="Y20"/>
      <c r="Z20"/>
    </row>
    <row r="21" spans="1:26" x14ac:dyDescent="0.25">
      <c r="A21" s="138" t="s">
        <v>70</v>
      </c>
      <c r="B21" s="138"/>
      <c r="C21" s="189" t="s">
        <v>179</v>
      </c>
      <c r="D21" s="189"/>
      <c r="E21" s="127" t="s">
        <v>13</v>
      </c>
      <c r="F21" s="127"/>
      <c r="G21" s="190">
        <v>400604</v>
      </c>
      <c r="H21" s="190"/>
      <c r="S21" s="54"/>
      <c r="T21" s="54"/>
      <c r="U21" s="54"/>
      <c r="V21" s="54" t="s">
        <v>201</v>
      </c>
      <c r="W21" s="54" t="s">
        <v>218</v>
      </c>
      <c r="X21"/>
      <c r="Y21"/>
      <c r="Z21"/>
    </row>
    <row r="22" spans="1:26" ht="32.25" customHeight="1" x14ac:dyDescent="0.25">
      <c r="A22" s="138" t="s">
        <v>121</v>
      </c>
      <c r="B22" s="138"/>
      <c r="C22" s="190" t="s">
        <v>400</v>
      </c>
      <c r="D22" s="190"/>
      <c r="E22" s="127" t="s">
        <v>14</v>
      </c>
      <c r="F22" s="127"/>
      <c r="G22" s="189" t="s">
        <v>439</v>
      </c>
      <c r="H22" s="189"/>
      <c r="S22" s="54"/>
      <c r="T22" s="54"/>
      <c r="U22" s="54"/>
      <c r="V22" s="54" t="s">
        <v>202</v>
      </c>
      <c r="W22" s="54" t="s">
        <v>219</v>
      </c>
      <c r="X22"/>
      <c r="Y22"/>
      <c r="Z22"/>
    </row>
    <row r="23" spans="1:26" ht="15" customHeight="1" x14ac:dyDescent="0.25">
      <c r="A23" s="127" t="s">
        <v>72</v>
      </c>
      <c r="B23" s="127"/>
      <c r="C23" s="127"/>
      <c r="D23" s="127"/>
      <c r="E23" s="178" t="s">
        <v>15</v>
      </c>
      <c r="F23" s="178"/>
      <c r="G23" s="178"/>
      <c r="H23" s="178"/>
      <c r="S23" s="54"/>
      <c r="T23" s="54"/>
      <c r="U23" s="54"/>
      <c r="V23" s="54" t="s">
        <v>203</v>
      </c>
      <c r="W23" s="54" t="s">
        <v>220</v>
      </c>
      <c r="X23"/>
      <c r="Y23"/>
      <c r="Z23"/>
    </row>
    <row r="24" spans="1:26" ht="18.75" customHeight="1" x14ac:dyDescent="0.25">
      <c r="A24" s="127"/>
      <c r="B24" s="127"/>
      <c r="C24" s="127"/>
      <c r="D24" s="127"/>
      <c r="E24" s="178"/>
      <c r="F24" s="178"/>
      <c r="G24" s="178"/>
      <c r="H24" s="178"/>
      <c r="S24" s="54"/>
      <c r="T24" s="54"/>
      <c r="U24" s="54"/>
      <c r="V24" s="54" t="s">
        <v>204</v>
      </c>
      <c r="W24" s="54" t="s">
        <v>221</v>
      </c>
      <c r="X24"/>
      <c r="Y24"/>
      <c r="Z24"/>
    </row>
    <row r="25" spans="1:26" ht="15" customHeight="1" x14ac:dyDescent="0.25">
      <c r="A25" s="127" t="s">
        <v>16</v>
      </c>
      <c r="B25" s="127"/>
      <c r="C25" s="127"/>
      <c r="D25" s="127"/>
      <c r="E25" s="190" t="s">
        <v>17</v>
      </c>
      <c r="F25" s="190"/>
      <c r="G25" s="190"/>
      <c r="H25" s="190"/>
      <c r="S25" s="54"/>
      <c r="T25" s="54"/>
      <c r="U25" s="54"/>
      <c r="V25" s="54" t="s">
        <v>205</v>
      </c>
      <c r="W25" s="54" t="s">
        <v>222</v>
      </c>
      <c r="X25"/>
      <c r="Y25"/>
      <c r="Z25"/>
    </row>
    <row r="26" spans="1:26" ht="15" customHeight="1" x14ac:dyDescent="0.25">
      <c r="A26" s="138" t="s">
        <v>18</v>
      </c>
      <c r="B26" s="138"/>
      <c r="C26" s="138"/>
      <c r="D26" s="138"/>
      <c r="E26" s="190" t="str">
        <f>IF(AND(G20="Mumbai"),"Upper Class","Middle Class")</f>
        <v>Middle Class</v>
      </c>
      <c r="F26" s="190"/>
      <c r="G26" s="190"/>
      <c r="H26" s="190"/>
      <c r="S26" s="54"/>
      <c r="T26" s="54"/>
      <c r="U26" s="54"/>
      <c r="V26" s="54" t="s">
        <v>206</v>
      </c>
      <c r="W26" s="54" t="s">
        <v>223</v>
      </c>
      <c r="X26"/>
      <c r="Y26"/>
      <c r="Z26"/>
    </row>
    <row r="27" spans="1:26" x14ac:dyDescent="0.25">
      <c r="A27" s="138" t="s">
        <v>19</v>
      </c>
      <c r="B27" s="138"/>
      <c r="C27" s="138"/>
      <c r="D27" s="138"/>
      <c r="E27" s="190" t="s">
        <v>20</v>
      </c>
      <c r="F27" s="190"/>
      <c r="G27" s="190"/>
      <c r="H27" s="190"/>
      <c r="S27" s="54"/>
      <c r="T27" s="54"/>
      <c r="U27" s="54"/>
      <c r="V27" s="54" t="s">
        <v>207</v>
      </c>
      <c r="W27" s="54" t="s">
        <v>224</v>
      </c>
      <c r="X27"/>
      <c r="Y27"/>
      <c r="Z27"/>
    </row>
    <row r="28" spans="1:26" ht="15.75" customHeight="1" x14ac:dyDescent="0.25">
      <c r="A28" s="138" t="s">
        <v>21</v>
      </c>
      <c r="B28" s="138"/>
      <c r="C28" s="138"/>
      <c r="D28" s="138"/>
      <c r="E28" s="190" t="str">
        <f>IF(AND(G20="Mumbai"),"Developed","Developing")</f>
        <v>Developing</v>
      </c>
      <c r="F28" s="190"/>
      <c r="G28" s="190"/>
      <c r="H28" s="190"/>
    </row>
    <row r="29" spans="1:26" x14ac:dyDescent="0.25">
      <c r="A29" s="138" t="s">
        <v>22</v>
      </c>
      <c r="B29" s="138"/>
      <c r="C29" s="138"/>
      <c r="D29" s="138"/>
      <c r="E29" s="190" t="s">
        <v>23</v>
      </c>
      <c r="F29" s="190"/>
      <c r="G29" s="190"/>
      <c r="H29" s="190"/>
    </row>
    <row r="30" spans="1:26" ht="15.75" customHeight="1" x14ac:dyDescent="0.25">
      <c r="A30" s="138" t="s">
        <v>77</v>
      </c>
      <c r="B30" s="138"/>
      <c r="C30" s="138"/>
      <c r="D30" s="138"/>
      <c r="E30" s="190" t="s">
        <v>78</v>
      </c>
      <c r="F30" s="190"/>
      <c r="G30" s="190"/>
      <c r="H30" s="190"/>
    </row>
    <row r="31" spans="1:26" ht="15" customHeight="1" x14ac:dyDescent="0.25">
      <c r="A31" s="138" t="s">
        <v>30</v>
      </c>
      <c r="B31" s="138"/>
      <c r="C31" s="138"/>
      <c r="D31" s="138"/>
      <c r="E31" s="190" t="str">
        <f>IF(AND(ISNUMBER(SEARCH("Flat",D65)),ISNUMBER(SEARCH("Shop",D65)),ISNUMBER(SEARCH("Office",D65))),"Residential + Commercial",IF(AND(ISNUMBER(SEARCH("Flat",D65)),ISNUMBER(SEARCH("Shop",D65))),"Residential + Commercial",IF(AND(ISNUMBER(SEARCH("Flat",D65)),ISNUMBER(SEARCH("Office",D65))),"Residential + Commercial",IF(AND(ISNUMBER(SEARCH("Shop",D65)),ISNUMBER(SEARCH("Office",D65))),"Commercial",IF(ISNUMBER(SEARCH("Shop",D65)),"Commercial",IF(ISNUMBER(SEARCH("Office",D65)),"Commercial",IF(ISNUMBER(SEARCH("Flat",D65)),"Residential")))))))</f>
        <v>Commercial</v>
      </c>
      <c r="F31" s="190"/>
      <c r="G31" s="190"/>
      <c r="H31" s="190"/>
    </row>
    <row r="32" spans="1:26" ht="15.75" customHeight="1" x14ac:dyDescent="0.25">
      <c r="A32" s="138" t="s">
        <v>89</v>
      </c>
      <c r="B32" s="138"/>
      <c r="C32" s="138"/>
      <c r="D32" s="138"/>
      <c r="E32" s="190" t="s">
        <v>31</v>
      </c>
      <c r="F32" s="190"/>
      <c r="G32" s="190"/>
      <c r="H32" s="190"/>
    </row>
    <row r="33" spans="1:19" s="22" customFormat="1" x14ac:dyDescent="0.25">
      <c r="A33" s="200" t="s">
        <v>90</v>
      </c>
      <c r="B33" s="200"/>
      <c r="C33" s="197" t="s">
        <v>174</v>
      </c>
      <c r="D33" s="198"/>
      <c r="E33" s="199"/>
      <c r="F33" s="197" t="s">
        <v>29</v>
      </c>
      <c r="G33" s="198"/>
      <c r="H33" s="199"/>
      <c r="S33" s="22" t="e">
        <f ca="1">OFFSET($S$13,1,MATCH($G20,$S$13:$W$13,0)-1,15,1)</f>
        <v>#VALUE!</v>
      </c>
    </row>
    <row r="34" spans="1:19" s="22" customFormat="1" x14ac:dyDescent="0.25">
      <c r="A34" s="193" t="s">
        <v>24</v>
      </c>
      <c r="B34" s="193" t="s">
        <v>28</v>
      </c>
      <c r="C34" s="194" t="s">
        <v>405</v>
      </c>
      <c r="D34" s="195"/>
      <c r="E34" s="196"/>
      <c r="F34" s="194" t="s">
        <v>409</v>
      </c>
      <c r="G34" s="195"/>
      <c r="H34" s="196"/>
    </row>
    <row r="35" spans="1:19" x14ac:dyDescent="0.25">
      <c r="A35" s="193" t="s">
        <v>25</v>
      </c>
      <c r="B35" s="193" t="s">
        <v>28</v>
      </c>
      <c r="C35" s="194" t="s">
        <v>404</v>
      </c>
      <c r="D35" s="195"/>
      <c r="E35" s="196"/>
      <c r="F35" s="194" t="s">
        <v>409</v>
      </c>
      <c r="G35" s="195"/>
      <c r="H35" s="196"/>
    </row>
    <row r="36" spans="1:19" s="22" customFormat="1" x14ac:dyDescent="0.25">
      <c r="A36" s="193" t="s">
        <v>27</v>
      </c>
      <c r="B36" s="193" t="s">
        <v>28</v>
      </c>
      <c r="C36" s="194" t="s">
        <v>403</v>
      </c>
      <c r="D36" s="195"/>
      <c r="E36" s="196"/>
      <c r="F36" s="194" t="s">
        <v>407</v>
      </c>
      <c r="G36" s="195"/>
      <c r="H36" s="196"/>
    </row>
    <row r="37" spans="1:19" x14ac:dyDescent="0.25">
      <c r="A37" s="193" t="s">
        <v>26</v>
      </c>
      <c r="B37" s="193" t="s">
        <v>28</v>
      </c>
      <c r="C37" s="194" t="s">
        <v>406</v>
      </c>
      <c r="D37" s="195"/>
      <c r="E37" s="196"/>
      <c r="F37" s="194" t="s">
        <v>408</v>
      </c>
      <c r="G37" s="195"/>
      <c r="H37" s="196"/>
    </row>
    <row r="38" spans="1:19" x14ac:dyDescent="0.25">
      <c r="A38" s="138" t="s">
        <v>280</v>
      </c>
      <c r="B38" s="138"/>
      <c r="C38" s="138"/>
      <c r="D38" s="138"/>
      <c r="E38" s="138"/>
      <c r="F38" s="138"/>
      <c r="G38" s="138"/>
      <c r="H38" s="138"/>
    </row>
    <row r="39" spans="1:19" ht="15.75" customHeight="1" x14ac:dyDescent="0.25">
      <c r="A39" s="138" t="s">
        <v>165</v>
      </c>
      <c r="B39" s="138"/>
      <c r="C39" s="216" t="s">
        <v>401</v>
      </c>
      <c r="D39" s="216"/>
      <c r="E39" s="216"/>
      <c r="F39" s="216"/>
      <c r="G39" s="216"/>
      <c r="H39" s="216"/>
    </row>
    <row r="40" spans="1:19" x14ac:dyDescent="0.25">
      <c r="A40" s="138" t="s">
        <v>162</v>
      </c>
      <c r="B40" s="138"/>
      <c r="C40" s="264" t="s">
        <v>402</v>
      </c>
      <c r="D40" s="190"/>
      <c r="E40" s="190"/>
      <c r="F40" s="190"/>
      <c r="G40" s="190"/>
      <c r="H40" s="190"/>
    </row>
    <row r="41" spans="1:19" x14ac:dyDescent="0.25">
      <c r="A41" s="216" t="s">
        <v>32</v>
      </c>
      <c r="B41" s="216"/>
      <c r="C41" s="216"/>
      <c r="D41" s="216"/>
      <c r="E41" s="216"/>
      <c r="F41" s="216"/>
      <c r="G41" s="216"/>
      <c r="H41" s="216"/>
    </row>
    <row r="42" spans="1:19" x14ac:dyDescent="0.25">
      <c r="A42" s="138" t="s">
        <v>33</v>
      </c>
      <c r="B42" s="138"/>
      <c r="C42" s="138"/>
      <c r="D42" s="138"/>
      <c r="E42" s="252">
        <v>1987</v>
      </c>
      <c r="F42" s="252"/>
      <c r="G42" s="252"/>
      <c r="H42" s="252"/>
    </row>
    <row r="43" spans="1:19" x14ac:dyDescent="0.25">
      <c r="A43" s="138" t="s">
        <v>34</v>
      </c>
      <c r="B43" s="138"/>
      <c r="C43" s="138"/>
      <c r="D43" s="138"/>
      <c r="E43" s="192">
        <v>1</v>
      </c>
      <c r="F43" s="192"/>
      <c r="G43" s="192"/>
      <c r="H43" s="192"/>
    </row>
    <row r="44" spans="1:19" x14ac:dyDescent="0.25">
      <c r="A44" s="138" t="s">
        <v>35</v>
      </c>
      <c r="B44" s="138"/>
      <c r="C44" s="138"/>
      <c r="D44" s="138"/>
      <c r="E44" s="192">
        <f>E46/E42-E43</f>
        <v>3.1471565173628582</v>
      </c>
      <c r="F44" s="192"/>
      <c r="G44" s="192"/>
      <c r="H44" s="192"/>
    </row>
    <row r="45" spans="1:19" x14ac:dyDescent="0.25">
      <c r="A45" s="138" t="s">
        <v>36</v>
      </c>
      <c r="B45" s="138"/>
      <c r="C45" s="138"/>
      <c r="D45" s="138"/>
      <c r="E45" s="192">
        <f>E43+E44</f>
        <v>4.1471565173628582</v>
      </c>
      <c r="F45" s="192"/>
      <c r="G45" s="192"/>
      <c r="H45" s="192"/>
    </row>
    <row r="46" spans="1:19" x14ac:dyDescent="0.25">
      <c r="A46" s="138" t="s">
        <v>88</v>
      </c>
      <c r="B46" s="138"/>
      <c r="C46" s="138"/>
      <c r="D46" s="138"/>
      <c r="E46" s="215">
        <v>8240.4</v>
      </c>
      <c r="F46" s="215"/>
      <c r="G46" s="215"/>
      <c r="H46" s="215"/>
    </row>
    <row r="47" spans="1:19" x14ac:dyDescent="0.25">
      <c r="A47" s="178" t="s">
        <v>37</v>
      </c>
      <c r="B47" s="178"/>
      <c r="C47" s="178"/>
      <c r="D47" s="178"/>
      <c r="E47" s="149" t="s">
        <v>120</v>
      </c>
      <c r="F47" s="149"/>
      <c r="G47" s="149"/>
      <c r="H47" s="149"/>
    </row>
    <row r="48" spans="1:19" x14ac:dyDescent="0.25">
      <c r="A48" s="216" t="s">
        <v>38</v>
      </c>
      <c r="B48" s="216"/>
      <c r="C48" s="216"/>
      <c r="D48" s="216"/>
      <c r="E48" s="216"/>
      <c r="F48" s="216"/>
      <c r="G48" s="216"/>
      <c r="H48" s="216"/>
    </row>
    <row r="49" spans="1:24" ht="33.75" customHeight="1" x14ac:dyDescent="0.25">
      <c r="A49" s="116" t="s">
        <v>153</v>
      </c>
      <c r="B49" s="117"/>
      <c r="C49" s="222" t="s">
        <v>269</v>
      </c>
      <c r="D49" s="223"/>
      <c r="E49" s="223"/>
      <c r="F49" s="223"/>
      <c r="G49" s="223"/>
      <c r="H49" s="224"/>
      <c r="R49" t="s">
        <v>253</v>
      </c>
      <c r="S49" s="57" t="s">
        <v>173</v>
      </c>
      <c r="T49" s="57" t="s">
        <v>179</v>
      </c>
      <c r="U49" s="57" t="s">
        <v>193</v>
      </c>
      <c r="V49" s="57" t="s">
        <v>188</v>
      </c>
    </row>
    <row r="50" spans="1:24" ht="30" customHeight="1" x14ac:dyDescent="0.25">
      <c r="A50" s="116" t="s">
        <v>39</v>
      </c>
      <c r="B50" s="117"/>
      <c r="C50" s="116" t="s">
        <v>410</v>
      </c>
      <c r="D50" s="207"/>
      <c r="E50" s="117"/>
      <c r="F50" s="18" t="s">
        <v>40</v>
      </c>
      <c r="G50" s="239">
        <v>45622</v>
      </c>
      <c r="H50" s="240"/>
      <c r="R50"/>
      <c r="S50" s="57" t="s">
        <v>254</v>
      </c>
      <c r="T50" s="57" t="s">
        <v>259</v>
      </c>
      <c r="U50" s="57" t="s">
        <v>270</v>
      </c>
      <c r="V50" s="57" t="s">
        <v>275</v>
      </c>
    </row>
    <row r="51" spans="1:24" ht="30" customHeight="1" x14ac:dyDescent="0.25">
      <c r="A51" s="116" t="s">
        <v>41</v>
      </c>
      <c r="B51" s="117"/>
      <c r="C51" s="116" t="str">
        <f>C50</f>
        <v>DE&amp;PAIII/THN/SPA/BPAMS/ I-86004/2024</v>
      </c>
      <c r="D51" s="207"/>
      <c r="E51" s="117"/>
      <c r="F51" s="18" t="s">
        <v>40</v>
      </c>
      <c r="G51" s="239">
        <f>G50</f>
        <v>45622</v>
      </c>
      <c r="H51" s="240"/>
      <c r="R51"/>
      <c r="S51" s="57" t="s">
        <v>255</v>
      </c>
      <c r="T51" s="57" t="s">
        <v>358</v>
      </c>
      <c r="U51" s="57" t="s">
        <v>268</v>
      </c>
      <c r="V51" s="57" t="s">
        <v>276</v>
      </c>
    </row>
    <row r="52" spans="1:24" s="23" customFormat="1" ht="15.75" customHeight="1" x14ac:dyDescent="0.25">
      <c r="A52" s="244" t="s">
        <v>443</v>
      </c>
      <c r="B52" s="245"/>
      <c r="C52" s="244" t="str">
        <f>C51</f>
        <v>DE&amp;PAIII/THN/SPA/BPAMS/ I-86004/2024</v>
      </c>
      <c r="D52" s="250"/>
      <c r="E52" s="245"/>
      <c r="F52" s="203" t="s">
        <v>40</v>
      </c>
      <c r="G52" s="276">
        <v>45622</v>
      </c>
      <c r="H52" s="277"/>
      <c r="I52" s="22" t="str">
        <f ca="1">IF(G52&gt;EDATE(E3,-48),"NO REMARK","CC REMARK FOR CC")</f>
        <v>NO REMARK</v>
      </c>
      <c r="J52" s="78"/>
      <c r="R52"/>
      <c r="S52" s="57" t="s">
        <v>256</v>
      </c>
      <c r="T52" s="57" t="s">
        <v>261</v>
      </c>
      <c r="U52" s="57" t="s">
        <v>258</v>
      </c>
      <c r="V52" s="57" t="s">
        <v>277</v>
      </c>
    </row>
    <row r="53" spans="1:24" s="23" customFormat="1" x14ac:dyDescent="0.25">
      <c r="A53" s="246"/>
      <c r="B53" s="247"/>
      <c r="C53" s="248"/>
      <c r="D53" s="251"/>
      <c r="E53" s="249"/>
      <c r="F53" s="275"/>
      <c r="G53" s="278"/>
      <c r="H53" s="279"/>
      <c r="R53"/>
      <c r="S53" s="57" t="s">
        <v>257</v>
      </c>
      <c r="T53" s="57" t="s">
        <v>264</v>
      </c>
      <c r="U53" s="57" t="s">
        <v>271</v>
      </c>
      <c r="V53" s="74" t="s">
        <v>350</v>
      </c>
    </row>
    <row r="54" spans="1:24" s="23" customFormat="1" ht="33.75" customHeight="1" x14ac:dyDescent="0.25">
      <c r="A54" s="248"/>
      <c r="B54" s="249"/>
      <c r="C54" s="116" t="s">
        <v>411</v>
      </c>
      <c r="D54" s="207"/>
      <c r="E54" s="207"/>
      <c r="F54" s="207"/>
      <c r="G54" s="207"/>
      <c r="H54" s="117"/>
      <c r="R54"/>
      <c r="S54" s="57"/>
      <c r="T54" s="57"/>
      <c r="U54" s="57"/>
      <c r="V54" s="74"/>
    </row>
    <row r="55" spans="1:24" s="23" customFormat="1" hidden="1" x14ac:dyDescent="0.25">
      <c r="A55" s="152" t="s">
        <v>281</v>
      </c>
      <c r="B55" s="153"/>
      <c r="C55" s="116">
        <f>C53</f>
        <v>0</v>
      </c>
      <c r="D55" s="207"/>
      <c r="E55" s="117"/>
      <c r="F55" s="18" t="s">
        <v>40</v>
      </c>
      <c r="G55" s="239"/>
      <c r="H55" s="240"/>
      <c r="K55" s="79">
        <f>EDATE(G52,-48)</f>
        <v>44161</v>
      </c>
      <c r="L55" s="23" t="str">
        <f ca="1">IF(G52&gt;EDATE(E3,-48),"NO REMARK","CC REMARK FOR CC")</f>
        <v>NO REMARK</v>
      </c>
      <c r="R55"/>
      <c r="S55" s="57" t="s">
        <v>256</v>
      </c>
      <c r="T55" s="57" t="s">
        <v>261</v>
      </c>
      <c r="U55" s="57" t="s">
        <v>258</v>
      </c>
      <c r="V55" s="57" t="s">
        <v>277</v>
      </c>
    </row>
    <row r="56" spans="1:24" s="23" customFormat="1" ht="32.25" hidden="1" customHeight="1" x14ac:dyDescent="0.25">
      <c r="A56" s="154"/>
      <c r="B56" s="155"/>
      <c r="C56" s="241"/>
      <c r="D56" s="242"/>
      <c r="E56" s="242"/>
      <c r="F56" s="242"/>
      <c r="G56" s="242"/>
      <c r="H56" s="243"/>
      <c r="R56"/>
      <c r="S56" s="57" t="s">
        <v>258</v>
      </c>
      <c r="T56" s="57" t="s">
        <v>262</v>
      </c>
      <c r="U56" s="57" t="s">
        <v>272</v>
      </c>
      <c r="V56" s="75"/>
      <c r="W56" s="21"/>
      <c r="X56" s="21"/>
    </row>
    <row r="57" spans="1:24" s="23" customFormat="1" ht="34.5" hidden="1" customHeight="1" x14ac:dyDescent="0.25">
      <c r="A57" s="152" t="s">
        <v>282</v>
      </c>
      <c r="B57" s="153"/>
      <c r="C57" s="116">
        <f>C56</f>
        <v>0</v>
      </c>
      <c r="D57" s="207"/>
      <c r="E57" s="117"/>
      <c r="F57" s="18" t="s">
        <v>40</v>
      </c>
      <c r="G57" s="239">
        <f>G56</f>
        <v>0</v>
      </c>
      <c r="H57" s="240"/>
      <c r="R57"/>
      <c r="S57" s="75"/>
      <c r="T57" s="57" t="s">
        <v>263</v>
      </c>
      <c r="U57" s="57" t="s">
        <v>273</v>
      </c>
      <c r="V57" s="75"/>
      <c r="W57" s="21"/>
      <c r="X57" s="21"/>
    </row>
    <row r="58" spans="1:24" s="23" customFormat="1" ht="41.25" hidden="1" customHeight="1" x14ac:dyDescent="0.25">
      <c r="A58" s="154"/>
      <c r="B58" s="155"/>
      <c r="C58" s="116"/>
      <c r="D58" s="207"/>
      <c r="E58" s="207"/>
      <c r="F58" s="207"/>
      <c r="G58" s="207"/>
      <c r="H58" s="117"/>
      <c r="R58"/>
      <c r="S58" s="75"/>
      <c r="T58" s="57" t="s">
        <v>265</v>
      </c>
      <c r="U58" s="57" t="s">
        <v>274</v>
      </c>
      <c r="V58" s="75"/>
      <c r="W58" s="21"/>
      <c r="X58" s="21"/>
    </row>
    <row r="59" spans="1:24" s="23" customFormat="1" ht="15.75" hidden="1" customHeight="1" x14ac:dyDescent="0.25">
      <c r="A59" s="152" t="s">
        <v>353</v>
      </c>
      <c r="B59" s="153"/>
      <c r="C59" s="208"/>
      <c r="D59" s="209"/>
      <c r="E59" s="210"/>
      <c r="F59" s="18" t="s">
        <v>40</v>
      </c>
      <c r="G59" s="239"/>
      <c r="H59" s="240"/>
      <c r="R59"/>
      <c r="S59" s="75"/>
      <c r="T59" s="57" t="s">
        <v>266</v>
      </c>
      <c r="U59" s="75" t="s">
        <v>296</v>
      </c>
      <c r="V59" s="75"/>
      <c r="W59" s="21"/>
      <c r="X59" s="21"/>
    </row>
    <row r="60" spans="1:24" s="23" customFormat="1" ht="33.75" hidden="1" customHeight="1" x14ac:dyDescent="0.25">
      <c r="A60" s="205"/>
      <c r="B60" s="206"/>
      <c r="C60" s="211"/>
      <c r="D60" s="212"/>
      <c r="E60" s="213"/>
      <c r="F60" s="18" t="s">
        <v>354</v>
      </c>
      <c r="G60" s="239"/>
      <c r="H60" s="240"/>
      <c r="R60"/>
      <c r="S60" s="75"/>
      <c r="T60" s="57" t="s">
        <v>267</v>
      </c>
      <c r="U60" s="75"/>
      <c r="V60" s="75"/>
      <c r="W60" s="21"/>
      <c r="X60" s="21"/>
    </row>
    <row r="61" spans="1:24" s="23" customFormat="1" ht="33.75" hidden="1" customHeight="1" x14ac:dyDescent="0.25">
      <c r="A61" s="154"/>
      <c r="B61" s="155"/>
      <c r="C61" s="116" t="s">
        <v>376</v>
      </c>
      <c r="D61" s="207"/>
      <c r="E61" s="207"/>
      <c r="F61" s="207"/>
      <c r="G61" s="207"/>
      <c r="H61" s="117"/>
      <c r="R61"/>
      <c r="S61" s="75"/>
      <c r="T61" s="57"/>
      <c r="U61" s="75"/>
      <c r="V61" s="75"/>
      <c r="W61" s="21"/>
      <c r="X61" s="21"/>
    </row>
    <row r="62" spans="1:24" x14ac:dyDescent="0.25">
      <c r="A62" s="144" t="s">
        <v>42</v>
      </c>
      <c r="B62" s="145"/>
      <c r="C62" s="144" t="s">
        <v>102</v>
      </c>
      <c r="D62" s="146"/>
      <c r="E62" s="145"/>
      <c r="F62" s="45" t="s">
        <v>40</v>
      </c>
      <c r="G62" s="150" t="s">
        <v>28</v>
      </c>
      <c r="H62" s="151"/>
      <c r="R62"/>
      <c r="S62" s="75"/>
      <c r="T62" s="57" t="s">
        <v>269</v>
      </c>
      <c r="U62" s="75"/>
      <c r="V62" s="75"/>
    </row>
    <row r="63" spans="1:24" x14ac:dyDescent="0.25">
      <c r="A63" s="184" t="s">
        <v>44</v>
      </c>
      <c r="B63" s="184"/>
      <c r="C63" s="184"/>
      <c r="D63" s="184"/>
      <c r="E63" s="184"/>
      <c r="F63" s="184"/>
      <c r="G63" s="184"/>
      <c r="H63" s="184"/>
      <c r="S63" s="75"/>
      <c r="T63" s="57" t="s">
        <v>278</v>
      </c>
      <c r="U63" s="75"/>
      <c r="V63" s="75"/>
    </row>
    <row r="64" spans="1:24" x14ac:dyDescent="0.25">
      <c r="A64" s="127" t="s">
        <v>87</v>
      </c>
      <c r="B64" s="127"/>
      <c r="C64" s="127"/>
      <c r="D64" s="138">
        <f>E46</f>
        <v>8240.4</v>
      </c>
      <c r="E64" s="138"/>
      <c r="F64" s="138"/>
      <c r="G64" s="138"/>
      <c r="H64" s="138"/>
      <c r="R64"/>
    </row>
    <row r="65" spans="1:19" x14ac:dyDescent="0.25">
      <c r="A65" s="190" t="s">
        <v>45</v>
      </c>
      <c r="B65" s="178"/>
      <c r="C65" s="178"/>
      <c r="D65" s="149" t="s">
        <v>433</v>
      </c>
      <c r="E65" s="149"/>
      <c r="F65" s="149"/>
      <c r="G65" s="149"/>
      <c r="H65" s="149"/>
      <c r="I65" s="24"/>
      <c r="R65"/>
    </row>
    <row r="66" spans="1:19" x14ac:dyDescent="0.25">
      <c r="A66" s="219" t="s">
        <v>46</v>
      </c>
      <c r="B66" s="220"/>
      <c r="C66" s="221"/>
      <c r="D66" s="217" t="s">
        <v>412</v>
      </c>
      <c r="E66" s="218"/>
      <c r="F66" s="218"/>
      <c r="G66" s="218"/>
      <c r="H66" s="218"/>
      <c r="R66"/>
    </row>
    <row r="67" spans="1:19" ht="15.75" customHeight="1" x14ac:dyDescent="0.25">
      <c r="A67" s="219" t="s">
        <v>85</v>
      </c>
      <c r="B67" s="220"/>
      <c r="C67" s="220"/>
      <c r="D67" s="189" t="s">
        <v>412</v>
      </c>
      <c r="E67" s="149"/>
      <c r="F67" s="149"/>
      <c r="G67" s="149"/>
      <c r="H67" s="149"/>
      <c r="R67"/>
    </row>
    <row r="68" spans="1:19" ht="15.75" hidden="1" customHeight="1" x14ac:dyDescent="0.25">
      <c r="A68" s="225"/>
      <c r="B68" s="226"/>
      <c r="C68" s="226"/>
      <c r="D68" s="229" t="s">
        <v>297</v>
      </c>
      <c r="E68" s="230"/>
      <c r="F68" s="230"/>
      <c r="G68" s="230"/>
      <c r="H68" s="231"/>
      <c r="R68"/>
    </row>
    <row r="69" spans="1:19" ht="15.75" hidden="1" customHeight="1" x14ac:dyDescent="0.25">
      <c r="A69" s="227"/>
      <c r="B69" s="228"/>
      <c r="C69" s="228"/>
      <c r="D69" s="118" t="s">
        <v>169</v>
      </c>
      <c r="E69" s="119"/>
      <c r="F69" s="119"/>
      <c r="G69" s="119"/>
      <c r="H69" s="120"/>
      <c r="S69"/>
    </row>
    <row r="70" spans="1:19" ht="15.75" customHeight="1" x14ac:dyDescent="0.25">
      <c r="A70" s="138" t="s">
        <v>43</v>
      </c>
      <c r="B70" s="138"/>
      <c r="C70" s="138"/>
      <c r="D70" s="238" t="s">
        <v>413</v>
      </c>
      <c r="E70" s="238"/>
      <c r="F70" s="238"/>
      <c r="G70" s="238"/>
      <c r="H70" s="238"/>
      <c r="J70" s="25"/>
      <c r="K70" s="24"/>
      <c r="N70" s="24"/>
      <c r="S70"/>
    </row>
    <row r="71" spans="1:19" ht="15.75" customHeight="1" x14ac:dyDescent="0.25">
      <c r="A71" s="138" t="s">
        <v>83</v>
      </c>
      <c r="B71" s="138"/>
      <c r="C71" s="138"/>
      <c r="D71" s="214" t="str">
        <f>(IF(G62="NA","60 Years After Completion",IF(G62&lt;&gt;"NA",""&amp;60-ROUNDDOWN((E3-G62)/360,0)&amp;" Years"," ")))</f>
        <v>60 Years After Completion</v>
      </c>
      <c r="E71" s="214"/>
      <c r="F71" s="214"/>
      <c r="G71" s="214"/>
      <c r="H71" s="214"/>
      <c r="N71" s="24"/>
      <c r="S71"/>
    </row>
    <row r="72" spans="1:19" ht="15.75" customHeight="1" x14ac:dyDescent="0.25">
      <c r="A72" s="138" t="s">
        <v>84</v>
      </c>
      <c r="B72" s="138"/>
      <c r="C72" s="138"/>
      <c r="D72" s="127" t="s">
        <v>23</v>
      </c>
      <c r="E72" s="127"/>
      <c r="F72" s="127"/>
      <c r="G72" s="127"/>
      <c r="H72" s="127"/>
      <c r="J72" s="26"/>
      <c r="K72" s="26"/>
      <c r="S72"/>
    </row>
    <row r="73" spans="1:19" ht="38.450000000000003" customHeight="1" x14ac:dyDescent="0.25">
      <c r="A73" s="149" t="s">
        <v>415</v>
      </c>
      <c r="B73" s="149"/>
      <c r="C73" s="149"/>
      <c r="D73" s="190" t="s">
        <v>414</v>
      </c>
      <c r="E73" s="127"/>
      <c r="F73" s="127"/>
      <c r="G73" s="127"/>
      <c r="H73" s="127"/>
      <c r="S73"/>
    </row>
    <row r="74" spans="1:19" x14ac:dyDescent="0.25">
      <c r="A74" s="127" t="s">
        <v>149</v>
      </c>
      <c r="B74" s="127"/>
      <c r="C74" s="127"/>
      <c r="D74" s="127" t="s">
        <v>28</v>
      </c>
      <c r="E74" s="127"/>
      <c r="F74" s="127"/>
      <c r="G74" s="127"/>
      <c r="H74" s="127"/>
      <c r="I74" s="27"/>
      <c r="J74" s="27"/>
      <c r="K74" s="27"/>
      <c r="L74" s="27"/>
      <c r="M74" s="27"/>
      <c r="N74" s="27"/>
    </row>
    <row r="75" spans="1:19" ht="15.75" customHeight="1" x14ac:dyDescent="0.25">
      <c r="A75" s="204" t="s">
        <v>82</v>
      </c>
      <c r="B75" s="204"/>
      <c r="C75" s="204"/>
      <c r="D75" s="128" t="str">
        <f ca="1">(IF(G81&gt;95%,"Nothing",IF(G81&gt;0%,"Cement, Aggregate, Steel, etc",IF(G81=0%,"Work not yet Started"))))</f>
        <v>Cement, Aggregate, Steel, etc</v>
      </c>
      <c r="E75" s="128"/>
      <c r="F75" s="128"/>
      <c r="G75" s="128"/>
      <c r="H75" s="128"/>
      <c r="J75" s="26"/>
      <c r="S75"/>
    </row>
    <row r="76" spans="1:19" ht="33.75" customHeight="1" thickBot="1" x14ac:dyDescent="0.3">
      <c r="A76" s="203" t="s">
        <v>115</v>
      </c>
      <c r="B76" s="203"/>
      <c r="C76" s="203"/>
      <c r="D76" s="128" t="str">
        <f ca="1">(IF(D75="Nothing","Yes",IF(D75="Cement, Aggregate, Steel, etc","Under Construction",IF(D75="Work not yet Started","Work not yet Started"))))</f>
        <v>Under Construction</v>
      </c>
      <c r="E76" s="128"/>
      <c r="F76" s="128" t="str">
        <f ca="1">(IF(D75="Nothing","Yes",IF(D75="Cement, Aggregate, Steel, etc","Under Construction",IF(D75="Work not yet Started","Work not yet Started"))))</f>
        <v>Under Construction</v>
      </c>
      <c r="G76" s="128"/>
      <c r="H76" s="128"/>
      <c r="S76"/>
    </row>
    <row r="77" spans="1:19" ht="15.75" customHeight="1" x14ac:dyDescent="0.25">
      <c r="A77" s="233" t="s">
        <v>139</v>
      </c>
      <c r="B77" s="234"/>
      <c r="C77" s="235" t="str">
        <f>D67</f>
        <v>G + 1st to 9th Floor</v>
      </c>
      <c r="D77" s="236"/>
      <c r="E77" s="236"/>
      <c r="F77" s="236"/>
      <c r="G77" s="236"/>
      <c r="H77" s="237"/>
      <c r="I77" s="49" t="str">
        <f ca="1">IF(D90=100%,"All work Completed. Possession granted to the Building.",IF(D89=100%,"All work Completed, Waiting for OC",I78&amp;""&amp;I79&amp;""&amp;J78&amp;""&amp;J77&amp;" "&amp;J79))</f>
        <v>Excavation, Plinth Completed, RCC upto 6 Slab, Brickwork upto 4 Floor Completed</v>
      </c>
      <c r="J77" s="50" t="str">
        <f ca="1">(IF(C83=(D78+F78+H78),"",IF(C83&gt;0,", RCC upto "&amp;C83&amp;" Slab","")))&amp;(IF(C84=H78,"",IF(C84&gt;0,", Brickwork upto "&amp;C84&amp;" Floor","")))&amp;(IF(C85=H78,"",IF(C85&gt;0,", Internal Plaster upto "&amp;C85&amp;" Floor","")))&amp;(IF(C86=H78,"",IF(C86&gt;0,", External Plaster upto "&amp;C86&amp;" Floor","")))&amp;(IF(C87=H78,"",IF(C87&gt;0,", Flooring upto "&amp;C87&amp;" Floor","")))&amp;(IF(C88=H78,"",IF(C88&gt;0,", Painting upto "&amp;C88&amp;" Floor","")))&amp;(IF(C89=H78,"",IF(C89&gt;0,", Finishing upto "&amp;C89&amp;" Floor","")))&amp;(IF(C90=H78,"",IF(C90&gt;0,", Possession upto "&amp;C90&amp;" Floor","")))</f>
        <v>, RCC upto 6 Slab, Brickwork upto 4 Floor</v>
      </c>
      <c r="S77"/>
    </row>
    <row r="78" spans="1:19" x14ac:dyDescent="0.25">
      <c r="A78" s="16" t="s">
        <v>141</v>
      </c>
      <c r="B78" s="47">
        <f>IF(AND(ISNUMBER(SEARCH("1B",C77))),1,IF(AND(ISNUMBER(SEARCH("2B",C77))),2,IF(AND(ISNUMBER(SEARCH("3B",C77))),3,IF(AND(ISNUMBER(SEARCH("4B",C77))),4,IF(ISNUMBER(SEARCH("5B",C77)),5,0)))))</f>
        <v>0</v>
      </c>
      <c r="C78" s="47" t="s">
        <v>68</v>
      </c>
      <c r="D78" s="47">
        <v>1</v>
      </c>
      <c r="E78" s="47" t="s">
        <v>67</v>
      </c>
      <c r="F78" s="98">
        <v>0</v>
      </c>
      <c r="G78" s="48" t="s">
        <v>76</v>
      </c>
      <c r="H78" s="17">
        <f ca="1">--TRIM(RIGHT(SUBSTITUTE(LEFT(C77,_xlfn.AGGREGATE(16,6,FIND({0,1,2,3,4,5,6,7,8,9},C77,ROW(INDIRECT("1:"&amp;LEN(C77)))),1))," ",REPT(" ",LEN(C77))),LEN(C77)))</f>
        <v>9</v>
      </c>
      <c r="I78" s="51" t="str">
        <f ca="1">IF(D81=100%,"Excavation","")&amp;IF(D82=100%,", Plinth","")&amp;IF(D83=100%,", RCC Slab","")&amp;IF(D84=100%,", Brickwork","")&amp;IF(D85=100%,", Internal Plaster","")&amp;IF(D86=100%,", External Plaster","")&amp;IF(D87=100%,", Flooring","")&amp;IF(D88=100%,", Painting","")&amp;IF(D89=100%,", Building common Amenities","")</f>
        <v>Excavation, Plinth</v>
      </c>
      <c r="J78" s="52" t="str">
        <f ca="1">(IF(C81=0,"Work not yet Started.",IF(D81=25%,"Piling work in process",IF(D81=50%,"Excavation work in process",IF(D81=100%,"","0")))))&amp;(IF(C82=0%,"",IF(C82=J83,", Footing work is process",IF(C82=J84,", Footing work Completed",IF(C82=J85,", 1st Basement Completed",IF(C82=J86,", 1st &amp; 2nd Basement Completed",IF(C82=J87,", 1st to 3rd Basement Completed",IF(C82=J88,", 1st to 4th Basement Completed",IF(C82=J89,", Plinth work is process",IF(C82=J90,"","0"))))))))))</f>
        <v/>
      </c>
      <c r="S78"/>
    </row>
    <row r="79" spans="1:19" ht="31.5" customHeight="1" x14ac:dyDescent="0.25">
      <c r="A79" s="232" t="s">
        <v>86</v>
      </c>
      <c r="B79" s="187"/>
      <c r="C79" s="201" t="str">
        <f ca="1">I77</f>
        <v>Excavation, Plinth Completed, RCC upto 6 Slab, Brickwork upto 4 Floor Completed</v>
      </c>
      <c r="D79" s="201"/>
      <c r="E79" s="201"/>
      <c r="F79" s="201"/>
      <c r="G79" s="201"/>
      <c r="H79" s="202"/>
      <c r="I79" s="51" t="str">
        <f ca="1">IF(I78&lt;&gt;""," Completed","")</f>
        <v xml:space="preserve"> Completed</v>
      </c>
      <c r="J79" s="52" t="str">
        <f ca="1">IF(J77&lt;&gt;"","Completed","")</f>
        <v>Completed</v>
      </c>
      <c r="S79"/>
    </row>
    <row r="80" spans="1:19" ht="15.75" customHeight="1" x14ac:dyDescent="0.25">
      <c r="A80" s="114" t="s">
        <v>47</v>
      </c>
      <c r="B80" s="115"/>
      <c r="C80" s="43" t="s">
        <v>138</v>
      </c>
      <c r="D80" s="43" t="s">
        <v>79</v>
      </c>
      <c r="E80" s="115" t="s">
        <v>81</v>
      </c>
      <c r="F80" s="115"/>
      <c r="G80" s="115" t="s">
        <v>80</v>
      </c>
      <c r="H80" s="129"/>
      <c r="I80" s="13" t="s">
        <v>140</v>
      </c>
      <c r="J80" s="28">
        <f ca="1">H78*25%</f>
        <v>2.25</v>
      </c>
      <c r="S80"/>
    </row>
    <row r="81" spans="1:19" x14ac:dyDescent="0.25">
      <c r="A81" s="114" t="s">
        <v>127</v>
      </c>
      <c r="B81" s="115"/>
      <c r="C81" s="43">
        <f ca="1">J82</f>
        <v>9</v>
      </c>
      <c r="D81" s="19">
        <f ca="1">((100/H78)*C81)/100</f>
        <v>1</v>
      </c>
      <c r="E81" s="257">
        <f ca="1">(((C82/H78*10)+(40/(D78+F78+H78)*C83)+(7.5/(H78)*C84)+(7.5/(H78)*C85)+(10/H78*C86)+(10/H78*C87)+(5/H78*C88)+(5/H78*C89)+(5/H78*C90))/100)</f>
        <v>0.37333333333333335</v>
      </c>
      <c r="F81" s="272"/>
      <c r="G81" s="257">
        <f ca="1">((((C81/H78)*20)+((C82/H78)*25)+(30/(H78+F78+D78)*C83)+(5/H78*C84)+(5/H78*C85)+(5/H78*C86)+(5/H78*C87)+(0/H78*C88)+(0/H78*C89)+(5/H78*C90))/100)</f>
        <v>0.65222222222222226</v>
      </c>
      <c r="H81" s="258"/>
      <c r="I81" s="13" t="s">
        <v>97</v>
      </c>
      <c r="J81" s="29">
        <f ca="1">H78*50%</f>
        <v>4.5</v>
      </c>
    </row>
    <row r="82" spans="1:19" x14ac:dyDescent="0.25">
      <c r="A82" s="114" t="s">
        <v>48</v>
      </c>
      <c r="B82" s="115"/>
      <c r="C82" s="43">
        <f ca="1">J90</f>
        <v>9</v>
      </c>
      <c r="D82" s="19">
        <f ca="1">((100/H78)*C82)/100</f>
        <v>1</v>
      </c>
      <c r="E82" s="259"/>
      <c r="F82" s="273"/>
      <c r="G82" s="259"/>
      <c r="H82" s="260"/>
      <c r="I82" s="13" t="s">
        <v>98</v>
      </c>
      <c r="J82" s="29">
        <f ca="1">H78</f>
        <v>9</v>
      </c>
      <c r="L82" s="95"/>
      <c r="S82"/>
    </row>
    <row r="83" spans="1:19" ht="15.75" customHeight="1" x14ac:dyDescent="0.25">
      <c r="A83" s="114" t="s">
        <v>128</v>
      </c>
      <c r="B83" s="115"/>
      <c r="C83" s="43">
        <v>6</v>
      </c>
      <c r="D83" s="19">
        <f ca="1">((100/(D78+F78+H78))*C83)/100</f>
        <v>0.6</v>
      </c>
      <c r="E83" s="259"/>
      <c r="F83" s="273"/>
      <c r="G83" s="259"/>
      <c r="H83" s="260"/>
      <c r="I83" s="13" t="s">
        <v>99</v>
      </c>
      <c r="J83" s="30">
        <f ca="1">(IF(B78&gt;1,(H78/(B78+2)),H78/4))</f>
        <v>2.25</v>
      </c>
      <c r="S83"/>
    </row>
    <row r="84" spans="1:19" ht="15.75" customHeight="1" x14ac:dyDescent="0.25">
      <c r="A84" s="114" t="s">
        <v>135</v>
      </c>
      <c r="B84" s="115" t="s">
        <v>129</v>
      </c>
      <c r="C84" s="43">
        <v>4</v>
      </c>
      <c r="D84" s="19">
        <f ca="1">((100/H78)*C84)/100</f>
        <v>0.44444444444444442</v>
      </c>
      <c r="E84" s="259"/>
      <c r="F84" s="273"/>
      <c r="G84" s="259"/>
      <c r="H84" s="260"/>
      <c r="I84" s="13" t="s">
        <v>100</v>
      </c>
      <c r="J84" s="30">
        <f ca="1">(IF(B78&gt;1,(H78/(B78+2)+J83),H78/4+J83))</f>
        <v>4.5</v>
      </c>
    </row>
    <row r="85" spans="1:19" ht="15.75" customHeight="1" x14ac:dyDescent="0.25">
      <c r="A85" s="114" t="s">
        <v>136</v>
      </c>
      <c r="B85" s="115" t="s">
        <v>129</v>
      </c>
      <c r="C85" s="43">
        <v>0</v>
      </c>
      <c r="D85" s="19">
        <f ca="1">((100/H78)*C85)/100</f>
        <v>0</v>
      </c>
      <c r="E85" s="259"/>
      <c r="F85" s="273"/>
      <c r="G85" s="259"/>
      <c r="H85" s="260"/>
      <c r="I85" s="13" t="s">
        <v>147</v>
      </c>
      <c r="J85" s="30">
        <f>(IF(B78&gt;1,(H78/(B78+2)+J84),0))</f>
        <v>0</v>
      </c>
    </row>
    <row r="86" spans="1:19" ht="15" customHeight="1" x14ac:dyDescent="0.25">
      <c r="A86" s="114" t="s">
        <v>134</v>
      </c>
      <c r="B86" s="115" t="s">
        <v>131</v>
      </c>
      <c r="C86" s="43">
        <v>0</v>
      </c>
      <c r="D86" s="19">
        <f ca="1">((100/(H78))*C86)/100</f>
        <v>0</v>
      </c>
      <c r="E86" s="259"/>
      <c r="F86" s="273"/>
      <c r="G86" s="259"/>
      <c r="H86" s="260"/>
      <c r="I86" s="13" t="s">
        <v>142</v>
      </c>
      <c r="J86" s="30">
        <f>(IF(B78&gt;2,(H78/(B78+2)+J85),0))</f>
        <v>0</v>
      </c>
    </row>
    <row r="87" spans="1:19" ht="15.75" customHeight="1" x14ac:dyDescent="0.25">
      <c r="A87" s="114" t="s">
        <v>130</v>
      </c>
      <c r="B87" s="115" t="s">
        <v>130</v>
      </c>
      <c r="C87" s="43">
        <v>0</v>
      </c>
      <c r="D87" s="19">
        <f ca="1">((100/H78)*C87)/100</f>
        <v>0</v>
      </c>
      <c r="E87" s="259"/>
      <c r="F87" s="273"/>
      <c r="G87" s="259"/>
      <c r="H87" s="260"/>
      <c r="I87" s="13" t="s">
        <v>143</v>
      </c>
      <c r="J87" s="31">
        <f>(IF(B78&gt;3,(H78/(B78+2)+J86),0))</f>
        <v>0</v>
      </c>
    </row>
    <row r="88" spans="1:19" ht="15.75" customHeight="1" x14ac:dyDescent="0.25">
      <c r="A88" s="114" t="s">
        <v>137</v>
      </c>
      <c r="B88" s="115"/>
      <c r="C88" s="43">
        <v>0</v>
      </c>
      <c r="D88" s="19">
        <f ca="1">((100/H78)*C88)/100</f>
        <v>0</v>
      </c>
      <c r="E88" s="259"/>
      <c r="F88" s="273"/>
      <c r="G88" s="259"/>
      <c r="H88" s="260"/>
      <c r="I88" s="13" t="s">
        <v>144</v>
      </c>
      <c r="J88" s="30">
        <f>(IF(B78&gt;4,(H78/(B78+2)+J87),0))</f>
        <v>0</v>
      </c>
    </row>
    <row r="89" spans="1:19" ht="15.75" customHeight="1" x14ac:dyDescent="0.25">
      <c r="A89" s="114" t="s">
        <v>132</v>
      </c>
      <c r="B89" s="115" t="s">
        <v>132</v>
      </c>
      <c r="C89" s="43">
        <v>0</v>
      </c>
      <c r="D89" s="19">
        <f ca="1">((100/(H78))*C89)/100</f>
        <v>0</v>
      </c>
      <c r="E89" s="259"/>
      <c r="F89" s="273"/>
      <c r="G89" s="259"/>
      <c r="H89" s="260"/>
      <c r="I89" s="13" t="s">
        <v>148</v>
      </c>
      <c r="J89" s="30">
        <f ca="1">(IF(B78=1,(H78/(B78+3)+J84),IF(B78=0,(H78/4+J84),IF(B78&gt;1,0))))</f>
        <v>6.75</v>
      </c>
    </row>
    <row r="90" spans="1:19" ht="16.5" thickBot="1" x14ac:dyDescent="0.3">
      <c r="A90" s="130" t="s">
        <v>133</v>
      </c>
      <c r="B90" s="131"/>
      <c r="C90" s="44">
        <v>0</v>
      </c>
      <c r="D90" s="20">
        <f ca="1">((100/(H78))*C90)/100</f>
        <v>0</v>
      </c>
      <c r="E90" s="261"/>
      <c r="F90" s="274"/>
      <c r="G90" s="261"/>
      <c r="H90" s="262"/>
      <c r="I90" s="15" t="s">
        <v>101</v>
      </c>
      <c r="J90" s="32">
        <f ca="1">(IF(B78&gt;1.5,(H78/(B78+2)+J84+MAX(0,J85-J84)+MAX(0,J86-J85)+MAX(0,J87-J86)+MAX(0,J88-J87)+MAX(0,J89-J88)),IF(B78=1,(H78/(B78+3)+J89),IF(B78=0,H78/4+J89))))</f>
        <v>9</v>
      </c>
    </row>
    <row r="91" spans="1:19" ht="15.75" hidden="1" customHeight="1" x14ac:dyDescent="0.25">
      <c r="A91" s="233" t="s">
        <v>139</v>
      </c>
      <c r="B91" s="234"/>
      <c r="C91" s="235" t="str">
        <f>D68</f>
        <v>B Wing = 1B + G + 1st to 19th Floor</v>
      </c>
      <c r="D91" s="236"/>
      <c r="E91" s="236"/>
      <c r="F91" s="236"/>
      <c r="G91" s="236"/>
      <c r="H91" s="237"/>
      <c r="I91" s="49" t="str">
        <f ca="1">IF(D104=100%,"All work Completed. Possession granted to the Building.",IF(D103=100%,"All work Completed, Waiting for OC",I92&amp;""&amp;I93&amp;""&amp;J92&amp;""&amp;J91&amp;" "&amp;J93))</f>
        <v xml:space="preserve">Excavation, Plinth Completed </v>
      </c>
      <c r="J91" s="50" t="str">
        <f ca="1">(IF(C97=(D92+F92+H92),"",IF(C97&gt;0,", RCC upto "&amp;C97&amp;" Slab","")))&amp;(IF(C98=H92,"",IF(C98&gt;0,", Brickwork upto "&amp;C98&amp;" Floor","")))&amp;(IF(C99=H92,"",IF(C99&gt;0,", Internal Plaster upto "&amp;C99&amp;" Floor","")))&amp;(IF(C100=H92,"",IF(C100&gt;0,", External Plaster upto "&amp;C100&amp;" Floor","")))&amp;(IF(C101=H92,"",IF(C101&gt;0,", Flooring upto "&amp;C101&amp;" Floor","")))&amp;(IF(C102=H92,"",IF(C102&gt;0,", Painting upto "&amp;C102&amp;" Floor","")))&amp;(IF(C103=H92,"",IF(C103&gt;0,", Finishing upto "&amp;C103&amp;" Floor","")))&amp;(IF(C104=H92,"",IF(C104&gt;0,", Possession upto "&amp;C104&amp;" Floor","")))</f>
        <v/>
      </c>
      <c r="S91"/>
    </row>
    <row r="92" spans="1:19" hidden="1" x14ac:dyDescent="0.25">
      <c r="A92" s="16" t="s">
        <v>141</v>
      </c>
      <c r="B92" s="47">
        <f>IF(AND(ISNUMBER(SEARCH("1B",C91))),1,IF(AND(ISNUMBER(SEARCH("2B",C91))),2,IF(AND(ISNUMBER(SEARCH("3B",C91))),3,IF(AND(ISNUMBER(SEARCH("4B",C91))),4,IF(ISNUMBER(SEARCH("5B",C91)),5,0)))))</f>
        <v>1</v>
      </c>
      <c r="C92" s="47" t="s">
        <v>68</v>
      </c>
      <c r="D92" s="47">
        <v>1</v>
      </c>
      <c r="E92" s="47" t="s">
        <v>67</v>
      </c>
      <c r="F92" s="14">
        <v>0</v>
      </c>
      <c r="G92" s="48" t="s">
        <v>76</v>
      </c>
      <c r="H92" s="17">
        <f ca="1">--TRIM(RIGHT(SUBSTITUTE(LEFT(C91,_xlfn.AGGREGATE(16,6,FIND({0,1,2,3,4,5,6,7,8,9},C91,ROW(INDIRECT("1:"&amp;LEN(C91)))),1))," ",REPT(" ",LEN(C91))),LEN(C91)))</f>
        <v>19</v>
      </c>
      <c r="I92" s="51" t="str">
        <f ca="1">IF(D95=100%,"Excavation","")&amp;IF(D96=100%,", Plinth","")&amp;IF(D97=100%,", RCC Slab","")&amp;IF(D98=100%,", Brickwork","")&amp;IF(D99=100%,", Internal Plaster","")&amp;IF(D100=100%,", External Plaster","")&amp;IF(D101=100%,", Flooring","")&amp;IF(D102=100%,", Painting","")&amp;IF(D103=100%,", Building common Amenities","")</f>
        <v>Excavation, Plinth</v>
      </c>
      <c r="J92" s="52" t="str">
        <f ca="1">(IF(C95=0,"Work not yet Started.",IF(D95=25%,"Piling work in process",IF(D95=50%,"Excavation work in process",IF(D95=100%,"","0")))))&amp;(IF(C96=0%,"",IF(C96=J97,", Footing work is process",IF(C96=J98,", Footing work Completed",IF(C96=J99,", 1st Basement Completed",IF(C96=J100,", 1st &amp; 2nd Basement Completed",IF(C96=J101,", 1st to 3rd Basement Completed",IF(C96=J102,", 1st to 4th Basement Completed",IF(C96=J103,", Plinth work is process",IF(C96=J104,"","0"))))))))))</f>
        <v/>
      </c>
      <c r="S92"/>
    </row>
    <row r="93" spans="1:19" ht="36.75" hidden="1" customHeight="1" x14ac:dyDescent="0.25">
      <c r="A93" s="232" t="s">
        <v>86</v>
      </c>
      <c r="B93" s="187"/>
      <c r="C93" s="201" t="str">
        <f ca="1">I91</f>
        <v xml:space="preserve">Excavation, Plinth Completed </v>
      </c>
      <c r="D93" s="201"/>
      <c r="E93" s="201"/>
      <c r="F93" s="201"/>
      <c r="G93" s="201"/>
      <c r="H93" s="202"/>
      <c r="I93" s="51" t="str">
        <f ca="1">IF(I92&lt;&gt;""," Completed","")</f>
        <v xml:space="preserve"> Completed</v>
      </c>
      <c r="J93" s="52" t="str">
        <f ca="1">IF(J91&lt;&gt;"","Completed","")</f>
        <v/>
      </c>
      <c r="S93"/>
    </row>
    <row r="94" spans="1:19" ht="15.75" hidden="1" customHeight="1" x14ac:dyDescent="0.25">
      <c r="A94" s="114" t="s">
        <v>47</v>
      </c>
      <c r="B94" s="115"/>
      <c r="C94" s="43" t="s">
        <v>138</v>
      </c>
      <c r="D94" s="43" t="s">
        <v>79</v>
      </c>
      <c r="E94" s="115" t="s">
        <v>81</v>
      </c>
      <c r="F94" s="115"/>
      <c r="G94" s="115" t="s">
        <v>80</v>
      </c>
      <c r="H94" s="129"/>
      <c r="I94" s="13" t="s">
        <v>140</v>
      </c>
      <c r="J94" s="28">
        <f ca="1">H92*25%</f>
        <v>4.75</v>
      </c>
      <c r="S94"/>
    </row>
    <row r="95" spans="1:19" hidden="1" x14ac:dyDescent="0.25">
      <c r="A95" s="114" t="s">
        <v>127</v>
      </c>
      <c r="B95" s="115"/>
      <c r="C95" s="60">
        <f ca="1">J96</f>
        <v>19</v>
      </c>
      <c r="D95" s="19">
        <f ca="1">((100/H92)*C95)/100</f>
        <v>1</v>
      </c>
      <c r="E95" s="257">
        <f ca="1">(((C96/H92*10)+(40/(D92+F92+H92)*C97)+(7.5/(H92)*C98)+(7.5/(H92)*C99)+(10/H92*C100)+(10/H92*C101)+(5/H92*C102)+(5/H92*C103)+(5/H92*C104))/100)</f>
        <v>0.1</v>
      </c>
      <c r="F95" s="272"/>
      <c r="G95" s="257">
        <f ca="1">((((C95/H92)*20)+((C96/H92)*25)+(30/(H92+F92+D92)*C97)+(5/H92*C98)+(5/H92*C99)+(5/H92*C100)+(5/H92*C101)+(0/H92*C102)+(0/H92*C103)+(5/H92*C104))/100)</f>
        <v>0.45</v>
      </c>
      <c r="H95" s="258"/>
      <c r="I95" s="13" t="s">
        <v>97</v>
      </c>
      <c r="J95" s="29">
        <f ca="1">H92*50%</f>
        <v>9.5</v>
      </c>
    </row>
    <row r="96" spans="1:19" hidden="1" x14ac:dyDescent="0.25">
      <c r="A96" s="114" t="s">
        <v>48</v>
      </c>
      <c r="B96" s="115"/>
      <c r="C96" s="43">
        <f ca="1">J104</f>
        <v>19</v>
      </c>
      <c r="D96" s="19">
        <f ca="1">((100/H92)*C96)/100</f>
        <v>1</v>
      </c>
      <c r="E96" s="259"/>
      <c r="F96" s="273"/>
      <c r="G96" s="259"/>
      <c r="H96" s="260"/>
      <c r="I96" s="13" t="s">
        <v>98</v>
      </c>
      <c r="J96" s="29">
        <f ca="1">H92</f>
        <v>19</v>
      </c>
      <c r="S96"/>
    </row>
    <row r="97" spans="1:19" ht="15.75" hidden="1" customHeight="1" x14ac:dyDescent="0.25">
      <c r="A97" s="114" t="s">
        <v>128</v>
      </c>
      <c r="B97" s="115"/>
      <c r="C97" s="43">
        <v>0</v>
      </c>
      <c r="D97" s="19">
        <f ca="1">((100/(D92+F92+H92))*C97)/100</f>
        <v>0</v>
      </c>
      <c r="E97" s="259"/>
      <c r="F97" s="273"/>
      <c r="G97" s="259"/>
      <c r="H97" s="260"/>
      <c r="I97" s="13" t="s">
        <v>99</v>
      </c>
      <c r="J97" s="30">
        <f ca="1">(IF(B92&gt;1,(H92/(B92+2)),H92/4))</f>
        <v>4.75</v>
      </c>
      <c r="S97"/>
    </row>
    <row r="98" spans="1:19" ht="15.75" hidden="1" customHeight="1" x14ac:dyDescent="0.25">
      <c r="A98" s="114" t="s">
        <v>135</v>
      </c>
      <c r="B98" s="115" t="s">
        <v>129</v>
      </c>
      <c r="C98" s="43">
        <v>0</v>
      </c>
      <c r="D98" s="19">
        <f ca="1">((100/H92)*C98)/100</f>
        <v>0</v>
      </c>
      <c r="E98" s="259"/>
      <c r="F98" s="273"/>
      <c r="G98" s="259"/>
      <c r="H98" s="260"/>
      <c r="I98" s="13" t="s">
        <v>100</v>
      </c>
      <c r="J98" s="30">
        <f ca="1">(IF(B92&gt;1,(H92/(B92+2)+J97),H92/4+J97))</f>
        <v>9.5</v>
      </c>
    </row>
    <row r="99" spans="1:19" ht="15.75" hidden="1" customHeight="1" x14ac:dyDescent="0.25">
      <c r="A99" s="114" t="s">
        <v>136</v>
      </c>
      <c r="B99" s="115" t="s">
        <v>129</v>
      </c>
      <c r="C99" s="43">
        <v>0</v>
      </c>
      <c r="D99" s="19">
        <f ca="1">((100/H92)*C99)/100</f>
        <v>0</v>
      </c>
      <c r="E99" s="259"/>
      <c r="F99" s="273"/>
      <c r="G99" s="259"/>
      <c r="H99" s="260"/>
      <c r="I99" s="13" t="s">
        <v>147</v>
      </c>
      <c r="J99" s="30">
        <f>(IF(B92&gt;1,(H92/(B92+2)+J98),0))</f>
        <v>0</v>
      </c>
    </row>
    <row r="100" spans="1:19" ht="15" hidden="1" customHeight="1" x14ac:dyDescent="0.25">
      <c r="A100" s="114" t="s">
        <v>134</v>
      </c>
      <c r="B100" s="115" t="s">
        <v>131</v>
      </c>
      <c r="C100" s="43">
        <v>0</v>
      </c>
      <c r="D100" s="19">
        <f ca="1">((100/(H92))*C100)/100</f>
        <v>0</v>
      </c>
      <c r="E100" s="259"/>
      <c r="F100" s="273"/>
      <c r="G100" s="259"/>
      <c r="H100" s="260"/>
      <c r="I100" s="13" t="s">
        <v>142</v>
      </c>
      <c r="J100" s="30">
        <f>(IF(B92&gt;2,(H92/(B92+2)+J99),0))</f>
        <v>0</v>
      </c>
    </row>
    <row r="101" spans="1:19" ht="15.75" hidden="1" customHeight="1" x14ac:dyDescent="0.25">
      <c r="A101" s="114" t="s">
        <v>130</v>
      </c>
      <c r="B101" s="115" t="s">
        <v>130</v>
      </c>
      <c r="C101" s="43">
        <v>0</v>
      </c>
      <c r="D101" s="19">
        <f ca="1">((100/H92)*C101)/100</f>
        <v>0</v>
      </c>
      <c r="E101" s="259"/>
      <c r="F101" s="273"/>
      <c r="G101" s="259"/>
      <c r="H101" s="260"/>
      <c r="I101" s="13" t="s">
        <v>143</v>
      </c>
      <c r="J101" s="31">
        <f>(IF(B92&gt;3,(H92/(B92+2)+J100),0))</f>
        <v>0</v>
      </c>
    </row>
    <row r="102" spans="1:19" ht="15.75" hidden="1" customHeight="1" x14ac:dyDescent="0.25">
      <c r="A102" s="114" t="s">
        <v>137</v>
      </c>
      <c r="B102" s="115"/>
      <c r="C102" s="43">
        <v>0</v>
      </c>
      <c r="D102" s="19">
        <f ca="1">((100/H92)*C102)/100</f>
        <v>0</v>
      </c>
      <c r="E102" s="259"/>
      <c r="F102" s="273"/>
      <c r="G102" s="259"/>
      <c r="H102" s="260"/>
      <c r="I102" s="13" t="s">
        <v>144</v>
      </c>
      <c r="J102" s="30">
        <f>(IF(B92&gt;4,(H92/(B92+2)+J101),0))</f>
        <v>0</v>
      </c>
    </row>
    <row r="103" spans="1:19" ht="15.75" hidden="1" customHeight="1" x14ac:dyDescent="0.25">
      <c r="A103" s="114" t="s">
        <v>132</v>
      </c>
      <c r="B103" s="115" t="s">
        <v>132</v>
      </c>
      <c r="C103" s="43">
        <v>0</v>
      </c>
      <c r="D103" s="19">
        <f ca="1">((100/(H92))*C103)/100</f>
        <v>0</v>
      </c>
      <c r="E103" s="259"/>
      <c r="F103" s="273"/>
      <c r="G103" s="259"/>
      <c r="H103" s="260"/>
      <c r="I103" s="13" t="s">
        <v>148</v>
      </c>
      <c r="J103" s="30">
        <f ca="1">(IF(B92=1,(H92/(B92+3)+J98),IF(B92=0,(H92/4+J98),IF(B92&gt;1,0))))</f>
        <v>14.25</v>
      </c>
    </row>
    <row r="104" spans="1:19" ht="16.5" hidden="1" thickBot="1" x14ac:dyDescent="0.3">
      <c r="A104" s="130" t="s">
        <v>133</v>
      </c>
      <c r="B104" s="131"/>
      <c r="C104" s="44">
        <v>0</v>
      </c>
      <c r="D104" s="20">
        <f ca="1">((100/(H92))*C104)/100</f>
        <v>0</v>
      </c>
      <c r="E104" s="261"/>
      <c r="F104" s="274"/>
      <c r="G104" s="261"/>
      <c r="H104" s="262"/>
      <c r="I104" s="15" t="s">
        <v>101</v>
      </c>
      <c r="J104" s="32">
        <f ca="1">(IF(B92&gt;1.5,(H92/(B92+2)+J98+MAX(0,J99-J98)+MAX(0,J100-J99)+MAX(0,J101-J100)+MAX(0,J102-J101)+MAX(0,J103-J102)),IF(B92=1,(H92/(B92+3)+J103),IF(B92=0,H92/4+J103))))</f>
        <v>19</v>
      </c>
    </row>
    <row r="105" spans="1:19" ht="15.75" hidden="1" customHeight="1" x14ac:dyDescent="0.25">
      <c r="A105" s="233" t="s">
        <v>139</v>
      </c>
      <c r="B105" s="234"/>
      <c r="C105" s="235" t="str">
        <f>D69</f>
        <v>C Wing = 1B + G + 1st to 20th Floor</v>
      </c>
      <c r="D105" s="236"/>
      <c r="E105" s="236"/>
      <c r="F105" s="236"/>
      <c r="G105" s="236"/>
      <c r="H105" s="237"/>
      <c r="I105" s="49" t="str">
        <f ca="1">IF(D118=100%,"All work Completed. Possession granted to the Building.",IF(D117=100%,"All work Completed, Waiting for OC",I106&amp;""&amp;I107&amp;""&amp;J106&amp;""&amp;J105&amp;" "&amp;J107))</f>
        <v xml:space="preserve">Excavation, Plinth Completed </v>
      </c>
      <c r="J105" s="50" t="str">
        <f ca="1">(IF(C111=(D106+F106+H106),"",IF(C111&gt;0,", RCC upto "&amp;C111&amp;" Slab","")))&amp;(IF(C112=H106,"",IF(C112&gt;0,", Brickwork upto "&amp;C112&amp;" Floor","")))&amp;(IF(C113=H106,"",IF(C113&gt;0,", Internal Plaster upto "&amp;C113&amp;" Floor","")))&amp;(IF(C114=H106,"",IF(C114&gt;0,", External Plaster upto "&amp;C114&amp;" Floor","")))&amp;(IF(C115=H106,"",IF(C115&gt;0,", Flooring upto "&amp;C115&amp;" Floor","")))&amp;(IF(C116=H106,"",IF(C116&gt;0,", Painting upto "&amp;C116&amp;" Floor","")))&amp;(IF(C117=H106,"",IF(C117&gt;0,", Finishing upto "&amp;C117&amp;" Floor","")))&amp;(IF(C118=H106,"",IF(C118&gt;0,", Possession upto "&amp;C118&amp;" Floor","")))</f>
        <v/>
      </c>
      <c r="S105"/>
    </row>
    <row r="106" spans="1:19" hidden="1" x14ac:dyDescent="0.25">
      <c r="A106" s="16" t="s">
        <v>141</v>
      </c>
      <c r="B106" s="47">
        <f>IF(AND(ISNUMBER(SEARCH("1B",C105))),1,IF(AND(ISNUMBER(SEARCH("2B",C105))),2,IF(AND(ISNUMBER(SEARCH("3B",C105))),3,IF(AND(ISNUMBER(SEARCH("4B",C105))),4,IF(ISNUMBER(SEARCH("5B",C105)),5,0)))))</f>
        <v>1</v>
      </c>
      <c r="C106" s="47" t="s">
        <v>68</v>
      </c>
      <c r="D106" s="47">
        <v>1</v>
      </c>
      <c r="E106" s="47" t="s">
        <v>67</v>
      </c>
      <c r="F106" s="14">
        <v>0</v>
      </c>
      <c r="G106" s="48" t="s">
        <v>76</v>
      </c>
      <c r="H106" s="17">
        <f ca="1">--TRIM(RIGHT(SUBSTITUTE(LEFT(C105,_xlfn.AGGREGATE(16,6,FIND({0,1,2,3,4,5,6,7,8,9},C105,ROW(INDIRECT("1:"&amp;LEN(C105)))),1))," ",REPT(" ",LEN(C105))),LEN(C105)))</f>
        <v>20</v>
      </c>
      <c r="I106" s="51" t="str">
        <f ca="1">IF(D109=100%,"Excavation","")&amp;IF(D110=100%,", Plinth","")&amp;IF(D111=100%,", RCC Slab","")&amp;IF(D112=100%,", Brickwork","")&amp;IF(D113=100%,", Internal Plaster","")&amp;IF(D114=100%,", External Plaster","")&amp;IF(D115=100%,", Flooring","")&amp;IF(D116=100%,", Painting","")&amp;IF(D117=100%,", Building common Amenities","")</f>
        <v>Excavation, Plinth</v>
      </c>
      <c r="J106" s="52" t="str">
        <f ca="1">(IF(C109=0,"Work not yet Started.",IF(D109=25%,"Piling work in process",IF(D109=50%,"Excavation work in process",IF(D109=100%,"","0")))))&amp;(IF(C110=0%,"",IF(C110=J111,", Footing work is process",IF(C110=J112,", Footing work Completed",IF(C110=J113,", 1st Basement Completed",IF(C110=J114,", 1st &amp; 2nd Basement Completed",IF(C110=J115,", 1st to 3rd Basement Completed",IF(C110=J116,", 1st to 4th Basement Completed",IF(C110=J117,", Plinth work is process",IF(C110=J118,"","0"))))))))))</f>
        <v/>
      </c>
      <c r="S106"/>
    </row>
    <row r="107" spans="1:19" hidden="1" x14ac:dyDescent="0.25">
      <c r="A107" s="232" t="s">
        <v>86</v>
      </c>
      <c r="B107" s="187"/>
      <c r="C107" s="201" t="str">
        <f ca="1">I105</f>
        <v xml:space="preserve">Excavation, Plinth Completed </v>
      </c>
      <c r="D107" s="201"/>
      <c r="E107" s="201"/>
      <c r="F107" s="201"/>
      <c r="G107" s="201"/>
      <c r="H107" s="202"/>
      <c r="I107" s="51" t="str">
        <f ca="1">IF(I106&lt;&gt;""," Completed","")</f>
        <v xml:space="preserve"> Completed</v>
      </c>
      <c r="J107" s="52" t="str">
        <f ca="1">IF(J105&lt;&gt;"","Completed","")</f>
        <v/>
      </c>
      <c r="S107"/>
    </row>
    <row r="108" spans="1:19" ht="15.75" hidden="1" customHeight="1" x14ac:dyDescent="0.25">
      <c r="A108" s="114" t="s">
        <v>47</v>
      </c>
      <c r="B108" s="115"/>
      <c r="C108" s="43" t="s">
        <v>138</v>
      </c>
      <c r="D108" s="43" t="s">
        <v>79</v>
      </c>
      <c r="E108" s="115" t="s">
        <v>81</v>
      </c>
      <c r="F108" s="115"/>
      <c r="G108" s="115" t="s">
        <v>80</v>
      </c>
      <c r="H108" s="129"/>
      <c r="I108" s="13" t="s">
        <v>140</v>
      </c>
      <c r="J108" s="28">
        <f ca="1">H106*25%</f>
        <v>5</v>
      </c>
      <c r="S108"/>
    </row>
    <row r="109" spans="1:19" hidden="1" x14ac:dyDescent="0.25">
      <c r="A109" s="114" t="s">
        <v>127</v>
      </c>
      <c r="B109" s="115"/>
      <c r="C109" s="60">
        <f ca="1">J110</f>
        <v>20</v>
      </c>
      <c r="D109" s="19">
        <f ca="1">((100/H106)*C109)/100</f>
        <v>1</v>
      </c>
      <c r="E109" s="257">
        <f ca="1">(((C110/H106*10)+(40/(D106+F106+H106)*C111)+(7.5/(H106)*C112)+(7.5/(H106)*C113)+(10/H106*C114)+(10/H106*C115)+(5/H106*C116)+(5/H106*C117)+(5/H106*C118))/100)</f>
        <v>0.1</v>
      </c>
      <c r="F109" s="272"/>
      <c r="G109" s="257">
        <f ca="1">((((C109/H106)*20)+((C110/H106)*25)+(30/(H106+F106+D106)*C111)+(5/H106*C112)+(5/H106*C113)+(5/H106*C114)+(5/H106*C115)+(0/H106*C116)+(0/H106*C117)+(5/H106*C118))/100)</f>
        <v>0.45</v>
      </c>
      <c r="H109" s="258"/>
      <c r="I109" s="13" t="s">
        <v>97</v>
      </c>
      <c r="J109" s="29">
        <f ca="1">H106*50%</f>
        <v>10</v>
      </c>
    </row>
    <row r="110" spans="1:19" hidden="1" x14ac:dyDescent="0.25">
      <c r="A110" s="114" t="s">
        <v>48</v>
      </c>
      <c r="B110" s="115"/>
      <c r="C110" s="43">
        <f ca="1">J118</f>
        <v>20</v>
      </c>
      <c r="D110" s="19">
        <f ca="1">((100/H106)*C110)/100</f>
        <v>1</v>
      </c>
      <c r="E110" s="259"/>
      <c r="F110" s="273"/>
      <c r="G110" s="259"/>
      <c r="H110" s="260"/>
      <c r="I110" s="13" t="s">
        <v>98</v>
      </c>
      <c r="J110" s="29">
        <f ca="1">H106</f>
        <v>20</v>
      </c>
      <c r="S110"/>
    </row>
    <row r="111" spans="1:19" ht="15.75" hidden="1" customHeight="1" x14ac:dyDescent="0.25">
      <c r="A111" s="114" t="s">
        <v>128</v>
      </c>
      <c r="B111" s="115"/>
      <c r="C111" s="43">
        <v>0</v>
      </c>
      <c r="D111" s="19">
        <f ca="1">((100/(D106+F106+H106))*C111)/100</f>
        <v>0</v>
      </c>
      <c r="E111" s="259"/>
      <c r="F111" s="273"/>
      <c r="G111" s="259"/>
      <c r="H111" s="260"/>
      <c r="I111" s="13" t="s">
        <v>99</v>
      </c>
      <c r="J111" s="30">
        <f ca="1">(IF(B106&gt;1,(H106/(B106+2)),H106/4))</f>
        <v>5</v>
      </c>
      <c r="S111"/>
    </row>
    <row r="112" spans="1:19" ht="15.75" hidden="1" customHeight="1" x14ac:dyDescent="0.25">
      <c r="A112" s="114" t="s">
        <v>135</v>
      </c>
      <c r="B112" s="115" t="s">
        <v>129</v>
      </c>
      <c r="C112" s="43">
        <v>0</v>
      </c>
      <c r="D112" s="19">
        <f ca="1">((100/H106)*C112)/100</f>
        <v>0</v>
      </c>
      <c r="E112" s="259"/>
      <c r="F112" s="273"/>
      <c r="G112" s="259"/>
      <c r="H112" s="260"/>
      <c r="I112" s="13" t="s">
        <v>100</v>
      </c>
      <c r="J112" s="30">
        <f ca="1">(IF(B106&gt;1,(H106/(B106+2)+J111),H106/4+J111))</f>
        <v>10</v>
      </c>
    </row>
    <row r="113" spans="1:22" ht="15.75" hidden="1" customHeight="1" x14ac:dyDescent="0.25">
      <c r="A113" s="114" t="s">
        <v>136</v>
      </c>
      <c r="B113" s="115" t="s">
        <v>129</v>
      </c>
      <c r="C113" s="43">
        <v>0</v>
      </c>
      <c r="D113" s="19">
        <f ca="1">((100/H106)*C113)/100</f>
        <v>0</v>
      </c>
      <c r="E113" s="259"/>
      <c r="F113" s="273"/>
      <c r="G113" s="259"/>
      <c r="H113" s="260"/>
      <c r="I113" s="13" t="s">
        <v>147</v>
      </c>
      <c r="J113" s="30">
        <f>(IF(B106&gt;1,(H106/(B106+2)+J112),0))</f>
        <v>0</v>
      </c>
    </row>
    <row r="114" spans="1:22" ht="15" hidden="1" customHeight="1" x14ac:dyDescent="0.25">
      <c r="A114" s="114" t="s">
        <v>134</v>
      </c>
      <c r="B114" s="115" t="s">
        <v>131</v>
      </c>
      <c r="C114" s="43">
        <v>0</v>
      </c>
      <c r="D114" s="19">
        <f ca="1">((100/(H106))*C114)/100</f>
        <v>0</v>
      </c>
      <c r="E114" s="259"/>
      <c r="F114" s="273"/>
      <c r="G114" s="259"/>
      <c r="H114" s="260"/>
      <c r="I114" s="13" t="s">
        <v>142</v>
      </c>
      <c r="J114" s="30">
        <f>(IF(B106&gt;2,(H106/(B106+2)+J113),0))</f>
        <v>0</v>
      </c>
    </row>
    <row r="115" spans="1:22" ht="15.75" hidden="1" customHeight="1" x14ac:dyDescent="0.25">
      <c r="A115" s="114" t="s">
        <v>130</v>
      </c>
      <c r="B115" s="115" t="s">
        <v>130</v>
      </c>
      <c r="C115" s="43">
        <v>0</v>
      </c>
      <c r="D115" s="19">
        <f ca="1">((100/H106)*C115)/100</f>
        <v>0</v>
      </c>
      <c r="E115" s="259"/>
      <c r="F115" s="273"/>
      <c r="G115" s="259"/>
      <c r="H115" s="260"/>
      <c r="I115" s="13" t="s">
        <v>143</v>
      </c>
      <c r="J115" s="31">
        <f>(IF(B106&gt;3,(H106/(B106+2)+J114),0))</f>
        <v>0</v>
      </c>
    </row>
    <row r="116" spans="1:22" ht="15.75" hidden="1" customHeight="1" x14ac:dyDescent="0.25">
      <c r="A116" s="114" t="s">
        <v>137</v>
      </c>
      <c r="B116" s="115"/>
      <c r="C116" s="43">
        <v>0</v>
      </c>
      <c r="D116" s="19">
        <f ca="1">((100/H106)*C116)/100</f>
        <v>0</v>
      </c>
      <c r="E116" s="259"/>
      <c r="F116" s="273"/>
      <c r="G116" s="259"/>
      <c r="H116" s="260"/>
      <c r="I116" s="13" t="s">
        <v>144</v>
      </c>
      <c r="J116" s="30">
        <f>(IF(B106&gt;4,(H106/(B106+2)+J115),0))</f>
        <v>0</v>
      </c>
    </row>
    <row r="117" spans="1:22" ht="15.75" hidden="1" customHeight="1" x14ac:dyDescent="0.25">
      <c r="A117" s="114" t="s">
        <v>132</v>
      </c>
      <c r="B117" s="115" t="s">
        <v>132</v>
      </c>
      <c r="C117" s="43">
        <v>0</v>
      </c>
      <c r="D117" s="19">
        <f ca="1">((100/(H106))*C117)/100</f>
        <v>0</v>
      </c>
      <c r="E117" s="259"/>
      <c r="F117" s="273"/>
      <c r="G117" s="259"/>
      <c r="H117" s="260"/>
      <c r="I117" s="13" t="s">
        <v>148</v>
      </c>
      <c r="J117" s="30">
        <f ca="1">(IF(B106=1,(H106/(B106+3)+J112),IF(B106=0,(H106/4+J112),IF(B106&gt;1,0))))</f>
        <v>15</v>
      </c>
    </row>
    <row r="118" spans="1:22" ht="16.5" hidden="1" thickBot="1" x14ac:dyDescent="0.3">
      <c r="A118" s="130" t="s">
        <v>133</v>
      </c>
      <c r="B118" s="131"/>
      <c r="C118" s="44">
        <v>0</v>
      </c>
      <c r="D118" s="20">
        <f ca="1">((100/(H106))*C118)/100</f>
        <v>0</v>
      </c>
      <c r="E118" s="261"/>
      <c r="F118" s="274"/>
      <c r="G118" s="261"/>
      <c r="H118" s="262"/>
      <c r="I118" s="15" t="s">
        <v>101</v>
      </c>
      <c r="J118" s="32">
        <f ca="1">(IF(B106&gt;1.5,(H106/(B106+2)+J112+MAX(0,J113-J112)+MAX(0,J114-J113)+MAX(0,J115-J114)+MAX(0,J116-J115)+MAX(0,J117-J116)),IF(B106=1,(H106/(B106+3)+J117),IF(B106=0,H106/4+J117))))</f>
        <v>20</v>
      </c>
    </row>
    <row r="119" spans="1:22" x14ac:dyDescent="0.25">
      <c r="A119" s="290" t="s">
        <v>158</v>
      </c>
      <c r="B119" s="290"/>
      <c r="C119" s="290"/>
      <c r="D119" s="290"/>
      <c r="E119" s="290"/>
      <c r="F119" s="291" t="s">
        <v>161</v>
      </c>
      <c r="G119" s="291"/>
      <c r="H119" s="291"/>
      <c r="I119" s="110" t="s">
        <v>441</v>
      </c>
      <c r="R119" t="s">
        <v>253</v>
      </c>
      <c r="S119" t="s">
        <v>173</v>
      </c>
      <c r="T119" t="s">
        <v>179</v>
      </c>
      <c r="U119" t="s">
        <v>193</v>
      </c>
      <c r="V119" t="s">
        <v>188</v>
      </c>
    </row>
    <row r="120" spans="1:22" x14ac:dyDescent="0.25">
      <c r="A120" s="178" t="s">
        <v>159</v>
      </c>
      <c r="B120" s="178"/>
      <c r="C120" s="178"/>
      <c r="D120" s="178"/>
      <c r="E120" s="178"/>
      <c r="F120" s="141">
        <v>16000</v>
      </c>
      <c r="G120" s="141"/>
      <c r="H120" s="141"/>
      <c r="R120"/>
      <c r="S120">
        <v>900000</v>
      </c>
      <c r="T120">
        <v>200000</v>
      </c>
      <c r="U120">
        <v>150000</v>
      </c>
      <c r="V120">
        <v>150000</v>
      </c>
    </row>
    <row r="121" spans="1:22" x14ac:dyDescent="0.25">
      <c r="A121" s="178" t="s">
        <v>160</v>
      </c>
      <c r="B121" s="178"/>
      <c r="C121" s="178"/>
      <c r="D121" s="178"/>
      <c r="E121" s="178"/>
      <c r="F121" s="141">
        <v>11500</v>
      </c>
      <c r="G121" s="141"/>
      <c r="H121" s="141"/>
      <c r="R121"/>
      <c r="S121">
        <v>1000000</v>
      </c>
      <c r="T121">
        <v>250000</v>
      </c>
      <c r="U121">
        <v>200000</v>
      </c>
      <c r="V121">
        <v>200000</v>
      </c>
    </row>
    <row r="122" spans="1:22" s="33" customFormat="1" hidden="1" x14ac:dyDescent="0.25">
      <c r="A122" s="178" t="s">
        <v>175</v>
      </c>
      <c r="B122" s="178"/>
      <c r="C122" s="178"/>
      <c r="D122" s="178"/>
      <c r="E122" s="178"/>
      <c r="F122" s="141"/>
      <c r="G122" s="141"/>
      <c r="H122" s="141"/>
      <c r="R122"/>
      <c r="S122">
        <v>1100000</v>
      </c>
      <c r="T122">
        <v>300000</v>
      </c>
      <c r="U122">
        <v>250000</v>
      </c>
      <c r="V122" s="23">
        <v>250000</v>
      </c>
    </row>
    <row r="123" spans="1:22" s="33" customFormat="1" hidden="1" x14ac:dyDescent="0.25">
      <c r="A123" s="178" t="s">
        <v>91</v>
      </c>
      <c r="B123" s="178"/>
      <c r="C123" s="178"/>
      <c r="D123" s="178"/>
      <c r="E123" s="178"/>
      <c r="F123" s="141"/>
      <c r="G123" s="141"/>
      <c r="H123" s="141"/>
      <c r="R123"/>
      <c r="S123">
        <v>1200000</v>
      </c>
      <c r="T123">
        <v>350000</v>
      </c>
      <c r="U123">
        <v>300000</v>
      </c>
      <c r="V123">
        <v>300000</v>
      </c>
    </row>
    <row r="124" spans="1:22" s="33" customFormat="1" hidden="1" x14ac:dyDescent="0.25">
      <c r="A124" s="178" t="s">
        <v>92</v>
      </c>
      <c r="B124" s="178"/>
      <c r="C124" s="178"/>
      <c r="D124" s="178"/>
      <c r="E124" s="178"/>
      <c r="F124" s="141"/>
      <c r="G124" s="141"/>
      <c r="H124" s="141"/>
      <c r="R124"/>
      <c r="S124">
        <v>1300000</v>
      </c>
      <c r="T124">
        <v>400000</v>
      </c>
      <c r="U124">
        <v>350000</v>
      </c>
      <c r="V124" s="23">
        <v>400000</v>
      </c>
    </row>
    <row r="125" spans="1:22" s="33" customFormat="1" hidden="1" x14ac:dyDescent="0.25">
      <c r="A125" s="178" t="s">
        <v>93</v>
      </c>
      <c r="B125" s="178"/>
      <c r="C125" s="178"/>
      <c r="D125" s="178"/>
      <c r="E125" s="178"/>
      <c r="F125" s="141"/>
      <c r="G125" s="141"/>
      <c r="H125" s="141"/>
      <c r="R125"/>
      <c r="S125">
        <v>1400000</v>
      </c>
      <c r="T125">
        <v>500000</v>
      </c>
      <c r="U125">
        <v>400000</v>
      </c>
      <c r="V125"/>
    </row>
    <row r="126" spans="1:22" s="33" customFormat="1" hidden="1" x14ac:dyDescent="0.25">
      <c r="A126" s="178" t="s">
        <v>94</v>
      </c>
      <c r="B126" s="178"/>
      <c r="C126" s="178"/>
      <c r="D126" s="178"/>
      <c r="E126" s="178"/>
      <c r="F126" s="141"/>
      <c r="G126" s="141"/>
      <c r="H126" s="141"/>
      <c r="R126"/>
      <c r="S126">
        <v>1500000</v>
      </c>
      <c r="T126">
        <v>600000</v>
      </c>
      <c r="U126">
        <v>500000</v>
      </c>
      <c r="V126" s="23"/>
    </row>
    <row r="127" spans="1:22" s="33" customFormat="1" hidden="1" x14ac:dyDescent="0.25">
      <c r="A127" s="178" t="s">
        <v>95</v>
      </c>
      <c r="B127" s="178"/>
      <c r="C127" s="178"/>
      <c r="D127" s="178"/>
      <c r="E127" s="178"/>
      <c r="F127" s="141"/>
      <c r="G127" s="141"/>
      <c r="H127" s="141"/>
      <c r="R127"/>
      <c r="S127">
        <v>1600000</v>
      </c>
      <c r="T127">
        <v>700000</v>
      </c>
      <c r="U127">
        <v>600000</v>
      </c>
      <c r="V127"/>
    </row>
    <row r="128" spans="1:22" s="33" customFormat="1" hidden="1" x14ac:dyDescent="0.25">
      <c r="A128" s="178" t="s">
        <v>96</v>
      </c>
      <c r="B128" s="178"/>
      <c r="C128" s="178"/>
      <c r="D128" s="178"/>
      <c r="E128" s="178"/>
      <c r="F128" s="141"/>
      <c r="G128" s="141"/>
      <c r="H128" s="141"/>
      <c r="R128"/>
      <c r="S128">
        <v>1700000</v>
      </c>
      <c r="T128">
        <v>800000</v>
      </c>
      <c r="U128"/>
      <c r="V128" s="23"/>
    </row>
    <row r="129" spans="1:22" x14ac:dyDescent="0.25">
      <c r="A129" s="178" t="s">
        <v>49</v>
      </c>
      <c r="B129" s="178"/>
      <c r="C129" s="178"/>
      <c r="D129" s="178"/>
      <c r="E129" s="178"/>
      <c r="F129" s="141">
        <v>600000</v>
      </c>
      <c r="G129" s="141"/>
      <c r="H129" s="141"/>
      <c r="R129"/>
      <c r="S129">
        <v>1800000</v>
      </c>
      <c r="T129">
        <v>900000</v>
      </c>
      <c r="U129"/>
    </row>
    <row r="130" spans="1:22" s="34" customFormat="1" x14ac:dyDescent="0.25">
      <c r="A130" s="187" t="s">
        <v>50</v>
      </c>
      <c r="B130" s="187"/>
      <c r="C130" s="187"/>
      <c r="D130" s="187"/>
      <c r="E130" s="187"/>
      <c r="F130" s="141">
        <f>F121*0.8</f>
        <v>9200</v>
      </c>
      <c r="G130" s="141"/>
      <c r="H130" s="141"/>
      <c r="R130" s="21"/>
      <c r="S130" s="21"/>
      <c r="T130">
        <v>1000000</v>
      </c>
      <c r="U130"/>
      <c r="V130" s="21"/>
    </row>
    <row r="131" spans="1:22" s="35" customFormat="1" ht="15.75" customHeight="1" x14ac:dyDescent="0.25">
      <c r="A131" s="182" t="s">
        <v>71</v>
      </c>
      <c r="B131" s="182"/>
      <c r="C131" s="182"/>
      <c r="D131" s="182"/>
      <c r="E131" s="182"/>
      <c r="F131" s="182"/>
      <c r="G131" s="182"/>
      <c r="H131" s="182"/>
      <c r="R131"/>
      <c r="S131" s="21"/>
      <c r="T131"/>
      <c r="U131"/>
      <c r="V131" s="21"/>
    </row>
    <row r="132" spans="1:22" s="35" customFormat="1" ht="15.75" customHeight="1" x14ac:dyDescent="0.25">
      <c r="A132" s="143" t="s">
        <v>51</v>
      </c>
      <c r="B132" s="143"/>
      <c r="C132" s="148" t="s">
        <v>74</v>
      </c>
      <c r="D132" s="148"/>
      <c r="E132" s="132" t="s">
        <v>52</v>
      </c>
      <c r="F132" s="132"/>
      <c r="G132" s="143" t="s">
        <v>53</v>
      </c>
      <c r="H132" s="143"/>
      <c r="R132"/>
      <c r="S132" s="21"/>
      <c r="T132"/>
      <c r="U132" s="21"/>
      <c r="V132" s="21"/>
    </row>
    <row r="133" spans="1:22" s="35" customFormat="1" x14ac:dyDescent="0.25">
      <c r="A133" s="147" t="s">
        <v>421</v>
      </c>
      <c r="B133" s="147"/>
      <c r="C133" s="161">
        <f>COUNT(D147:D148)+COUNT(D150:D155,D157)+COUNT(D248)</f>
        <v>10</v>
      </c>
      <c r="D133" s="162"/>
      <c r="E133" s="161">
        <f>SUM(F147:F148)+SUM(F150:F155,F157)+SUM(D248)</f>
        <v>12722</v>
      </c>
      <c r="F133" s="162"/>
      <c r="G133" s="161">
        <f>SUM(H147:H148)+SUM(H150:H155,H157)+SUM(F248)</f>
        <v>18168.771000500001</v>
      </c>
      <c r="H133" s="162"/>
      <c r="R133"/>
      <c r="S133" s="21"/>
      <c r="T133"/>
      <c r="U133" s="21"/>
      <c r="V133" s="21"/>
    </row>
    <row r="134" spans="1:22" s="35" customFormat="1" ht="16.5" thickBot="1" x14ac:dyDescent="0.3">
      <c r="A134" s="147" t="s">
        <v>424</v>
      </c>
      <c r="B134" s="147"/>
      <c r="C134" s="161">
        <f>COUNT(D159:D175)+COUNT(D177:D191)+COUNT(D195:D211)*3+COUNT(D213:D228)+COUNT(D231:D246)</f>
        <v>115</v>
      </c>
      <c r="D134" s="161"/>
      <c r="E134" s="161">
        <f t="shared" ref="E134" si="0">SUM(F159:F175)+SUM(F177:F191)+SUM(F195:F211)*3+SUM(F213:F228)+SUM(F231:F246)</f>
        <v>64987</v>
      </c>
      <c r="F134" s="161"/>
      <c r="G134" s="161">
        <f t="shared" ref="G134" si="1">SUM(H159:H175)+SUM(H177:H191)+SUM(H195:H211)*3+SUM(H213:H228)+SUM(H231:H246)</f>
        <v>97480.5</v>
      </c>
      <c r="H134" s="161"/>
      <c r="R134"/>
      <c r="S134" s="21"/>
      <c r="T134"/>
      <c r="U134" s="21"/>
      <c r="V134" s="21"/>
    </row>
    <row r="135" spans="1:22" s="35" customFormat="1" ht="16.5" hidden="1" thickBot="1" x14ac:dyDescent="0.3">
      <c r="A135" s="182" t="s">
        <v>152</v>
      </c>
      <c r="B135" s="182"/>
      <c r="C135" s="270">
        <f>C133+C134</f>
        <v>125</v>
      </c>
      <c r="D135" s="148"/>
      <c r="E135" s="270">
        <f t="shared" ref="E135" si="2">E133+E134</f>
        <v>77709</v>
      </c>
      <c r="F135" s="148"/>
      <c r="G135" s="270">
        <f t="shared" ref="G135" si="3">G133+G134</f>
        <v>115649.2710005</v>
      </c>
      <c r="H135" s="148"/>
      <c r="R135"/>
      <c r="S135" s="21"/>
      <c r="T135"/>
      <c r="U135" s="21"/>
      <c r="V135" s="21"/>
    </row>
    <row r="136" spans="1:22" s="35" customFormat="1" hidden="1" x14ac:dyDescent="0.25">
      <c r="A136" s="182" t="s">
        <v>66</v>
      </c>
      <c r="B136" s="182"/>
      <c r="C136" s="182"/>
      <c r="D136" s="182"/>
      <c r="E136" s="182"/>
      <c r="F136" s="182"/>
      <c r="G136" s="182"/>
      <c r="H136" s="182"/>
      <c r="T136"/>
    </row>
    <row r="137" spans="1:22" s="35" customFormat="1" ht="15.75" hidden="1" customHeight="1" x14ac:dyDescent="0.25">
      <c r="A137" s="143" t="s">
        <v>51</v>
      </c>
      <c r="B137" s="143"/>
      <c r="C137" s="148" t="s">
        <v>74</v>
      </c>
      <c r="D137" s="148"/>
      <c r="E137" s="132" t="s">
        <v>52</v>
      </c>
      <c r="F137" s="132"/>
      <c r="G137" s="143" t="s">
        <v>53</v>
      </c>
      <c r="H137" s="143"/>
      <c r="T137"/>
    </row>
    <row r="138" spans="1:22" s="35" customFormat="1" hidden="1" x14ac:dyDescent="0.25">
      <c r="A138" s="147"/>
      <c r="B138" s="147"/>
      <c r="C138" s="162"/>
      <c r="D138" s="162"/>
      <c r="E138" s="254"/>
      <c r="F138" s="254"/>
      <c r="G138" s="167"/>
      <c r="H138" s="167"/>
      <c r="T138"/>
    </row>
    <row r="139" spans="1:22" s="35" customFormat="1" hidden="1" x14ac:dyDescent="0.25">
      <c r="A139" s="147"/>
      <c r="B139" s="147"/>
      <c r="C139" s="162"/>
      <c r="D139" s="162"/>
      <c r="E139" s="254"/>
      <c r="F139" s="254"/>
      <c r="G139" s="167"/>
      <c r="H139" s="167"/>
      <c r="T139"/>
    </row>
    <row r="140" spans="1:22" s="35" customFormat="1" ht="16.5" hidden="1" thickBot="1" x14ac:dyDescent="0.3">
      <c r="A140" s="267" t="s">
        <v>152</v>
      </c>
      <c r="B140" s="267"/>
      <c r="C140" s="163"/>
      <c r="D140" s="163"/>
      <c r="E140" s="268"/>
      <c r="F140" s="268"/>
      <c r="G140" s="269"/>
      <c r="H140" s="269"/>
      <c r="T140"/>
    </row>
    <row r="141" spans="1:22" s="35" customFormat="1" ht="16.5" thickBot="1" x14ac:dyDescent="0.3">
      <c r="A141" s="168" t="s">
        <v>166</v>
      </c>
      <c r="B141" s="169"/>
      <c r="C141" s="271">
        <f>C135</f>
        <v>125</v>
      </c>
      <c r="D141" s="271"/>
      <c r="E141" s="263">
        <f t="shared" ref="E141" si="4">E135</f>
        <v>77709</v>
      </c>
      <c r="F141" s="263"/>
      <c r="G141" s="263">
        <f t="shared" ref="G141" si="5">G135</f>
        <v>115649.2710005</v>
      </c>
      <c r="H141" s="263"/>
      <c r="T141"/>
    </row>
    <row r="142" spans="1:22" s="34" customFormat="1" x14ac:dyDescent="0.25">
      <c r="A142" s="133" t="s">
        <v>356</v>
      </c>
      <c r="B142" s="133"/>
      <c r="C142" s="133"/>
      <c r="D142" s="133"/>
      <c r="E142" s="133"/>
      <c r="F142" s="133"/>
      <c r="G142" s="133"/>
      <c r="H142" s="133"/>
      <c r="T142" s="35"/>
    </row>
    <row r="143" spans="1:22" x14ac:dyDescent="0.25">
      <c r="A143" s="142" t="s">
        <v>417</v>
      </c>
      <c r="B143" s="142"/>
      <c r="C143" s="142"/>
      <c r="D143" s="142"/>
      <c r="E143" s="142"/>
      <c r="F143" s="142"/>
      <c r="G143" s="142"/>
      <c r="H143" s="142"/>
      <c r="T143" s="35"/>
    </row>
    <row r="144" spans="1:22" ht="47.25" customHeight="1" x14ac:dyDescent="0.25">
      <c r="A144" s="136" t="s">
        <v>118</v>
      </c>
      <c r="B144" s="265" t="s">
        <v>176</v>
      </c>
      <c r="C144" s="136" t="s">
        <v>54</v>
      </c>
      <c r="D144" s="265" t="s">
        <v>232</v>
      </c>
      <c r="E144" s="255" t="s">
        <v>157</v>
      </c>
      <c r="F144" s="136" t="s">
        <v>55</v>
      </c>
      <c r="G144" s="170" t="s">
        <v>56</v>
      </c>
      <c r="H144" s="99" t="s">
        <v>150</v>
      </c>
      <c r="I144" s="42">
        <v>10.763999999999999</v>
      </c>
      <c r="T144" s="35"/>
    </row>
    <row r="145" spans="1:20 6370:6370" s="37" customFormat="1" x14ac:dyDescent="0.25">
      <c r="A145" s="137"/>
      <c r="B145" s="266"/>
      <c r="C145" s="137"/>
      <c r="D145" s="266"/>
      <c r="E145" s="256"/>
      <c r="F145" s="137"/>
      <c r="G145" s="171"/>
      <c r="H145" s="100">
        <v>0.5</v>
      </c>
      <c r="T145" s="35"/>
    </row>
    <row r="146" spans="1:20 6370:6370" s="37" customFormat="1" x14ac:dyDescent="0.25">
      <c r="A146" s="124" t="s">
        <v>416</v>
      </c>
      <c r="B146" s="125"/>
      <c r="C146" s="125"/>
      <c r="D146" s="125"/>
      <c r="E146" s="125"/>
      <c r="F146" s="125"/>
      <c r="G146" s="125"/>
      <c r="H146" s="126"/>
      <c r="J146" s="36"/>
      <c r="T146" s="35"/>
    </row>
    <row r="147" spans="1:20 6370:6370" s="37" customFormat="1" ht="15.75" customHeight="1" x14ac:dyDescent="0.25">
      <c r="A147" s="122">
        <v>1</v>
      </c>
      <c r="B147" s="123"/>
      <c r="C147" s="42" t="s">
        <v>421</v>
      </c>
      <c r="D147" s="101">
        <v>1094</v>
      </c>
      <c r="E147" s="42">
        <v>0</v>
      </c>
      <c r="F147" s="42">
        <f>D147+(IF(E147&lt;201,E147,IF(E147&lt;301,E147/2,E147/3)))</f>
        <v>1094</v>
      </c>
      <c r="G147" s="42">
        <v>0</v>
      </c>
      <c r="H147" s="42">
        <f>(F147+(IF(G147&lt;101,G147,IF(G147&lt;201,G147/2,IF(G147&lt;=301,G147/3,G147/4)))))*(($H$145)+1)</f>
        <v>1641</v>
      </c>
      <c r="I147" s="36"/>
      <c r="K147" s="101">
        <f>(9.66*10.86)*10.764</f>
        <v>1129.2254063999999</v>
      </c>
      <c r="L147" s="253"/>
      <c r="M147" s="253"/>
      <c r="N147" s="36"/>
      <c r="T147" s="35"/>
    </row>
    <row r="148" spans="1:20 6370:6370" s="37" customFormat="1" ht="46.5" customHeight="1" x14ac:dyDescent="0.25">
      <c r="A148" s="122">
        <f>A147+1</f>
        <v>2</v>
      </c>
      <c r="B148" s="123"/>
      <c r="C148" s="42" t="s">
        <v>422</v>
      </c>
      <c r="D148" s="101">
        <f>(2039+2296)</f>
        <v>4335</v>
      </c>
      <c r="E148" s="42">
        <v>0</v>
      </c>
      <c r="F148" s="42">
        <f>D148+(IF(E148&lt;201,E148,IF(E148&lt;301,E148/2,E148/3)))</f>
        <v>4335</v>
      </c>
      <c r="G148" s="42">
        <f>(0.5*(11.57*4.65))*10.764</f>
        <v>289.55429100000003</v>
      </c>
      <c r="H148" s="42">
        <f>(F148+(IF(G148&lt;101,G148,IF(G148&lt;201,G148/2,IF(G148&lt;=301,G148/3,G148/4)))))*(($H$145)+1)</f>
        <v>6647.2771455000002</v>
      </c>
      <c r="I148" s="280" t="s">
        <v>423</v>
      </c>
      <c r="J148" s="281"/>
      <c r="K148" s="101">
        <f>((9.47*12.02+11.4*8.55)+7.82*1.65+1.5*5+9.47*6.57+1.5*6.18+11.42*9.72)*10.764</f>
        <v>4458.3702228000002</v>
      </c>
      <c r="L148" s="253"/>
      <c r="M148" s="253"/>
      <c r="N148" s="36"/>
      <c r="T148" s="34"/>
    </row>
    <row r="149" spans="1:20 6370:6370" s="37" customFormat="1" x14ac:dyDescent="0.25">
      <c r="A149" s="124" t="s">
        <v>420</v>
      </c>
      <c r="B149" s="125"/>
      <c r="C149" s="125"/>
      <c r="D149" s="125"/>
      <c r="E149" s="125"/>
      <c r="F149" s="125"/>
      <c r="G149" s="125"/>
      <c r="H149" s="126"/>
      <c r="J149" s="36"/>
      <c r="T149" s="35"/>
    </row>
    <row r="150" spans="1:20 6370:6370" s="37" customFormat="1" ht="15.75" customHeight="1" x14ac:dyDescent="0.25">
      <c r="A150" s="122">
        <v>1</v>
      </c>
      <c r="B150" s="123"/>
      <c r="C150" s="42" t="s">
        <v>421</v>
      </c>
      <c r="D150" s="42">
        <v>612</v>
      </c>
      <c r="E150" s="42">
        <v>0</v>
      </c>
      <c r="F150" s="42">
        <f>D150+(IF(E150&lt;201,E150,IF(E150&lt;301,E150/2,E150/3)))</f>
        <v>612</v>
      </c>
      <c r="G150" s="42">
        <v>0</v>
      </c>
      <c r="H150" s="42">
        <f>(F150+(IF(G150&lt;101,G150,IF(G150&lt;201,G150/2,IF(G150&lt;=301,G150/3,G150/4)))))*(($H$145)+1)</f>
        <v>918</v>
      </c>
      <c r="I150" s="36"/>
      <c r="J150" s="36">
        <f>(8.2*3.5+8.35*1.35+1.35*1.35+1.5*1.3+1.5*3.26+1.5*2)</f>
        <v>51.634999999999998</v>
      </c>
      <c r="K150" s="42">
        <f>(1.6*1.35+1.6*1.36+6.37*4.91+1.5*3.41+1.5*3.26+1.5*2+1.35*1.35)*10.764</f>
        <v>542.93831280000006</v>
      </c>
      <c r="L150" s="253"/>
      <c r="M150" s="253"/>
      <c r="N150" s="36"/>
      <c r="T150" s="35"/>
      <c r="IJZ150" s="42">
        <v>555.79913999999997</v>
      </c>
    </row>
    <row r="151" spans="1:20 6370:6370" s="37" customFormat="1" ht="15.75" customHeight="1" x14ac:dyDescent="0.25">
      <c r="A151" s="122">
        <f>A150+1</f>
        <v>2</v>
      </c>
      <c r="B151" s="123"/>
      <c r="C151" s="42" t="s">
        <v>421</v>
      </c>
      <c r="D151" s="42">
        <v>591</v>
      </c>
      <c r="E151" s="42">
        <v>0</v>
      </c>
      <c r="F151" s="42">
        <f>D151+(IF(E151&lt;201,E151,IF(E151&lt;301,E151/2,E151/3)))</f>
        <v>591</v>
      </c>
      <c r="G151" s="42">
        <v>0</v>
      </c>
      <c r="H151" s="42">
        <f>(F151+(IF(G151&lt;101,G151,IF(G151&lt;201,G151/2,IF(G151&lt;=301,G151/3,G151/4)))))*(($H$145)+1)</f>
        <v>886.5</v>
      </c>
      <c r="I151" s="104"/>
      <c r="K151" s="42">
        <f>(2.85*3.26+2.1*3.31+6.02*4.91+2*1.5+1.2*1.5)*10.764</f>
        <v>544.6605528</v>
      </c>
      <c r="L151" s="253"/>
      <c r="M151" s="253"/>
      <c r="N151" s="36"/>
      <c r="T151" s="34"/>
      <c r="IJZ151" s="42">
        <v>573.90956999999992</v>
      </c>
    </row>
    <row r="152" spans="1:20 6370:6370" s="37" customFormat="1" ht="15.75" customHeight="1" x14ac:dyDescent="0.25">
      <c r="A152" s="122">
        <f>A151+1</f>
        <v>3</v>
      </c>
      <c r="B152" s="123"/>
      <c r="C152" s="42" t="s">
        <v>421</v>
      </c>
      <c r="D152" s="42">
        <v>490</v>
      </c>
      <c r="E152" s="42">
        <v>0</v>
      </c>
      <c r="F152" s="42">
        <f>D152+(IF(E152&lt;201,E152,IF(E152&lt;301,E152/2,E152/3)))</f>
        <v>490</v>
      </c>
      <c r="G152" s="42">
        <v>0</v>
      </c>
      <c r="H152" s="42">
        <f>(F152+(IF(G152&lt;101,G152,IF(G152&lt;201,G152/2,IF(G152&lt;=301,G152/3,G152/4)))))*(($H$145)+1)</f>
        <v>735</v>
      </c>
      <c r="I152" s="36"/>
      <c r="K152" s="42">
        <f>(2.85*2.425+8.12*4.08+1.2*1.5)*10.764</f>
        <v>450.37490939999992</v>
      </c>
      <c r="L152" s="253"/>
      <c r="M152" s="253"/>
      <c r="N152" s="36"/>
      <c r="T152" s="21"/>
      <c r="IJZ152" s="42">
        <v>448.10531999999984</v>
      </c>
    </row>
    <row r="153" spans="1:20 6370:6370" s="37" customFormat="1" ht="15.75" customHeight="1" x14ac:dyDescent="0.25">
      <c r="A153" s="122">
        <f>A152+1</f>
        <v>4</v>
      </c>
      <c r="B153" s="123"/>
      <c r="C153" s="42" t="s">
        <v>421</v>
      </c>
      <c r="D153" s="42">
        <v>490</v>
      </c>
      <c r="E153" s="42">
        <v>0</v>
      </c>
      <c r="F153" s="42">
        <f>D153+(IF(E153&lt;201,E153,IF(E153&lt;301,E153/2,E153/3)))</f>
        <v>490</v>
      </c>
      <c r="G153" s="42">
        <v>0</v>
      </c>
      <c r="H153" s="42">
        <f>(F153+(IF(G153&lt;101,G153,IF(G153&lt;201,G153/2,IF(G153&lt;=301,G153/3,G153/4)))))*(($H$145)+1)</f>
        <v>735</v>
      </c>
      <c r="I153" s="36"/>
      <c r="K153" s="42">
        <f>(2.85*2.425+8.12*4.08+1.2*1.5)*10.764</f>
        <v>450.37490939999992</v>
      </c>
      <c r="L153" s="253"/>
      <c r="M153" s="253"/>
      <c r="N153" s="36"/>
      <c r="T153" s="21"/>
      <c r="IJZ153" s="42">
        <v>448.10531999999984</v>
      </c>
    </row>
    <row r="154" spans="1:20 6370:6370" s="37" customFormat="1" ht="15.75" customHeight="1" x14ac:dyDescent="0.25">
      <c r="A154" s="122">
        <f t="shared" ref="A154:A155" si="6">A153+1</f>
        <v>5</v>
      </c>
      <c r="B154" s="123"/>
      <c r="C154" s="42" t="s">
        <v>421</v>
      </c>
      <c r="D154" s="42">
        <v>490</v>
      </c>
      <c r="E154" s="42">
        <v>0</v>
      </c>
      <c r="F154" s="42">
        <f t="shared" ref="F154:F157" si="7">D154+(IF(E154&lt;201,E154,IF(E154&lt;301,E154/2,E154/3)))</f>
        <v>490</v>
      </c>
      <c r="G154" s="42">
        <v>0</v>
      </c>
      <c r="H154" s="42">
        <f t="shared" ref="H154:H157" si="8">(F154+(IF(G154&lt;101,G154,IF(G154&lt;201,G154/2,IF(G154&lt;=301,G154/3,G154/4)))))*(($H$145)+1)</f>
        <v>735</v>
      </c>
      <c r="I154" s="36"/>
      <c r="K154" s="42">
        <f>(2.85*2.425+8.12*4.08+1.2*1.5)*10.764</f>
        <v>450.37490939999992</v>
      </c>
      <c r="L154" s="253"/>
      <c r="M154" s="253"/>
      <c r="N154" s="36"/>
      <c r="T154" s="21"/>
      <c r="IJZ154" s="42">
        <v>448.10531999999984</v>
      </c>
    </row>
    <row r="155" spans="1:20 6370:6370" s="37" customFormat="1" ht="15.75" customHeight="1" x14ac:dyDescent="0.25">
      <c r="A155" s="122">
        <f t="shared" si="6"/>
        <v>6</v>
      </c>
      <c r="B155" s="123"/>
      <c r="C155" s="42" t="s">
        <v>421</v>
      </c>
      <c r="D155" s="42">
        <v>490</v>
      </c>
      <c r="E155" s="42">
        <v>0</v>
      </c>
      <c r="F155" s="42">
        <f t="shared" si="7"/>
        <v>490</v>
      </c>
      <c r="G155" s="42">
        <v>0</v>
      </c>
      <c r="H155" s="42">
        <f t="shared" si="8"/>
        <v>735</v>
      </c>
      <c r="I155" s="36"/>
      <c r="K155" s="42">
        <f>(3.15*2.425+7.82*4.075+1.5*1.5)*10.764</f>
        <v>449.45351099999999</v>
      </c>
      <c r="L155" s="253"/>
      <c r="M155" s="253"/>
      <c r="N155" s="36"/>
      <c r="T155" s="21"/>
      <c r="IJZ155" s="42">
        <v>451.28069999999997</v>
      </c>
    </row>
    <row r="156" spans="1:20 6370:6370" s="37" customFormat="1" ht="15.75" customHeight="1" x14ac:dyDescent="0.25">
      <c r="A156" s="122" t="s">
        <v>418</v>
      </c>
      <c r="B156" s="123"/>
      <c r="C156" s="122" t="s">
        <v>419</v>
      </c>
      <c r="D156" s="156"/>
      <c r="E156" s="156"/>
      <c r="F156" s="156"/>
      <c r="G156" s="156"/>
      <c r="H156" s="123"/>
      <c r="I156" s="36"/>
      <c r="L156" s="253"/>
      <c r="M156" s="253"/>
      <c r="N156" s="36"/>
      <c r="T156" s="21"/>
      <c r="IJZ156" s="42">
        <v>1678.9687200000001</v>
      </c>
    </row>
    <row r="157" spans="1:20 6370:6370" s="37" customFormat="1" ht="15.75" customHeight="1" x14ac:dyDescent="0.25">
      <c r="A157" s="122">
        <v>7</v>
      </c>
      <c r="B157" s="123"/>
      <c r="C157" s="42" t="s">
        <v>421</v>
      </c>
      <c r="D157" s="42">
        <v>1773</v>
      </c>
      <c r="E157" s="42">
        <v>0</v>
      </c>
      <c r="F157" s="42">
        <f t="shared" si="7"/>
        <v>1773</v>
      </c>
      <c r="G157" s="42">
        <f>(0.5*(10.7*4.15))*10.764</f>
        <v>238.98770999999999</v>
      </c>
      <c r="H157" s="42">
        <f t="shared" si="8"/>
        <v>2778.9938549999997</v>
      </c>
      <c r="I157" s="36"/>
      <c r="K157" s="42">
        <f>(11.16*2.5+8.31*1.8+9.66*1.65+11.16*6.77+9.86+1.65+1.5*1.5)*10.764</f>
        <v>1594.2581927999997</v>
      </c>
      <c r="L157" s="253"/>
      <c r="M157" s="253"/>
      <c r="N157" s="36"/>
      <c r="T157" s="21"/>
    </row>
    <row r="158" spans="1:20 6370:6370" s="37" customFormat="1" x14ac:dyDescent="0.25">
      <c r="A158" s="124" t="s">
        <v>117</v>
      </c>
      <c r="B158" s="125"/>
      <c r="C158" s="125"/>
      <c r="D158" s="125"/>
      <c r="E158" s="125"/>
      <c r="F158" s="125"/>
      <c r="G158" s="125"/>
      <c r="H158" s="126"/>
      <c r="I158" s="42"/>
      <c r="J158" s="36"/>
      <c r="T158" s="35"/>
    </row>
    <row r="159" spans="1:20 6370:6370" s="37" customFormat="1" ht="15.75" customHeight="1" x14ac:dyDescent="0.25">
      <c r="A159" s="122">
        <v>1</v>
      </c>
      <c r="B159" s="123"/>
      <c r="C159" s="42" t="s">
        <v>424</v>
      </c>
      <c r="D159" s="42">
        <v>612</v>
      </c>
      <c r="E159" s="42">
        <v>0</v>
      </c>
      <c r="F159" s="42">
        <f>D159+(IF(E159&lt;201,E159,IF(E159&lt;301,E159/2,E159/3)))</f>
        <v>612</v>
      </c>
      <c r="G159" s="42">
        <v>0</v>
      </c>
      <c r="H159" s="42">
        <f>(F159+(IF(G159&lt;101,G159,IF(G159&lt;201,G159/2,IF(G159&lt;=301,G159/3,G159/4)))))*(($H$145)+1)</f>
        <v>918</v>
      </c>
      <c r="I159" s="36"/>
      <c r="J159" s="36"/>
      <c r="K159" s="42">
        <f>(1.6*1.35+1.6*1.36+6.37*4.91+1.5*3.41+1.5*3.26+1.5*1.2+1.35*1.35)*10.764</f>
        <v>530.02151279999998</v>
      </c>
      <c r="L159" s="253"/>
      <c r="M159" s="253"/>
      <c r="N159" s="42"/>
      <c r="T159" s="35"/>
    </row>
    <row r="160" spans="1:20 6370:6370" s="37" customFormat="1" ht="15.75" customHeight="1" x14ac:dyDescent="0.25">
      <c r="A160" s="122">
        <f>A159+1</f>
        <v>2</v>
      </c>
      <c r="B160" s="123"/>
      <c r="C160" s="42" t="s">
        <v>424</v>
      </c>
      <c r="D160" s="42">
        <v>591</v>
      </c>
      <c r="E160" s="42">
        <v>0</v>
      </c>
      <c r="F160" s="42">
        <f>D160+(IF(E160&lt;201,E160,IF(E160&lt;301,E160/2,E160/3)))</f>
        <v>591</v>
      </c>
      <c r="G160" s="42">
        <v>0</v>
      </c>
      <c r="H160" s="42">
        <f>(F160+(IF(G160&lt;101,G160,IF(G160&lt;201,G160/2,IF(G160&lt;=301,G160/3,G160/4)))))*(($H$145)+1)</f>
        <v>886.5</v>
      </c>
      <c r="I160" s="36"/>
      <c r="J160" s="36"/>
      <c r="K160" s="42">
        <f>(2.85*3.26+2.1*3.31+6.02*4.91+1.2*1.5+2*1.5)*10.764</f>
        <v>544.6605528</v>
      </c>
      <c r="L160" s="253"/>
      <c r="M160" s="253"/>
      <c r="N160" s="42"/>
      <c r="T160" s="34"/>
    </row>
    <row r="161" spans="1:20 5333:5333" s="37" customFormat="1" ht="15.75" customHeight="1" x14ac:dyDescent="0.25">
      <c r="A161" s="122">
        <f>A160+1</f>
        <v>3</v>
      </c>
      <c r="B161" s="123"/>
      <c r="C161" s="42" t="s">
        <v>424</v>
      </c>
      <c r="D161" s="42">
        <v>490</v>
      </c>
      <c r="E161" s="42">
        <v>0</v>
      </c>
      <c r="F161" s="42">
        <f>D161+(IF(E161&lt;201,E161,IF(E161&lt;301,E161/2,E161/3)))</f>
        <v>490</v>
      </c>
      <c r="G161" s="42">
        <v>0</v>
      </c>
      <c r="H161" s="42">
        <f>(F161+(IF(G161&lt;101,G161,IF(G161&lt;201,G161/2,IF(G161&lt;=301,G161/3,G161/4)))))*(($H$145)+1)</f>
        <v>735</v>
      </c>
      <c r="I161" s="36"/>
      <c r="J161" s="36"/>
      <c r="K161" s="42">
        <f>(2.85*2.43+2.1*2.48+6.02*4.08+2*1.5+1.2*1.5)*10.764</f>
        <v>446.65325639999992</v>
      </c>
      <c r="L161" s="253"/>
      <c r="M161" s="253"/>
      <c r="N161" s="42"/>
      <c r="T161" s="21"/>
    </row>
    <row r="162" spans="1:20 5333:5333" s="37" customFormat="1" ht="15.75" customHeight="1" x14ac:dyDescent="0.25">
      <c r="A162" s="122">
        <f>A161+1</f>
        <v>4</v>
      </c>
      <c r="B162" s="123"/>
      <c r="C162" s="42" t="s">
        <v>424</v>
      </c>
      <c r="D162" s="42">
        <v>490</v>
      </c>
      <c r="E162" s="42">
        <v>0</v>
      </c>
      <c r="F162" s="42">
        <f t="shared" ref="F162:F171" si="9">D162+(IF(E162&lt;201,E162,IF(E162&lt;301,E162/2,E162/3)))</f>
        <v>490</v>
      </c>
      <c r="G162" s="42">
        <v>0</v>
      </c>
      <c r="H162" s="42">
        <f t="shared" ref="H162:H171" si="10">(F162+(IF(G162&lt;101,G162,IF(G162&lt;201,G162/2,IF(G162&lt;=301,G162/3,G162/4)))))*(($H$145)+1)</f>
        <v>735</v>
      </c>
      <c r="I162" s="36"/>
      <c r="K162" s="42">
        <f>(2.85*2.425+2.1*2.475+6.02*4.075+2*1.5+1.2*1.5)*10.764</f>
        <v>446.06285099999991</v>
      </c>
      <c r="L162" s="253"/>
      <c r="M162" s="253"/>
      <c r="N162" s="42"/>
      <c r="T162" s="21"/>
    </row>
    <row r="163" spans="1:20 5333:5333" s="37" customFormat="1" ht="15.75" customHeight="1" x14ac:dyDescent="0.25">
      <c r="A163" s="122">
        <f t="shared" ref="A163:A175" si="11">A162+1</f>
        <v>5</v>
      </c>
      <c r="B163" s="123"/>
      <c r="C163" s="42" t="s">
        <v>424</v>
      </c>
      <c r="D163" s="42">
        <v>490</v>
      </c>
      <c r="E163" s="42">
        <v>0</v>
      </c>
      <c r="F163" s="42">
        <f t="shared" si="9"/>
        <v>490</v>
      </c>
      <c r="G163" s="42">
        <v>0</v>
      </c>
      <c r="H163" s="42">
        <f t="shared" si="10"/>
        <v>735</v>
      </c>
      <c r="I163" s="36"/>
      <c r="K163" s="42">
        <f>(2.85*2.425+2.1*2.475+6.02*4.075+2*1.5+1.2*1.5)*10.764</f>
        <v>446.06285099999991</v>
      </c>
      <c r="L163" s="253"/>
      <c r="M163" s="253"/>
      <c r="N163" s="42"/>
      <c r="T163" s="21"/>
    </row>
    <row r="164" spans="1:20 5333:5333" s="37" customFormat="1" ht="15.75" customHeight="1" x14ac:dyDescent="0.25">
      <c r="A164" s="122">
        <f t="shared" si="11"/>
        <v>6</v>
      </c>
      <c r="B164" s="123"/>
      <c r="C164" s="42" t="s">
        <v>424</v>
      </c>
      <c r="D164" s="42">
        <v>490</v>
      </c>
      <c r="E164" s="42">
        <v>0</v>
      </c>
      <c r="F164" s="42">
        <f t="shared" si="9"/>
        <v>490</v>
      </c>
      <c r="G164" s="42">
        <v>0</v>
      </c>
      <c r="H164" s="42">
        <f t="shared" si="10"/>
        <v>735</v>
      </c>
      <c r="I164" s="36"/>
      <c r="J164" s="103"/>
      <c r="K164" s="42">
        <f>(3.15*2.425+2.1*2.475+5.72*4.075+2*1.5+1.5*1.5)*10.764</f>
        <v>445.57847100000004</v>
      </c>
      <c r="L164" s="253"/>
      <c r="M164" s="253"/>
      <c r="N164" s="42"/>
      <c r="T164" s="21"/>
    </row>
    <row r="165" spans="1:20 5333:5333" s="37" customFormat="1" ht="15.75" customHeight="1" x14ac:dyDescent="0.25">
      <c r="A165" s="122">
        <f t="shared" si="11"/>
        <v>7</v>
      </c>
      <c r="B165" s="123"/>
      <c r="C165" s="42" t="s">
        <v>424</v>
      </c>
      <c r="D165" s="42">
        <v>490</v>
      </c>
      <c r="E165" s="42">
        <v>0</v>
      </c>
      <c r="F165" s="42">
        <f t="shared" si="9"/>
        <v>490</v>
      </c>
      <c r="G165" s="42">
        <v>0</v>
      </c>
      <c r="H165" s="42">
        <f t="shared" si="10"/>
        <v>735</v>
      </c>
      <c r="I165" s="36"/>
      <c r="K165" s="42">
        <f>(3.15*2.425+2.1*2.475+5.72*4.075+2*1.5+1.5*1.5)*10.764</f>
        <v>445.57847100000004</v>
      </c>
      <c r="L165" s="253"/>
      <c r="M165" s="253"/>
      <c r="N165" s="42"/>
      <c r="T165" s="21"/>
      <c r="GWC165" s="42">
        <f>1.6*1.35+1.6*1.36+6.37*4.9+1.5*3.41+1.5*3.26+1.35*1.35+1.5*2</f>
        <v>50.376500000000007</v>
      </c>
    </row>
    <row r="166" spans="1:20 5333:5333" s="37" customFormat="1" ht="15.75" customHeight="1" x14ac:dyDescent="0.25">
      <c r="A166" s="122">
        <f t="shared" si="11"/>
        <v>8</v>
      </c>
      <c r="B166" s="123"/>
      <c r="C166" s="42" t="s">
        <v>424</v>
      </c>
      <c r="D166" s="42">
        <v>490</v>
      </c>
      <c r="E166" s="42">
        <v>0</v>
      </c>
      <c r="F166" s="42">
        <f t="shared" si="9"/>
        <v>490</v>
      </c>
      <c r="G166" s="42">
        <v>0</v>
      </c>
      <c r="H166" s="42">
        <f t="shared" si="10"/>
        <v>735</v>
      </c>
      <c r="I166" s="36"/>
      <c r="K166" s="42">
        <f>(3.15*2.425+2.1*2.475+5.72*4.075+2*1.5+1.5*1.5)*10.764</f>
        <v>445.57847100000004</v>
      </c>
      <c r="L166" s="253"/>
      <c r="M166" s="253"/>
      <c r="N166" s="42"/>
      <c r="T166" s="21"/>
      <c r="GWC166" s="42">
        <f>2.85*3.26+2.1*3.31+6.02*4.91+1.2*1.5+2*1.5</f>
        <v>50.600200000000001</v>
      </c>
    </row>
    <row r="167" spans="1:20 5333:5333" s="37" customFormat="1" ht="15.75" customHeight="1" x14ac:dyDescent="0.25">
      <c r="A167" s="122">
        <f t="shared" si="11"/>
        <v>9</v>
      </c>
      <c r="B167" s="123"/>
      <c r="C167" s="42" t="s">
        <v>424</v>
      </c>
      <c r="D167" s="42">
        <v>471</v>
      </c>
      <c r="E167" s="42">
        <v>0</v>
      </c>
      <c r="F167" s="42">
        <f t="shared" si="9"/>
        <v>471</v>
      </c>
      <c r="G167" s="42">
        <v>0</v>
      </c>
      <c r="H167" s="42">
        <f t="shared" si="10"/>
        <v>706.5</v>
      </c>
      <c r="I167" s="36"/>
      <c r="K167" s="42">
        <f>(3.15*2.425+2.1*2.475+5.72*4.075+2*1.5+1.5*1.5)*10.764</f>
        <v>445.57847100000004</v>
      </c>
      <c r="L167" s="253"/>
      <c r="M167" s="253"/>
      <c r="N167" s="42"/>
      <c r="T167" s="21"/>
      <c r="GWC167" s="42">
        <f>2.85*2.43+2.1*2.48+6*4.1+1.2*1.5+2*1.5</f>
        <v>41.533499999999997</v>
      </c>
    </row>
    <row r="168" spans="1:20 5333:5333" s="37" customFormat="1" ht="15.75" customHeight="1" x14ac:dyDescent="0.25">
      <c r="A168" s="122">
        <f t="shared" si="11"/>
        <v>10</v>
      </c>
      <c r="B168" s="123"/>
      <c r="C168" s="42" t="s">
        <v>424</v>
      </c>
      <c r="D168" s="42">
        <v>673</v>
      </c>
      <c r="E168" s="42">
        <v>0</v>
      </c>
      <c r="F168" s="42">
        <f t="shared" si="9"/>
        <v>673</v>
      </c>
      <c r="G168" s="42">
        <v>0</v>
      </c>
      <c r="H168" s="42">
        <f t="shared" si="10"/>
        <v>1009.5</v>
      </c>
      <c r="I168" s="106"/>
      <c r="J168" s="106"/>
      <c r="K168" s="42">
        <f>(2.85*3.765+6.52*5.415+1.6*3.315+1.5*2+1.2*1.5)*10.764</f>
        <v>604.29149819999986</v>
      </c>
      <c r="L168" s="253"/>
      <c r="M168" s="253"/>
      <c r="N168" s="42"/>
      <c r="T168" s="21"/>
      <c r="GWC168" s="42">
        <f t="shared" ref="GWC168:GWC169" si="12">2.85*2.43+2.1*2.48+6*4.1+1.2*1.5+2*1.5</f>
        <v>41.533499999999997</v>
      </c>
    </row>
    <row r="169" spans="1:20 5333:5333" s="37" customFormat="1" ht="15.75" customHeight="1" x14ac:dyDescent="0.25">
      <c r="A169" s="122">
        <f t="shared" si="11"/>
        <v>11</v>
      </c>
      <c r="B169" s="123"/>
      <c r="C169" s="42" t="s">
        <v>424</v>
      </c>
      <c r="D169" s="42">
        <v>756</v>
      </c>
      <c r="E169" s="42">
        <v>0</v>
      </c>
      <c r="F169" s="42">
        <f t="shared" si="9"/>
        <v>756</v>
      </c>
      <c r="G169" s="42">
        <v>0</v>
      </c>
      <c r="H169" s="42">
        <f t="shared" si="10"/>
        <v>1134</v>
      </c>
      <c r="I169" s="106"/>
      <c r="J169" s="106"/>
      <c r="K169" s="42">
        <f>(2.85*4.35+6.41*6+1.6*1.35+1.6*2.45+1.5*1.5+2*1.5)*10.764</f>
        <v>669.3862499999999</v>
      </c>
      <c r="L169" s="253"/>
      <c r="M169" s="253"/>
      <c r="N169" s="42"/>
      <c r="T169" s="21"/>
      <c r="GWC169" s="42">
        <f t="shared" si="12"/>
        <v>41.533499999999997</v>
      </c>
    </row>
    <row r="170" spans="1:20 5333:5333" s="37" customFormat="1" ht="15.75" customHeight="1" x14ac:dyDescent="0.25">
      <c r="A170" s="122">
        <f t="shared" si="11"/>
        <v>12</v>
      </c>
      <c r="B170" s="123"/>
      <c r="C170" s="42" t="s">
        <v>424</v>
      </c>
      <c r="D170" s="42">
        <v>479</v>
      </c>
      <c r="E170" s="42">
        <v>0</v>
      </c>
      <c r="F170" s="42">
        <f t="shared" si="9"/>
        <v>479</v>
      </c>
      <c r="G170" s="42">
        <v>0</v>
      </c>
      <c r="H170" s="42">
        <f t="shared" si="10"/>
        <v>718.5</v>
      </c>
      <c r="I170" s="36"/>
      <c r="J170" s="36"/>
      <c r="K170" s="42">
        <f>(2.85*2.265+2.1*2.315+6.21*3.915+2*1.5+1.2*1.5)*10.764</f>
        <v>435.17667959999994</v>
      </c>
      <c r="L170" s="253"/>
      <c r="M170" s="253"/>
      <c r="N170" s="42"/>
      <c r="T170" s="21"/>
      <c r="GWC170" s="42">
        <f>3.15*2.43+2.1*2.48+5.72*4.08+1.5*1.5+2*1.5</f>
        <v>41.450099999999999</v>
      </c>
    </row>
    <row r="171" spans="1:20 5333:5333" s="37" customFormat="1" ht="15.75" customHeight="1" x14ac:dyDescent="0.25">
      <c r="A171" s="122">
        <f t="shared" si="11"/>
        <v>13</v>
      </c>
      <c r="B171" s="123"/>
      <c r="C171" s="42" t="s">
        <v>424</v>
      </c>
      <c r="D171" s="42">
        <v>508</v>
      </c>
      <c r="E171" s="42">
        <v>0</v>
      </c>
      <c r="F171" s="42">
        <f t="shared" si="9"/>
        <v>508</v>
      </c>
      <c r="G171" s="42">
        <v>0</v>
      </c>
      <c r="H171" s="42">
        <f t="shared" si="10"/>
        <v>762</v>
      </c>
      <c r="I171" s="36"/>
      <c r="J171" s="36"/>
      <c r="K171" s="42">
        <f>(2.85*2.505+2.1*2.555+6.21*4.155+2*1.5+1.2*1.5)*10.764</f>
        <v>464.00697719999994</v>
      </c>
      <c r="L171" s="253"/>
      <c r="M171" s="253"/>
      <c r="N171" s="42"/>
      <c r="T171" s="21"/>
      <c r="GWC171" s="105">
        <f>3.15*2.43+2.1*2.48+5.72*4.08+1.5*1.5+2*1.5</f>
        <v>41.450099999999999</v>
      </c>
    </row>
    <row r="172" spans="1:20 5333:5333" s="37" customFormat="1" ht="15.75" customHeight="1" x14ac:dyDescent="0.25">
      <c r="A172" s="122">
        <f t="shared" si="11"/>
        <v>14</v>
      </c>
      <c r="B172" s="123"/>
      <c r="C172" s="42" t="s">
        <v>424</v>
      </c>
      <c r="D172" s="42">
        <v>736</v>
      </c>
      <c r="E172" s="42">
        <v>0</v>
      </c>
      <c r="F172" s="42">
        <f>D172+(IF(E172&lt;201,E172,IF(E172&lt;301,E172/2,E172/3)))</f>
        <v>736</v>
      </c>
      <c r="G172" s="42">
        <v>0</v>
      </c>
      <c r="H172" s="42">
        <f>(F172+(IF(G172&lt;101,G172,IF(G172&lt;201,G172/2,IF(G172&lt;=301,G172/3,G172/4)))))*(($H$145)+1)</f>
        <v>1104</v>
      </c>
      <c r="I172" s="106"/>
      <c r="J172" s="106"/>
      <c r="K172" s="42">
        <f>(8.01*4.17+3.58*0.59+1.48*1.6+3.15*4.71+3.35*1.58+1.5*1.5+2*1.5)*10.764</f>
        <v>680.94570959999999</v>
      </c>
      <c r="L172" s="253"/>
      <c r="M172" s="253"/>
      <c r="N172" s="42"/>
      <c r="T172" s="21"/>
      <c r="GWC172" s="105">
        <f t="shared" ref="GWC172:GWC173" si="13">3.15*2.43+2.1*2.48+5.72*4.08+1.5*1.5+2*1.5</f>
        <v>41.450099999999999</v>
      </c>
    </row>
    <row r="173" spans="1:20 5333:5333" s="37" customFormat="1" ht="15.75" customHeight="1" x14ac:dyDescent="0.25">
      <c r="A173" s="122">
        <f t="shared" si="11"/>
        <v>15</v>
      </c>
      <c r="B173" s="123"/>
      <c r="C173" s="42" t="s">
        <v>424</v>
      </c>
      <c r="D173" s="42">
        <v>498</v>
      </c>
      <c r="E173" s="42">
        <v>0</v>
      </c>
      <c r="F173" s="42">
        <f t="shared" ref="F173:F175" si="14">D173+(IF(E173&lt;201,E173,IF(E173&lt;301,E173/2,E173/3)))</f>
        <v>498</v>
      </c>
      <c r="G173" s="42">
        <v>0</v>
      </c>
      <c r="H173" s="42">
        <f t="shared" ref="H173:H175" si="15">(F173+(IF(G173&lt;101,G173,IF(G173&lt;201,G173/2,IF(G173&lt;=301,G173/3,G173/4)))))*(($H$145)+1)</f>
        <v>747</v>
      </c>
      <c r="I173" s="103"/>
      <c r="J173" s="36"/>
      <c r="K173" s="42">
        <f>(2.85*2.425+2.1*2.475+6.21*4.075+2*1.5+1.2*1.5)*10.764</f>
        <v>454.39687799999996</v>
      </c>
      <c r="L173" s="253"/>
      <c r="M173" s="253"/>
      <c r="N173" s="42"/>
      <c r="T173" s="21"/>
      <c r="GWC173" s="105">
        <f t="shared" si="13"/>
        <v>41.450099999999999</v>
      </c>
    </row>
    <row r="174" spans="1:20 5333:5333" s="37" customFormat="1" ht="15.75" customHeight="1" x14ac:dyDescent="0.25">
      <c r="A174" s="122">
        <f t="shared" si="11"/>
        <v>16</v>
      </c>
      <c r="B174" s="123"/>
      <c r="C174" s="42" t="s">
        <v>424</v>
      </c>
      <c r="D174" s="42">
        <v>498</v>
      </c>
      <c r="E174" s="42">
        <v>0</v>
      </c>
      <c r="F174" s="42">
        <f t="shared" si="14"/>
        <v>498</v>
      </c>
      <c r="G174" s="42">
        <v>0</v>
      </c>
      <c r="H174" s="42">
        <f t="shared" si="15"/>
        <v>747</v>
      </c>
      <c r="I174" s="36"/>
      <c r="J174" s="36"/>
      <c r="K174" s="42">
        <f>(1.5*2.325+1.65*2.675+5.91*4.075+2.1*2.475+1.5*1.25+2*1.5)*10.764</f>
        <v>452.701548</v>
      </c>
      <c r="L174" s="253"/>
      <c r="M174" s="253"/>
      <c r="N174" s="42"/>
      <c r="T174" s="21"/>
      <c r="GWC174" s="102">
        <f>2.85*3.765+6.5*5.4+1.6*3.3+1.5*2+1.2*1.5</f>
        <v>55.910249999999998</v>
      </c>
    </row>
    <row r="175" spans="1:20 5333:5333" s="37" customFormat="1" ht="15.75" customHeight="1" x14ac:dyDescent="0.25">
      <c r="A175" s="122">
        <f t="shared" si="11"/>
        <v>17</v>
      </c>
      <c r="B175" s="123"/>
      <c r="C175" s="42" t="s">
        <v>424</v>
      </c>
      <c r="D175" s="42">
        <v>869</v>
      </c>
      <c r="E175" s="42">
        <v>0</v>
      </c>
      <c r="F175" s="42">
        <f t="shared" si="14"/>
        <v>869</v>
      </c>
      <c r="G175" s="42">
        <v>0</v>
      </c>
      <c r="H175" s="42">
        <f t="shared" si="15"/>
        <v>1303.5</v>
      </c>
      <c r="I175" s="36"/>
      <c r="J175" s="36"/>
      <c r="K175" s="42">
        <f>(1.65*5.24+7.41*6.81+2.1*5.21+1.5*1.42+2*1.5+1.565*1.5)*10.764</f>
        <v>834.49632239999983</v>
      </c>
      <c r="L175" s="253"/>
      <c r="M175" s="253"/>
      <c r="N175" s="42"/>
      <c r="T175" s="21"/>
      <c r="GWC175" s="102">
        <f>2.85*4.35+6.4*6+1.6*1.35+1.6*2.45+1.5*1.5+2*1.5</f>
        <v>62.127500000000012</v>
      </c>
    </row>
    <row r="176" spans="1:20 5333:5333" s="37" customFormat="1" x14ac:dyDescent="0.25">
      <c r="A176" s="124" t="s">
        <v>427</v>
      </c>
      <c r="B176" s="125"/>
      <c r="C176" s="125"/>
      <c r="D176" s="125"/>
      <c r="E176" s="125"/>
      <c r="F176" s="125"/>
      <c r="G176" s="125"/>
      <c r="H176" s="126"/>
      <c r="J176" s="36"/>
      <c r="T176" s="35"/>
      <c r="GWC176" s="42">
        <f>2.85*2.265+2.1*2.315+6.21*3.915+2*1.5+1.2*1.5</f>
        <v>40.428899999999999</v>
      </c>
    </row>
    <row r="177" spans="1:20 5333:5333" s="37" customFormat="1" ht="15.75" customHeight="1" x14ac:dyDescent="0.25">
      <c r="A177" s="122">
        <v>1</v>
      </c>
      <c r="B177" s="123"/>
      <c r="C177" s="42" t="s">
        <v>424</v>
      </c>
      <c r="D177" s="42">
        <v>612</v>
      </c>
      <c r="E177" s="42">
        <v>0</v>
      </c>
      <c r="F177" s="42">
        <f>D177+(IF(E177&lt;201,E177,IF(E177&lt;301,E177/2,E177/3)))</f>
        <v>612</v>
      </c>
      <c r="G177" s="42">
        <v>0</v>
      </c>
      <c r="H177" s="42">
        <f>(F177+(IF(G177&lt;101,G177,IF(G177&lt;201,G177/2,IF(G177&lt;=301,G177/3,G177/4)))))*(($H$145)+1)</f>
        <v>918</v>
      </c>
      <c r="I177" s="36"/>
      <c r="J177" s="108"/>
      <c r="K177" s="42">
        <f>(8*5+1.55*3.35+1.35*1.35+1.5*3.3)*10.764</f>
        <v>559.35126000000002</v>
      </c>
      <c r="L177" s="253"/>
      <c r="M177" s="253"/>
      <c r="N177" s="36"/>
      <c r="T177" s="35"/>
      <c r="GWC177" s="42">
        <f>2.85*2.265+2.1*2.315+6.21*3.915+2*1.5+1.2*1.5</f>
        <v>40.428899999999999</v>
      </c>
    </row>
    <row r="178" spans="1:20 5333:5333" s="37" customFormat="1" ht="15.75" customHeight="1" x14ac:dyDescent="0.25">
      <c r="A178" s="122">
        <f>A177+1</f>
        <v>2</v>
      </c>
      <c r="B178" s="123"/>
      <c r="C178" s="42" t="s">
        <v>424</v>
      </c>
      <c r="D178" s="42">
        <v>591</v>
      </c>
      <c r="E178" s="42">
        <v>0</v>
      </c>
      <c r="F178" s="42">
        <f>D178+(IF(E178&lt;201,E178,IF(E178&lt;301,E178/2,E178/3)))</f>
        <v>591</v>
      </c>
      <c r="G178" s="42">
        <v>0</v>
      </c>
      <c r="H178" s="42">
        <f>(F178+(IF(G178&lt;101,G178,IF(G178&lt;201,G178/2,IF(G178&lt;=301,G178/3,G178/4)))))*(($H$145)+1)</f>
        <v>886.5</v>
      </c>
      <c r="I178" s="36">
        <f>2.85*3.25+8.12*4.9+1.2*1.5</f>
        <v>50.850499999999997</v>
      </c>
      <c r="J178" s="108"/>
      <c r="K178" s="42">
        <f>(8.12*5+1.5*3.2+1.2*1.5+1.5*3.2)*10.764</f>
        <v>559.72799999999984</v>
      </c>
      <c r="L178" s="253"/>
      <c r="M178" s="253"/>
      <c r="N178" s="36"/>
      <c r="T178" s="34"/>
      <c r="GWC178" s="102">
        <f>8*4.17+3.58*0.59+1.48*1.6+3.15*4.71+3.35*1.58+1.5*1.5+2*1.5</f>
        <v>63.219700000000003</v>
      </c>
    </row>
    <row r="179" spans="1:20 5333:5333" s="37" customFormat="1" ht="15.75" customHeight="1" x14ac:dyDescent="0.25">
      <c r="A179" s="122">
        <f>A178+1</f>
        <v>3</v>
      </c>
      <c r="B179" s="123"/>
      <c r="C179" s="42" t="s">
        <v>424</v>
      </c>
      <c r="D179" s="42">
        <v>490</v>
      </c>
      <c r="E179" s="42">
        <v>0</v>
      </c>
      <c r="F179" s="42">
        <f>D179+(IF(E179&lt;201,E179,IF(E179&lt;301,E179/2,E179/3)))</f>
        <v>490</v>
      </c>
      <c r="G179" s="42">
        <v>0</v>
      </c>
      <c r="H179" s="42">
        <f>(F179+(IF(G179&lt;101,G179,IF(G179&lt;201,G179/2,IF(G179&lt;=301,G179/3,G179/4)))))*(($H$145)+1)</f>
        <v>735</v>
      </c>
      <c r="I179" s="36">
        <f>2.85*2.43+8.12*4.08</f>
        <v>40.055099999999996</v>
      </c>
      <c r="J179" s="108"/>
      <c r="K179" s="42">
        <f>(8.12*4.05+1.5*2.45+1.2*1.5+1.5*2.45)*10.764</f>
        <v>452.47550399999983</v>
      </c>
      <c r="L179" s="253"/>
      <c r="M179" s="253"/>
      <c r="N179" s="36"/>
      <c r="T179" s="21"/>
      <c r="GWC179" s="42">
        <f>2.85*2.425+2.1*2.475+6.2*4+2*1.5+1.2*1.5</f>
        <v>41.708749999999995</v>
      </c>
    </row>
    <row r="180" spans="1:20 5333:5333" s="37" customFormat="1" ht="15.75" customHeight="1" x14ac:dyDescent="0.25">
      <c r="A180" s="122">
        <f>A179+1</f>
        <v>4</v>
      </c>
      <c r="B180" s="123"/>
      <c r="C180" s="42" t="s">
        <v>424</v>
      </c>
      <c r="D180" s="42">
        <v>490</v>
      </c>
      <c r="E180" s="42">
        <v>0</v>
      </c>
      <c r="F180" s="42">
        <f t="shared" ref="F180:F189" si="16">D180+(IF(E180&lt;201,E180,IF(E180&lt;301,E180/2,E180/3)))</f>
        <v>490</v>
      </c>
      <c r="G180" s="42">
        <v>0</v>
      </c>
      <c r="H180" s="42">
        <f t="shared" ref="H180:H189" si="17">(F180+(IF(G180&lt;101,G180,IF(G180&lt;201,G180/2,IF(G180&lt;=301,G180/3,G180/4)))))*(($H$145)+1)</f>
        <v>735</v>
      </c>
      <c r="I180" s="36"/>
      <c r="J180" s="108"/>
      <c r="K180" s="42">
        <f>(8.12*4.05+1.5*2.45+1.2*1.5+1.5*2.45)*10.764</f>
        <v>452.47550399999983</v>
      </c>
      <c r="L180" s="253"/>
      <c r="M180" s="253"/>
      <c r="N180" s="36"/>
      <c r="T180" s="21"/>
      <c r="GWC180" s="42">
        <f>1.5*2.325+1.65*2.67+5.91*4+2.1*2.5+1.5*1.25+2*1.5</f>
        <v>41.658000000000001</v>
      </c>
    </row>
    <row r="181" spans="1:20 5333:5333" s="37" customFormat="1" ht="15.75" customHeight="1" x14ac:dyDescent="0.25">
      <c r="A181" s="122">
        <f t="shared" ref="A181:A193" si="18">A180+1</f>
        <v>5</v>
      </c>
      <c r="B181" s="123"/>
      <c r="C181" s="42" t="s">
        <v>424</v>
      </c>
      <c r="D181" s="42">
        <v>490</v>
      </c>
      <c r="E181" s="42">
        <v>0</v>
      </c>
      <c r="F181" s="42">
        <f t="shared" si="16"/>
        <v>490</v>
      </c>
      <c r="G181" s="42">
        <v>0</v>
      </c>
      <c r="H181" s="42">
        <f t="shared" si="17"/>
        <v>735</v>
      </c>
      <c r="I181" s="36"/>
      <c r="J181" s="108"/>
      <c r="K181" s="42">
        <f>(8.12*4.05+1.5*2.45+1.2*1.5+1.5*2.45)*10.764</f>
        <v>452.47550399999983</v>
      </c>
      <c r="L181" s="253"/>
      <c r="M181" s="253"/>
      <c r="N181" s="36"/>
      <c r="T181" s="21"/>
      <c r="GWC181" s="101">
        <f>1.65*5.24+7.41*6.81+2.1*5.21+1.5*1.42+2*1.5+1.565*1.5</f>
        <v>77.526599999999988</v>
      </c>
    </row>
    <row r="182" spans="1:20 5333:5333" s="37" customFormat="1" ht="15.75" customHeight="1" x14ac:dyDescent="0.25">
      <c r="A182" s="122">
        <f t="shared" si="18"/>
        <v>6</v>
      </c>
      <c r="B182" s="123"/>
      <c r="C182" s="42" t="s">
        <v>424</v>
      </c>
      <c r="D182" s="42">
        <v>490</v>
      </c>
      <c r="E182" s="42">
        <v>0</v>
      </c>
      <c r="F182" s="42">
        <f t="shared" si="16"/>
        <v>490</v>
      </c>
      <c r="G182" s="42">
        <v>0</v>
      </c>
      <c r="H182" s="42">
        <f t="shared" si="17"/>
        <v>735</v>
      </c>
      <c r="I182" s="36"/>
      <c r="J182" s="108"/>
      <c r="K182" s="42">
        <f>(7.8*4.05+1.75*2.45+1.5*1.5+1.5*2.45)*10.764</f>
        <v>449.96210999999994</v>
      </c>
      <c r="L182" s="253"/>
      <c r="M182" s="253"/>
      <c r="N182" s="36"/>
      <c r="T182" s="21"/>
    </row>
    <row r="183" spans="1:20 5333:5333" s="37" customFormat="1" ht="15.75" customHeight="1" x14ac:dyDescent="0.25">
      <c r="A183" s="122">
        <f t="shared" si="18"/>
        <v>7</v>
      </c>
      <c r="B183" s="123"/>
      <c r="C183" s="42" t="s">
        <v>424</v>
      </c>
      <c r="D183" s="42">
        <v>490</v>
      </c>
      <c r="E183" s="42">
        <v>0</v>
      </c>
      <c r="F183" s="42">
        <f t="shared" si="16"/>
        <v>490</v>
      </c>
      <c r="G183" s="42">
        <v>0</v>
      </c>
      <c r="H183" s="42">
        <f t="shared" si="17"/>
        <v>735</v>
      </c>
      <c r="I183" s="36"/>
      <c r="J183" s="108"/>
      <c r="K183" s="42">
        <f>(7.8*4.05+1.75*2.45+1.5*1.5+1.5*2.45)*10.764</f>
        <v>449.96210999999994</v>
      </c>
      <c r="L183" s="253"/>
      <c r="M183" s="253"/>
      <c r="N183" s="36"/>
      <c r="T183" s="21"/>
    </row>
    <row r="184" spans="1:20 5333:5333" s="37" customFormat="1" ht="15.75" customHeight="1" x14ac:dyDescent="0.25">
      <c r="A184" s="122">
        <f t="shared" si="18"/>
        <v>8</v>
      </c>
      <c r="B184" s="123"/>
      <c r="C184" s="42" t="s">
        <v>424</v>
      </c>
      <c r="D184" s="42">
        <v>490</v>
      </c>
      <c r="E184" s="42">
        <v>0</v>
      </c>
      <c r="F184" s="42">
        <f t="shared" si="16"/>
        <v>490</v>
      </c>
      <c r="G184" s="42">
        <v>0</v>
      </c>
      <c r="H184" s="42">
        <f t="shared" si="17"/>
        <v>735</v>
      </c>
      <c r="I184" s="36"/>
      <c r="J184" s="108"/>
      <c r="K184" s="42">
        <f>(7.8*4.05+1.75*2.45+1.5*1.5+1.5*2.45)*10.764</f>
        <v>449.96210999999994</v>
      </c>
      <c r="L184" s="253"/>
      <c r="M184" s="253"/>
      <c r="N184" s="36"/>
      <c r="T184" s="21"/>
    </row>
    <row r="185" spans="1:20 5333:5333" s="37" customFormat="1" ht="15.75" customHeight="1" x14ac:dyDescent="0.25">
      <c r="A185" s="122">
        <f t="shared" si="18"/>
        <v>9</v>
      </c>
      <c r="B185" s="123"/>
      <c r="C185" s="42" t="s">
        <v>424</v>
      </c>
      <c r="D185" s="42">
        <v>471</v>
      </c>
      <c r="E185" s="42">
        <v>0</v>
      </c>
      <c r="F185" s="42">
        <f t="shared" si="16"/>
        <v>471</v>
      </c>
      <c r="G185" s="42">
        <v>0</v>
      </c>
      <c r="H185" s="42">
        <f t="shared" si="17"/>
        <v>706.5</v>
      </c>
      <c r="I185" s="36"/>
      <c r="J185" s="108"/>
      <c r="K185" s="42">
        <f>(7.8*4.05+1.75*2.45+1.5*1.5+1.5*2.45)*10.764</f>
        <v>449.96210999999994</v>
      </c>
      <c r="L185" s="253"/>
      <c r="M185" s="253"/>
      <c r="N185" s="36"/>
      <c r="T185" s="21"/>
    </row>
    <row r="186" spans="1:20 5333:5333" s="37" customFormat="1" ht="15.75" customHeight="1" x14ac:dyDescent="0.25">
      <c r="A186" s="122">
        <f t="shared" si="18"/>
        <v>10</v>
      </c>
      <c r="B186" s="123"/>
      <c r="C186" s="42" t="s">
        <v>424</v>
      </c>
      <c r="D186" s="42">
        <v>673</v>
      </c>
      <c r="E186" s="42">
        <v>0</v>
      </c>
      <c r="F186" s="42">
        <f t="shared" si="16"/>
        <v>673</v>
      </c>
      <c r="G186" s="42">
        <v>0</v>
      </c>
      <c r="H186" s="42">
        <f t="shared" si="17"/>
        <v>1009.5</v>
      </c>
      <c r="I186" s="36">
        <f>2.85*3.765+8.12*5.415+1.2*1.5</f>
        <v>56.500049999999995</v>
      </c>
      <c r="J186" s="108"/>
      <c r="K186" s="42">
        <f>(8.12*4+1.5*3.7+1.2*1.5+1.5*(3.7+8.12))*10.764</f>
        <v>619.57583999999997</v>
      </c>
      <c r="L186" s="253"/>
      <c r="M186" s="253"/>
      <c r="N186" s="36"/>
      <c r="T186" s="21"/>
    </row>
    <row r="187" spans="1:20 5333:5333" s="37" customFormat="1" ht="15.75" customHeight="1" x14ac:dyDescent="0.25">
      <c r="A187" s="122">
        <f t="shared" si="18"/>
        <v>11</v>
      </c>
      <c r="B187" s="123"/>
      <c r="C187" s="42" t="s">
        <v>424</v>
      </c>
      <c r="D187" s="42">
        <v>756</v>
      </c>
      <c r="E187" s="42">
        <v>0</v>
      </c>
      <c r="F187" s="42">
        <f t="shared" si="16"/>
        <v>756</v>
      </c>
      <c r="G187" s="42">
        <v>0</v>
      </c>
      <c r="H187" s="42">
        <f t="shared" si="17"/>
        <v>1134</v>
      </c>
      <c r="I187" s="36"/>
      <c r="J187" s="108"/>
      <c r="K187" s="42">
        <f>(8*4.5+1.75*4.35+1.5*1.5+1.5*(4.35+8))*10.764</f>
        <v>693.06704999999988</v>
      </c>
      <c r="L187" s="253"/>
      <c r="M187" s="253"/>
      <c r="N187" s="36"/>
      <c r="T187" s="21"/>
    </row>
    <row r="188" spans="1:20 5333:5333" s="37" customFormat="1" ht="15.75" customHeight="1" x14ac:dyDescent="0.25">
      <c r="A188" s="122">
        <f t="shared" si="18"/>
        <v>12</v>
      </c>
      <c r="B188" s="123"/>
      <c r="C188" s="42" t="s">
        <v>424</v>
      </c>
      <c r="D188" s="42">
        <v>479</v>
      </c>
      <c r="E188" s="42">
        <v>0</v>
      </c>
      <c r="F188" s="42">
        <f t="shared" si="16"/>
        <v>479</v>
      </c>
      <c r="G188" s="42">
        <v>0</v>
      </c>
      <c r="H188" s="42">
        <f t="shared" si="17"/>
        <v>718.5</v>
      </c>
      <c r="I188" s="36"/>
      <c r="J188" s="108"/>
      <c r="K188" s="42">
        <f>(8.35*3.95+1.5*2.2+1.2*1.5+1.5*2.2)*10.764</f>
        <v>445.4412299999999</v>
      </c>
      <c r="L188" s="253"/>
      <c r="M188" s="253"/>
      <c r="N188" s="36"/>
      <c r="T188" s="21"/>
    </row>
    <row r="189" spans="1:20 5333:5333" s="37" customFormat="1" ht="15.75" customHeight="1" x14ac:dyDescent="0.25">
      <c r="A189" s="122">
        <f t="shared" si="18"/>
        <v>13</v>
      </c>
      <c r="B189" s="123"/>
      <c r="C189" s="42" t="s">
        <v>424</v>
      </c>
      <c r="D189" s="42">
        <v>508</v>
      </c>
      <c r="E189" s="42">
        <v>0</v>
      </c>
      <c r="F189" s="42">
        <f t="shared" si="16"/>
        <v>508</v>
      </c>
      <c r="G189" s="42">
        <v>0</v>
      </c>
      <c r="H189" s="42">
        <f t="shared" si="17"/>
        <v>762</v>
      </c>
      <c r="I189" s="36">
        <f>2.85*2.505+8.31*4.155+1.2*1.5</f>
        <v>43.467300000000002</v>
      </c>
      <c r="J189" s="108"/>
      <c r="K189" s="42">
        <f>(8.35*4.15+1.5*2.5+1.2*1.5+1.5*2.5)*10.764</f>
        <v>473.10470999999995</v>
      </c>
      <c r="L189" s="253"/>
      <c r="M189" s="253"/>
      <c r="N189" s="36"/>
      <c r="T189" s="21"/>
    </row>
    <row r="190" spans="1:20 5333:5333" s="37" customFormat="1" ht="15.75" customHeight="1" x14ac:dyDescent="0.25">
      <c r="A190" s="122">
        <f t="shared" si="18"/>
        <v>14</v>
      </c>
      <c r="B190" s="123"/>
      <c r="C190" s="42" t="s">
        <v>424</v>
      </c>
      <c r="D190" s="42">
        <v>736</v>
      </c>
      <c r="E190" s="42">
        <v>0</v>
      </c>
      <c r="F190" s="42">
        <f>D190+(IF(E190&lt;201,E190,IF(E190&lt;301,E190/2,E190/3)))</f>
        <v>736</v>
      </c>
      <c r="G190" s="42">
        <v>0</v>
      </c>
      <c r="H190" s="42">
        <f>(F190+(IF(G190&lt;101,G190,IF(G190&lt;201,G190/2,IF(G190&lt;=301,G190/3,G190/4)))))*(($H$145)+1)</f>
        <v>1104</v>
      </c>
      <c r="I190" s="36"/>
      <c r="J190" s="108"/>
      <c r="K190" s="42">
        <f>(8*4.15+3.4*2.2+2*6.35+1.5*1.5+1.5*6.35)*10.764</f>
        <v>701.32841999999994</v>
      </c>
      <c r="L190" s="253"/>
      <c r="M190" s="253"/>
      <c r="N190" s="36"/>
      <c r="T190" s="21"/>
    </row>
    <row r="191" spans="1:20 5333:5333" s="37" customFormat="1" ht="15.75" customHeight="1" x14ac:dyDescent="0.25">
      <c r="A191" s="122">
        <f t="shared" si="18"/>
        <v>15</v>
      </c>
      <c r="B191" s="123"/>
      <c r="C191" s="42" t="s">
        <v>424</v>
      </c>
      <c r="D191" s="42">
        <v>498</v>
      </c>
      <c r="E191" s="42">
        <v>0</v>
      </c>
      <c r="F191" s="42">
        <f t="shared" ref="F191" si="19">D191+(IF(E191&lt;201,E191,IF(E191&lt;301,E191/2,E191/3)))</f>
        <v>498</v>
      </c>
      <c r="G191" s="42">
        <v>0</v>
      </c>
      <c r="H191" s="42">
        <f t="shared" ref="H191" si="20">(F191+(IF(G191&lt;101,G191,IF(G191&lt;201,G191/2,IF(G191&lt;=301,G191/3,G191/4)))))*(($H$145)+1)</f>
        <v>747</v>
      </c>
      <c r="I191" s="36"/>
      <c r="J191" s="108"/>
      <c r="K191" s="42">
        <f>(8.12*4.05+1.5*2.45+1.2*1.5+1.5*2.45)*10.764</f>
        <v>452.47550399999983</v>
      </c>
      <c r="L191" s="253"/>
      <c r="M191" s="253"/>
      <c r="N191" s="36"/>
      <c r="T191" s="21"/>
    </row>
    <row r="192" spans="1:20 5333:5333" s="37" customFormat="1" ht="15.75" customHeight="1" x14ac:dyDescent="0.25">
      <c r="A192" s="122">
        <f t="shared" si="18"/>
        <v>16</v>
      </c>
      <c r="B192" s="123"/>
      <c r="C192" s="122" t="s">
        <v>425</v>
      </c>
      <c r="D192" s="156"/>
      <c r="E192" s="156"/>
      <c r="F192" s="156"/>
      <c r="G192" s="156"/>
      <c r="H192" s="123"/>
      <c r="I192" s="36"/>
      <c r="L192" s="253"/>
      <c r="M192" s="253"/>
      <c r="N192" s="36"/>
      <c r="T192" s="21"/>
    </row>
    <row r="193" spans="1:20" s="37" customFormat="1" ht="15.75" customHeight="1" x14ac:dyDescent="0.25">
      <c r="A193" s="122">
        <f t="shared" si="18"/>
        <v>17</v>
      </c>
      <c r="B193" s="123"/>
      <c r="C193" s="122" t="s">
        <v>425</v>
      </c>
      <c r="D193" s="156"/>
      <c r="E193" s="156"/>
      <c r="F193" s="156"/>
      <c r="G193" s="156"/>
      <c r="H193" s="123"/>
      <c r="I193" s="36"/>
      <c r="L193" s="253"/>
      <c r="M193" s="253"/>
      <c r="N193" s="36"/>
      <c r="T193" s="21"/>
    </row>
    <row r="194" spans="1:20" s="37" customFormat="1" x14ac:dyDescent="0.25">
      <c r="A194" s="124" t="s">
        <v>426</v>
      </c>
      <c r="B194" s="125"/>
      <c r="C194" s="125"/>
      <c r="D194" s="125"/>
      <c r="E194" s="125"/>
      <c r="F194" s="125"/>
      <c r="G194" s="125"/>
      <c r="H194" s="126"/>
      <c r="J194" s="36"/>
      <c r="T194" s="35"/>
    </row>
    <row r="195" spans="1:20" s="37" customFormat="1" ht="15.75" customHeight="1" x14ac:dyDescent="0.25">
      <c r="A195" s="122">
        <v>1</v>
      </c>
      <c r="B195" s="123"/>
      <c r="C195" s="42" t="s">
        <v>424</v>
      </c>
      <c r="D195" s="42">
        <v>612</v>
      </c>
      <c r="E195" s="42">
        <v>0</v>
      </c>
      <c r="F195" s="42">
        <f>D195+(IF(E195&lt;201,E195,IF(E195&lt;301,E195/2,E195/3)))</f>
        <v>612</v>
      </c>
      <c r="G195" s="42">
        <v>0</v>
      </c>
      <c r="H195" s="42">
        <f>(F195+(IF(G195&lt;101,G195,IF(G195&lt;201,G195/2,IF(G195&lt;=301,G195/3,G195/4)))))*(($H$145)+1)</f>
        <v>918</v>
      </c>
      <c r="I195" s="36"/>
      <c r="K195" s="42">
        <f>(7.97*4.91+1.5*3.41+1.5*3.26+1.35*1.35)*10.764</f>
        <v>548.53559280000002</v>
      </c>
      <c r="L195" s="253"/>
      <c r="M195" s="253"/>
      <c r="N195" s="36"/>
      <c r="T195" s="35"/>
    </row>
    <row r="196" spans="1:20" s="37" customFormat="1" ht="15.75" customHeight="1" x14ac:dyDescent="0.25">
      <c r="A196" s="122">
        <f>A195+1</f>
        <v>2</v>
      </c>
      <c r="B196" s="123"/>
      <c r="C196" s="42" t="s">
        <v>424</v>
      </c>
      <c r="D196" s="42">
        <v>591</v>
      </c>
      <c r="E196" s="42">
        <v>0</v>
      </c>
      <c r="F196" s="42">
        <f>D196+(IF(E196&lt;201,E196,IF(E196&lt;301,E196/2,E196/3)))</f>
        <v>591</v>
      </c>
      <c r="G196" s="42">
        <v>0</v>
      </c>
      <c r="H196" s="42">
        <f>(F196+(IF(G196&lt;101,G196,IF(G196&lt;201,G196/2,IF(G196&lt;=301,G196/3,G196/4)))))*(($H$145)+1)</f>
        <v>886.5</v>
      </c>
      <c r="I196" s="36">
        <f>2.85*3.25+8.12*4.9+1.2*1.5</f>
        <v>50.850499999999997</v>
      </c>
      <c r="K196" s="42">
        <f>(2.85*3.26+8.12*4.91+1.2*1.5)*10.764</f>
        <v>548.53559280000002</v>
      </c>
      <c r="L196" s="253"/>
      <c r="M196" s="253"/>
      <c r="N196" s="36"/>
      <c r="T196" s="34"/>
    </row>
    <row r="197" spans="1:20" s="37" customFormat="1" ht="15.75" customHeight="1" x14ac:dyDescent="0.25">
      <c r="A197" s="122">
        <f>A196+1</f>
        <v>3</v>
      </c>
      <c r="B197" s="123"/>
      <c r="C197" s="42" t="s">
        <v>424</v>
      </c>
      <c r="D197" s="42">
        <v>490</v>
      </c>
      <c r="E197" s="42">
        <v>0</v>
      </c>
      <c r="F197" s="42">
        <f>D197+(IF(E197&lt;201,E197,IF(E197&lt;301,E197/2,E197/3)))</f>
        <v>490</v>
      </c>
      <c r="G197" s="42">
        <v>0</v>
      </c>
      <c r="H197" s="42">
        <f>(F197+(IF(G197&lt;101,G197,IF(G197&lt;201,G197/2,IF(G197&lt;=301,G197/3,G197/4)))))*(($H$145)+1)</f>
        <v>735</v>
      </c>
      <c r="I197" s="36">
        <f>2.85*2.43+8.12*4.08</f>
        <v>40.055099999999996</v>
      </c>
      <c r="K197" s="42">
        <f t="shared" ref="K197:K203" si="21">(2.85*2.43+8.12*4.08+1.2*1.5)*10.764</f>
        <v>450.52829639999987</v>
      </c>
      <c r="L197" s="253"/>
      <c r="M197" s="253"/>
      <c r="N197" s="36"/>
      <c r="T197" s="21"/>
    </row>
    <row r="198" spans="1:20" s="37" customFormat="1" ht="15.75" customHeight="1" x14ac:dyDescent="0.25">
      <c r="A198" s="122">
        <f>A197+1</f>
        <v>4</v>
      </c>
      <c r="B198" s="123"/>
      <c r="C198" s="42" t="s">
        <v>424</v>
      </c>
      <c r="D198" s="42">
        <v>490</v>
      </c>
      <c r="E198" s="42">
        <v>0</v>
      </c>
      <c r="F198" s="42">
        <f t="shared" ref="F198:F207" si="22">D198+(IF(E198&lt;201,E198,IF(E198&lt;301,E198/2,E198/3)))</f>
        <v>490</v>
      </c>
      <c r="G198" s="42">
        <v>0</v>
      </c>
      <c r="H198" s="42">
        <f t="shared" ref="H198:H207" si="23">(F198+(IF(G198&lt;101,G198,IF(G198&lt;201,G198/2,IF(G198&lt;=301,G198/3,G198/4)))))*(($H$145)+1)</f>
        <v>735</v>
      </c>
      <c r="I198" s="36"/>
      <c r="K198" s="42">
        <f t="shared" si="21"/>
        <v>450.52829639999987</v>
      </c>
      <c r="L198" s="253"/>
      <c r="M198" s="253"/>
      <c r="N198" s="36"/>
      <c r="T198" s="21"/>
    </row>
    <row r="199" spans="1:20" s="37" customFormat="1" ht="15.75" customHeight="1" x14ac:dyDescent="0.25">
      <c r="A199" s="122">
        <f t="shared" ref="A199:A211" si="24">A198+1</f>
        <v>5</v>
      </c>
      <c r="B199" s="123"/>
      <c r="C199" s="42" t="s">
        <v>424</v>
      </c>
      <c r="D199" s="42">
        <v>490</v>
      </c>
      <c r="E199" s="42">
        <v>0</v>
      </c>
      <c r="F199" s="42">
        <f t="shared" si="22"/>
        <v>490</v>
      </c>
      <c r="G199" s="42">
        <v>0</v>
      </c>
      <c r="H199" s="42">
        <f t="shared" si="23"/>
        <v>735</v>
      </c>
      <c r="I199" s="36"/>
      <c r="K199" s="42">
        <f t="shared" si="21"/>
        <v>450.52829639999987</v>
      </c>
      <c r="L199" s="253"/>
      <c r="M199" s="253"/>
      <c r="N199" s="36"/>
      <c r="T199" s="21"/>
    </row>
    <row r="200" spans="1:20" s="37" customFormat="1" ht="15.75" customHeight="1" x14ac:dyDescent="0.25">
      <c r="A200" s="122">
        <f t="shared" si="24"/>
        <v>6</v>
      </c>
      <c r="B200" s="123"/>
      <c r="C200" s="42" t="s">
        <v>424</v>
      </c>
      <c r="D200" s="42">
        <v>490</v>
      </c>
      <c r="E200" s="42">
        <v>0</v>
      </c>
      <c r="F200" s="42">
        <f t="shared" si="22"/>
        <v>490</v>
      </c>
      <c r="G200" s="42">
        <v>0</v>
      </c>
      <c r="H200" s="42">
        <f t="shared" si="23"/>
        <v>735</v>
      </c>
      <c r="I200" s="36"/>
      <c r="K200" s="42">
        <f t="shared" si="21"/>
        <v>450.52829639999987</v>
      </c>
      <c r="L200" s="253"/>
      <c r="M200" s="253"/>
      <c r="N200" s="36"/>
      <c r="T200" s="21"/>
    </row>
    <row r="201" spans="1:20" s="37" customFormat="1" ht="15.75" customHeight="1" x14ac:dyDescent="0.25">
      <c r="A201" s="122">
        <f t="shared" si="24"/>
        <v>7</v>
      </c>
      <c r="B201" s="123"/>
      <c r="C201" s="42" t="s">
        <v>424</v>
      </c>
      <c r="D201" s="42">
        <v>490</v>
      </c>
      <c r="E201" s="42">
        <v>0</v>
      </c>
      <c r="F201" s="42">
        <f t="shared" si="22"/>
        <v>490</v>
      </c>
      <c r="G201" s="42">
        <v>0</v>
      </c>
      <c r="H201" s="42">
        <f t="shared" si="23"/>
        <v>735</v>
      </c>
      <c r="I201" s="36"/>
      <c r="K201" s="42">
        <f t="shared" si="21"/>
        <v>450.52829639999987</v>
      </c>
      <c r="L201" s="253"/>
      <c r="M201" s="253"/>
      <c r="N201" s="36"/>
      <c r="T201" s="21"/>
    </row>
    <row r="202" spans="1:20" s="37" customFormat="1" ht="15.75" customHeight="1" x14ac:dyDescent="0.25">
      <c r="A202" s="122">
        <f t="shared" si="24"/>
        <v>8</v>
      </c>
      <c r="B202" s="123"/>
      <c r="C202" s="42" t="s">
        <v>424</v>
      </c>
      <c r="D202" s="42">
        <v>490</v>
      </c>
      <c r="E202" s="42">
        <v>0</v>
      </c>
      <c r="F202" s="42">
        <f t="shared" si="22"/>
        <v>490</v>
      </c>
      <c r="G202" s="42">
        <v>0</v>
      </c>
      <c r="H202" s="42">
        <f t="shared" si="23"/>
        <v>735</v>
      </c>
      <c r="I202" s="36"/>
      <c r="K202" s="42">
        <f t="shared" si="21"/>
        <v>450.52829639999987</v>
      </c>
      <c r="L202" s="253"/>
      <c r="M202" s="253"/>
      <c r="N202" s="36"/>
      <c r="T202" s="21"/>
    </row>
    <row r="203" spans="1:20" s="37" customFormat="1" ht="15.75" customHeight="1" x14ac:dyDescent="0.25">
      <c r="A203" s="122">
        <f t="shared" si="24"/>
        <v>9</v>
      </c>
      <c r="B203" s="123"/>
      <c r="C203" s="42" t="s">
        <v>424</v>
      </c>
      <c r="D203" s="42">
        <v>471</v>
      </c>
      <c r="E203" s="42">
        <v>0</v>
      </c>
      <c r="F203" s="42">
        <f t="shared" si="22"/>
        <v>471</v>
      </c>
      <c r="G203" s="42">
        <v>0</v>
      </c>
      <c r="H203" s="42">
        <f t="shared" si="23"/>
        <v>706.5</v>
      </c>
      <c r="I203" s="36"/>
      <c r="K203" s="42">
        <f t="shared" si="21"/>
        <v>450.52829639999987</v>
      </c>
      <c r="L203" s="253"/>
      <c r="M203" s="253"/>
      <c r="N203" s="36"/>
      <c r="T203" s="21"/>
    </row>
    <row r="204" spans="1:20" s="37" customFormat="1" ht="15.75" customHeight="1" x14ac:dyDescent="0.25">
      <c r="A204" s="122">
        <f t="shared" si="24"/>
        <v>10</v>
      </c>
      <c r="B204" s="123"/>
      <c r="C204" s="42" t="s">
        <v>424</v>
      </c>
      <c r="D204" s="42">
        <v>673</v>
      </c>
      <c r="E204" s="42">
        <v>0</v>
      </c>
      <c r="F204" s="42">
        <f t="shared" si="22"/>
        <v>673</v>
      </c>
      <c r="G204" s="42">
        <v>0</v>
      </c>
      <c r="H204" s="42">
        <f t="shared" si="23"/>
        <v>1009.5</v>
      </c>
      <c r="I204" s="36">
        <f>2.85*3.765+8.12*5.415+1.2*1.5</f>
        <v>56.500049999999995</v>
      </c>
      <c r="K204" s="42">
        <f>(2.85*3.765+8.12*5.415+1.2*1.5)*10.764</f>
        <v>608.16653819999988</v>
      </c>
      <c r="L204" s="253"/>
      <c r="M204" s="253"/>
      <c r="N204" s="36"/>
      <c r="T204" s="21"/>
    </row>
    <row r="205" spans="1:20" s="37" customFormat="1" ht="15.75" customHeight="1" x14ac:dyDescent="0.25">
      <c r="A205" s="122">
        <f t="shared" si="24"/>
        <v>11</v>
      </c>
      <c r="B205" s="123"/>
      <c r="C205" s="42" t="s">
        <v>424</v>
      </c>
      <c r="D205" s="42">
        <v>756</v>
      </c>
      <c r="E205" s="42">
        <v>0</v>
      </c>
      <c r="F205" s="42">
        <f t="shared" si="22"/>
        <v>756</v>
      </c>
      <c r="G205" s="42">
        <v>0</v>
      </c>
      <c r="H205" s="42">
        <f t="shared" si="23"/>
        <v>1134</v>
      </c>
      <c r="I205" s="36"/>
      <c r="K205" s="42">
        <f>(3.15*4.35+8.01*6+1.5*1.5)*10.764</f>
        <v>689.03054999999995</v>
      </c>
      <c r="L205" s="253"/>
      <c r="M205" s="253"/>
      <c r="N205" s="36"/>
      <c r="T205" s="21"/>
    </row>
    <row r="206" spans="1:20" s="37" customFormat="1" ht="15.75" customHeight="1" x14ac:dyDescent="0.25">
      <c r="A206" s="122">
        <f t="shared" si="24"/>
        <v>12</v>
      </c>
      <c r="B206" s="123"/>
      <c r="C206" s="42" t="s">
        <v>424</v>
      </c>
      <c r="D206" s="42">
        <v>479</v>
      </c>
      <c r="E206" s="42">
        <v>0</v>
      </c>
      <c r="F206" s="42">
        <f t="shared" si="22"/>
        <v>479</v>
      </c>
      <c r="G206" s="42">
        <v>0</v>
      </c>
      <c r="H206" s="42">
        <f t="shared" si="23"/>
        <v>718.5</v>
      </c>
      <c r="I206" s="36"/>
      <c r="K206" s="42">
        <f>(2.85*2.265+8.31*3.915+1.2*1.5)*10.764</f>
        <v>439.05171959999996</v>
      </c>
      <c r="L206" s="253"/>
      <c r="M206" s="253"/>
      <c r="N206" s="36"/>
      <c r="T206" s="21"/>
    </row>
    <row r="207" spans="1:20" s="37" customFormat="1" ht="15.75" customHeight="1" x14ac:dyDescent="0.25">
      <c r="A207" s="122">
        <f t="shared" si="24"/>
        <v>13</v>
      </c>
      <c r="B207" s="123"/>
      <c r="C207" s="42" t="s">
        <v>424</v>
      </c>
      <c r="D207" s="42">
        <v>508</v>
      </c>
      <c r="E207" s="42">
        <v>0</v>
      </c>
      <c r="F207" s="42">
        <f t="shared" si="22"/>
        <v>508</v>
      </c>
      <c r="G207" s="42">
        <v>0</v>
      </c>
      <c r="H207" s="42">
        <f t="shared" si="23"/>
        <v>762</v>
      </c>
      <c r="I207" s="36">
        <f>2.85*2.505+8.31*4.155+1.2*1.5</f>
        <v>43.467300000000002</v>
      </c>
      <c r="K207" s="42">
        <f>(2.85*2.505+8.31*4.155+1.2*1.5)*10.764</f>
        <v>467.88201720000001</v>
      </c>
      <c r="L207" s="253"/>
      <c r="M207" s="253"/>
      <c r="N207" s="36"/>
      <c r="T207" s="21"/>
    </row>
    <row r="208" spans="1:20" s="37" customFormat="1" ht="15.75" customHeight="1" x14ac:dyDescent="0.25">
      <c r="A208" s="122">
        <f t="shared" si="24"/>
        <v>14</v>
      </c>
      <c r="B208" s="123"/>
      <c r="C208" s="42" t="s">
        <v>424</v>
      </c>
      <c r="D208" s="42">
        <v>736</v>
      </c>
      <c r="E208" s="42">
        <v>0</v>
      </c>
      <c r="F208" s="42">
        <f>D208+(IF(E208&lt;201,E208,IF(E208&lt;301,E208/2,E208/3)))</f>
        <v>736</v>
      </c>
      <c r="G208" s="42">
        <v>0</v>
      </c>
      <c r="H208" s="42">
        <f>(F208+(IF(G208&lt;101,G208,IF(G208&lt;201,G208/2,IF(G208&lt;=301,G208/3,G208/4)))))*(($H$145)+1)</f>
        <v>1104</v>
      </c>
      <c r="I208" s="36"/>
      <c r="K208" s="42">
        <f>(8.01*4.17+6.73*2.19+3.15*2.52+3.35*1.58+1.5*1.5)*10.764</f>
        <v>684.8207496</v>
      </c>
      <c r="L208" s="253"/>
      <c r="M208" s="253"/>
      <c r="N208" s="36"/>
      <c r="T208" s="21"/>
    </row>
    <row r="209" spans="1:20" s="37" customFormat="1" ht="15.75" customHeight="1" x14ac:dyDescent="0.25">
      <c r="A209" s="122">
        <f t="shared" si="24"/>
        <v>15</v>
      </c>
      <c r="B209" s="123"/>
      <c r="C209" s="42" t="s">
        <v>424</v>
      </c>
      <c r="D209" s="42">
        <v>498</v>
      </c>
      <c r="E209" s="42">
        <v>0</v>
      </c>
      <c r="F209" s="42">
        <f t="shared" ref="F209:F211" si="25">D209+(IF(E209&lt;201,E209,IF(E209&lt;301,E209/2,E209/3)))</f>
        <v>498</v>
      </c>
      <c r="G209" s="42">
        <v>0</v>
      </c>
      <c r="H209" s="42">
        <f t="shared" ref="H209:H211" si="26">(F209+(IF(G209&lt;101,G209,IF(G209&lt;201,G209/2,IF(G209&lt;=301,G209/3,G209/4)))))*(($H$145)+1)</f>
        <v>747</v>
      </c>
      <c r="I209" s="36"/>
      <c r="K209" s="42">
        <f>(2.85*2.425+8.31*4.075+1.2*1.5)*10.764</f>
        <v>458.27191799999997</v>
      </c>
      <c r="L209" s="253"/>
      <c r="M209" s="253"/>
      <c r="N209" s="36"/>
      <c r="T209" s="21"/>
    </row>
    <row r="210" spans="1:20" s="37" customFormat="1" ht="15.75" customHeight="1" x14ac:dyDescent="0.25">
      <c r="A210" s="122">
        <f t="shared" si="24"/>
        <v>16</v>
      </c>
      <c r="B210" s="123"/>
      <c r="C210" s="42" t="s">
        <v>424</v>
      </c>
      <c r="D210" s="42">
        <v>498</v>
      </c>
      <c r="E210" s="42">
        <v>0</v>
      </c>
      <c r="F210" s="42">
        <f t="shared" si="25"/>
        <v>498</v>
      </c>
      <c r="G210" s="42">
        <v>0</v>
      </c>
      <c r="H210" s="42">
        <f t="shared" si="26"/>
        <v>747</v>
      </c>
      <c r="I210" s="36"/>
      <c r="K210" s="42">
        <f>(1.5*2.325+1.65*2.675+8.01*4.075+1.5*1.25)*10.764</f>
        <v>456.5765879999999</v>
      </c>
      <c r="L210" s="253"/>
      <c r="M210" s="253"/>
      <c r="N210" s="36"/>
      <c r="T210" s="21"/>
    </row>
    <row r="211" spans="1:20" s="37" customFormat="1" ht="15.75" customHeight="1" x14ac:dyDescent="0.25">
      <c r="A211" s="122">
        <f t="shared" si="24"/>
        <v>17</v>
      </c>
      <c r="B211" s="123"/>
      <c r="C211" s="42" t="s">
        <v>424</v>
      </c>
      <c r="D211" s="42">
        <v>869</v>
      </c>
      <c r="E211" s="42">
        <v>0</v>
      </c>
      <c r="F211" s="42">
        <f t="shared" si="25"/>
        <v>869</v>
      </c>
      <c r="G211" s="42">
        <v>0</v>
      </c>
      <c r="H211" s="42">
        <f t="shared" si="26"/>
        <v>1303.5</v>
      </c>
      <c r="I211" s="36">
        <f>11*7</f>
        <v>77</v>
      </c>
      <c r="K211" s="42">
        <f>(9.51*6.81+1.65*5.24+1.5*1.42)*10.764</f>
        <v>813.1028723999998</v>
      </c>
      <c r="L211" s="253"/>
      <c r="M211" s="253"/>
      <c r="N211" s="36"/>
      <c r="T211" s="21"/>
    </row>
    <row r="212" spans="1:20" s="37" customFormat="1" x14ac:dyDescent="0.25">
      <c r="A212" s="124" t="s">
        <v>428</v>
      </c>
      <c r="B212" s="125"/>
      <c r="C212" s="125"/>
      <c r="D212" s="125"/>
      <c r="E212" s="125"/>
      <c r="F212" s="125"/>
      <c r="G212" s="125"/>
      <c r="H212" s="126"/>
      <c r="J212" s="36"/>
      <c r="T212" s="35"/>
    </row>
    <row r="213" spans="1:20" s="37" customFormat="1" ht="15.75" customHeight="1" x14ac:dyDescent="0.25">
      <c r="A213" s="122">
        <v>1</v>
      </c>
      <c r="B213" s="123"/>
      <c r="C213" s="42" t="s">
        <v>424</v>
      </c>
      <c r="D213" s="42">
        <v>612</v>
      </c>
      <c r="E213" s="42">
        <v>0</v>
      </c>
      <c r="F213" s="42">
        <f>D213+(IF(E213&lt;201,E213,IF(E213&lt;301,E213/2,E213/3)))</f>
        <v>612</v>
      </c>
      <c r="G213" s="42">
        <v>0</v>
      </c>
      <c r="H213" s="42">
        <f>(F213+(IF(G213&lt;101,G213,IF(G213&lt;201,G213/2,IF(G213&lt;=301,G213/3,G213/4)))))*(($H$145)+1)</f>
        <v>918</v>
      </c>
      <c r="I213" s="36"/>
      <c r="K213" s="42">
        <f>(7.97*4.91+1.5*3.41+1.5*3.26+1.35*1.35)*10.764</f>
        <v>548.53559280000002</v>
      </c>
      <c r="L213" s="253"/>
      <c r="M213" s="253"/>
      <c r="N213" s="36"/>
      <c r="T213" s="35"/>
    </row>
    <row r="214" spans="1:20" s="37" customFormat="1" ht="15.75" customHeight="1" x14ac:dyDescent="0.25">
      <c r="A214" s="122">
        <f>A213+1</f>
        <v>2</v>
      </c>
      <c r="B214" s="123"/>
      <c r="C214" s="42" t="s">
        <v>424</v>
      </c>
      <c r="D214" s="42">
        <v>591</v>
      </c>
      <c r="E214" s="42">
        <v>0</v>
      </c>
      <c r="F214" s="42">
        <f>D214+(IF(E214&lt;201,E214,IF(E214&lt;301,E214/2,E214/3)))</f>
        <v>591</v>
      </c>
      <c r="G214" s="42">
        <v>0</v>
      </c>
      <c r="H214" s="42">
        <f>(F214+(IF(G214&lt;101,G214,IF(G214&lt;201,G214/2,IF(G214&lt;=301,G214/3,G214/4)))))*(($H$145)+1)</f>
        <v>886.5</v>
      </c>
      <c r="I214" s="36"/>
      <c r="K214" s="42">
        <f>(2.85*3.26+8.12*4.91+1.2*1.5)*10.764</f>
        <v>548.53559280000002</v>
      </c>
      <c r="L214" s="253"/>
      <c r="M214" s="253"/>
      <c r="N214" s="36"/>
      <c r="T214" s="34"/>
    </row>
    <row r="215" spans="1:20" s="37" customFormat="1" ht="15.75" customHeight="1" x14ac:dyDescent="0.25">
      <c r="A215" s="122">
        <f>A214+1</f>
        <v>3</v>
      </c>
      <c r="B215" s="123"/>
      <c r="C215" s="42" t="s">
        <v>424</v>
      </c>
      <c r="D215" s="42">
        <v>490</v>
      </c>
      <c r="E215" s="42">
        <v>0</v>
      </c>
      <c r="F215" s="42">
        <f>D215+(IF(E215&lt;201,E215,IF(E215&lt;301,E215/2,E215/3)))</f>
        <v>490</v>
      </c>
      <c r="G215" s="42">
        <v>0</v>
      </c>
      <c r="H215" s="42">
        <f>(F215+(IF(G215&lt;101,G215,IF(G215&lt;201,G215/2,IF(G215&lt;=301,G215/3,G215/4)))))*(($H$145)+1)</f>
        <v>735</v>
      </c>
      <c r="I215" s="36"/>
      <c r="K215" s="42">
        <f t="shared" ref="K215:K221" si="27">(2.85*2.43+8.12*4.08+1.2*1.5)*10.764</f>
        <v>450.52829639999987</v>
      </c>
      <c r="L215" s="253"/>
      <c r="M215" s="253"/>
      <c r="N215" s="36"/>
      <c r="T215" s="21"/>
    </row>
    <row r="216" spans="1:20" s="37" customFormat="1" ht="15.75" customHeight="1" x14ac:dyDescent="0.25">
      <c r="A216" s="122">
        <f t="shared" ref="A216:A229" si="28">A215+1</f>
        <v>4</v>
      </c>
      <c r="B216" s="123"/>
      <c r="C216" s="42" t="s">
        <v>424</v>
      </c>
      <c r="D216" s="42">
        <v>490</v>
      </c>
      <c r="E216" s="42">
        <v>0</v>
      </c>
      <c r="F216" s="42">
        <f t="shared" ref="F216:F225" si="29">D216+(IF(E216&lt;201,E216,IF(E216&lt;301,E216/2,E216/3)))</f>
        <v>490</v>
      </c>
      <c r="G216" s="42">
        <v>0</v>
      </c>
      <c r="H216" s="42">
        <f t="shared" ref="H216:H225" si="30">(F216+(IF(G216&lt;101,G216,IF(G216&lt;201,G216/2,IF(G216&lt;=301,G216/3,G216/4)))))*(($H$145)+1)</f>
        <v>735</v>
      </c>
      <c r="I216" s="36"/>
      <c r="K216" s="42">
        <f t="shared" si="27"/>
        <v>450.52829639999987</v>
      </c>
      <c r="L216" s="253"/>
      <c r="M216" s="253"/>
      <c r="N216" s="36"/>
      <c r="T216" s="21"/>
    </row>
    <row r="217" spans="1:20" s="37" customFormat="1" ht="15.75" customHeight="1" x14ac:dyDescent="0.25">
      <c r="A217" s="122">
        <f t="shared" si="28"/>
        <v>5</v>
      </c>
      <c r="B217" s="123"/>
      <c r="C217" s="42" t="s">
        <v>424</v>
      </c>
      <c r="D217" s="42">
        <v>490</v>
      </c>
      <c r="E217" s="42">
        <v>0</v>
      </c>
      <c r="F217" s="42">
        <f t="shared" si="29"/>
        <v>490</v>
      </c>
      <c r="G217" s="42">
        <v>0</v>
      </c>
      <c r="H217" s="42">
        <f t="shared" si="30"/>
        <v>735</v>
      </c>
      <c r="I217" s="36"/>
      <c r="K217" s="42">
        <f t="shared" si="27"/>
        <v>450.52829639999987</v>
      </c>
      <c r="L217" s="253"/>
      <c r="M217" s="253"/>
      <c r="N217" s="36"/>
      <c r="T217" s="21"/>
    </row>
    <row r="218" spans="1:20" s="37" customFormat="1" ht="15.75" customHeight="1" x14ac:dyDescent="0.25">
      <c r="A218" s="122">
        <f t="shared" si="28"/>
        <v>6</v>
      </c>
      <c r="B218" s="123"/>
      <c r="C218" s="42" t="s">
        <v>424</v>
      </c>
      <c r="D218" s="42">
        <v>490</v>
      </c>
      <c r="E218" s="42">
        <v>0</v>
      </c>
      <c r="F218" s="42">
        <f t="shared" si="29"/>
        <v>490</v>
      </c>
      <c r="G218" s="42">
        <v>0</v>
      </c>
      <c r="H218" s="42">
        <f t="shared" si="30"/>
        <v>735</v>
      </c>
      <c r="I218" s="36"/>
      <c r="K218" s="42">
        <f t="shared" si="27"/>
        <v>450.52829639999987</v>
      </c>
      <c r="L218" s="253"/>
      <c r="M218" s="253"/>
      <c r="N218" s="36"/>
      <c r="T218" s="21"/>
    </row>
    <row r="219" spans="1:20" s="37" customFormat="1" ht="15.75" customHeight="1" x14ac:dyDescent="0.25">
      <c r="A219" s="122">
        <f t="shared" si="28"/>
        <v>7</v>
      </c>
      <c r="B219" s="123"/>
      <c r="C219" s="42" t="s">
        <v>424</v>
      </c>
      <c r="D219" s="42">
        <v>490</v>
      </c>
      <c r="E219" s="42">
        <v>0</v>
      </c>
      <c r="F219" s="42">
        <f t="shared" si="29"/>
        <v>490</v>
      </c>
      <c r="G219" s="42">
        <v>0</v>
      </c>
      <c r="H219" s="42">
        <f t="shared" si="30"/>
        <v>735</v>
      </c>
      <c r="I219" s="36"/>
      <c r="K219" s="42">
        <f t="shared" si="27"/>
        <v>450.52829639999987</v>
      </c>
      <c r="L219" s="253"/>
      <c r="M219" s="253"/>
      <c r="N219" s="36"/>
      <c r="T219" s="21"/>
    </row>
    <row r="220" spans="1:20" s="37" customFormat="1" ht="15.75" customHeight="1" x14ac:dyDescent="0.25">
      <c r="A220" s="122">
        <f t="shared" si="28"/>
        <v>8</v>
      </c>
      <c r="B220" s="123"/>
      <c r="C220" s="42" t="s">
        <v>424</v>
      </c>
      <c r="D220" s="42">
        <v>490</v>
      </c>
      <c r="E220" s="42">
        <v>0</v>
      </c>
      <c r="F220" s="42">
        <f t="shared" si="29"/>
        <v>490</v>
      </c>
      <c r="G220" s="42">
        <v>0</v>
      </c>
      <c r="H220" s="42">
        <f t="shared" si="30"/>
        <v>735</v>
      </c>
      <c r="I220" s="36"/>
      <c r="J220" s="107">
        <v>0.44027777777777777</v>
      </c>
      <c r="K220" s="42">
        <f t="shared" si="27"/>
        <v>450.52829639999987</v>
      </c>
      <c r="L220" s="282">
        <f>K220-J220</f>
        <v>450.08801862222208</v>
      </c>
      <c r="M220" s="253"/>
      <c r="N220" s="36"/>
      <c r="T220" s="21"/>
    </row>
    <row r="221" spans="1:20" s="37" customFormat="1" ht="15.75" customHeight="1" x14ac:dyDescent="0.25">
      <c r="A221" s="122">
        <f t="shared" si="28"/>
        <v>9</v>
      </c>
      <c r="B221" s="123"/>
      <c r="C221" s="42" t="s">
        <v>424</v>
      </c>
      <c r="D221" s="42">
        <v>471</v>
      </c>
      <c r="E221" s="42">
        <v>0</v>
      </c>
      <c r="F221" s="42">
        <f t="shared" si="29"/>
        <v>471</v>
      </c>
      <c r="G221" s="42">
        <v>0</v>
      </c>
      <c r="H221" s="42">
        <f t="shared" si="30"/>
        <v>706.5</v>
      </c>
      <c r="I221" s="36"/>
      <c r="K221" s="42">
        <f t="shared" si="27"/>
        <v>450.52829639999987</v>
      </c>
      <c r="L221" s="253"/>
      <c r="M221" s="253"/>
      <c r="N221" s="36"/>
      <c r="T221" s="21"/>
    </row>
    <row r="222" spans="1:20" s="37" customFormat="1" ht="15.75" customHeight="1" x14ac:dyDescent="0.25">
      <c r="A222" s="122">
        <f t="shared" si="28"/>
        <v>10</v>
      </c>
      <c r="B222" s="123"/>
      <c r="C222" s="42" t="s">
        <v>424</v>
      </c>
      <c r="D222" s="42">
        <v>673</v>
      </c>
      <c r="E222" s="42">
        <v>0</v>
      </c>
      <c r="F222" s="42">
        <f t="shared" si="29"/>
        <v>673</v>
      </c>
      <c r="G222" s="42">
        <v>0</v>
      </c>
      <c r="H222" s="42">
        <f t="shared" si="30"/>
        <v>1009.5</v>
      </c>
      <c r="I222" s="36"/>
      <c r="K222" s="42">
        <f>(2.85*3.765+8.12*5.415+1.2*1.5)*10.764</f>
        <v>608.16653819999988</v>
      </c>
      <c r="L222" s="253"/>
      <c r="M222" s="253"/>
      <c r="N222" s="36"/>
      <c r="T222" s="21"/>
    </row>
    <row r="223" spans="1:20" s="37" customFormat="1" ht="15.75" customHeight="1" x14ac:dyDescent="0.25">
      <c r="A223" s="122">
        <f t="shared" si="28"/>
        <v>11</v>
      </c>
      <c r="B223" s="123"/>
      <c r="C223" s="42" t="s">
        <v>424</v>
      </c>
      <c r="D223" s="42">
        <v>756</v>
      </c>
      <c r="E223" s="42">
        <v>0</v>
      </c>
      <c r="F223" s="42">
        <f t="shared" si="29"/>
        <v>756</v>
      </c>
      <c r="G223" s="42">
        <v>0</v>
      </c>
      <c r="H223" s="42">
        <f t="shared" si="30"/>
        <v>1134</v>
      </c>
      <c r="I223" s="36"/>
      <c r="K223" s="42">
        <f>(3.15*4.35+8.01*6+1.5*1.5)*10.764</f>
        <v>689.03054999999995</v>
      </c>
      <c r="L223" s="253"/>
      <c r="M223" s="253"/>
      <c r="N223" s="36"/>
      <c r="T223" s="21"/>
    </row>
    <row r="224" spans="1:20" s="37" customFormat="1" ht="15.75" customHeight="1" x14ac:dyDescent="0.25">
      <c r="A224" s="122">
        <f t="shared" si="28"/>
        <v>12</v>
      </c>
      <c r="B224" s="123"/>
      <c r="C224" s="42" t="s">
        <v>424</v>
      </c>
      <c r="D224" s="42">
        <v>479</v>
      </c>
      <c r="E224" s="42">
        <v>0</v>
      </c>
      <c r="F224" s="42">
        <f t="shared" si="29"/>
        <v>479</v>
      </c>
      <c r="G224" s="42">
        <v>0</v>
      </c>
      <c r="H224" s="42">
        <f t="shared" si="30"/>
        <v>718.5</v>
      </c>
      <c r="I224" s="36"/>
      <c r="K224" s="42">
        <f>(2.85*2.265+8.31*3.915+1.2*1.5)*10.764</f>
        <v>439.05171959999996</v>
      </c>
      <c r="L224" s="253"/>
      <c r="M224" s="253"/>
      <c r="N224" s="36"/>
      <c r="T224" s="21"/>
    </row>
    <row r="225" spans="1:20" s="37" customFormat="1" ht="15.75" customHeight="1" x14ac:dyDescent="0.25">
      <c r="A225" s="122">
        <f t="shared" si="28"/>
        <v>13</v>
      </c>
      <c r="B225" s="123"/>
      <c r="C225" s="42" t="s">
        <v>424</v>
      </c>
      <c r="D225" s="42">
        <v>508</v>
      </c>
      <c r="E225" s="42">
        <v>0</v>
      </c>
      <c r="F225" s="42">
        <f t="shared" si="29"/>
        <v>508</v>
      </c>
      <c r="G225" s="42">
        <v>0</v>
      </c>
      <c r="H225" s="42">
        <f t="shared" si="30"/>
        <v>762</v>
      </c>
      <c r="I225" s="36"/>
      <c r="K225" s="42">
        <f>(2.85*2.505+8.31*4.155+1.2*1.5)*10.764</f>
        <v>467.88201720000001</v>
      </c>
      <c r="L225" s="253"/>
      <c r="M225" s="253"/>
      <c r="N225" s="36"/>
      <c r="T225" s="21"/>
    </row>
    <row r="226" spans="1:20" s="37" customFormat="1" ht="15.75" customHeight="1" x14ac:dyDescent="0.25">
      <c r="A226" s="122">
        <f t="shared" si="28"/>
        <v>14</v>
      </c>
      <c r="B226" s="123"/>
      <c r="C226" s="42" t="s">
        <v>424</v>
      </c>
      <c r="D226" s="42">
        <v>736</v>
      </c>
      <c r="E226" s="42">
        <v>0</v>
      </c>
      <c r="F226" s="42">
        <f>D226+(IF(E226&lt;201,E226,IF(E226&lt;301,E226/2,E226/3)))</f>
        <v>736</v>
      </c>
      <c r="G226" s="42">
        <v>0</v>
      </c>
      <c r="H226" s="42">
        <f>(F226+(IF(G226&lt;101,G226,IF(G226&lt;201,G226/2,IF(G226&lt;=301,G226/3,G226/4)))))*(($H$145)+1)</f>
        <v>1104</v>
      </c>
      <c r="I226" s="36"/>
      <c r="K226" s="42">
        <f>(8.01*4.17+6.73*2.19+3.15*2.52+3.35*1.58+1.5*1.5)*10.764</f>
        <v>684.8207496</v>
      </c>
      <c r="L226" s="253"/>
      <c r="M226" s="253"/>
      <c r="N226" s="36"/>
      <c r="T226" s="21"/>
    </row>
    <row r="227" spans="1:20" s="37" customFormat="1" ht="15.75" customHeight="1" x14ac:dyDescent="0.25">
      <c r="A227" s="122">
        <f t="shared" si="28"/>
        <v>15</v>
      </c>
      <c r="B227" s="123"/>
      <c r="C227" s="42" t="s">
        <v>424</v>
      </c>
      <c r="D227" s="42">
        <v>498</v>
      </c>
      <c r="E227" s="42">
        <v>0</v>
      </c>
      <c r="F227" s="42">
        <f t="shared" ref="F227:F228" si="31">D227+(IF(E227&lt;201,E227,IF(E227&lt;301,E227/2,E227/3)))</f>
        <v>498</v>
      </c>
      <c r="G227" s="42">
        <v>0</v>
      </c>
      <c r="H227" s="42">
        <f t="shared" ref="H227:H228" si="32">(F227+(IF(G227&lt;101,G227,IF(G227&lt;201,G227/2,IF(G227&lt;=301,G227/3,G227/4)))))*(($H$145)+1)</f>
        <v>747</v>
      </c>
      <c r="I227" s="36"/>
      <c r="K227" s="42">
        <f>(2.85*2.425+8.31*4.075+1.2*1.5)*10.764</f>
        <v>458.27191799999997</v>
      </c>
      <c r="L227" s="253"/>
      <c r="M227" s="253"/>
      <c r="N227" s="36"/>
      <c r="T227" s="21"/>
    </row>
    <row r="228" spans="1:20" s="37" customFormat="1" ht="15.75" customHeight="1" x14ac:dyDescent="0.25">
      <c r="A228" s="122">
        <f t="shared" si="28"/>
        <v>16</v>
      </c>
      <c r="B228" s="123"/>
      <c r="C228" s="42" t="s">
        <v>424</v>
      </c>
      <c r="D228" s="42">
        <v>498</v>
      </c>
      <c r="E228" s="42">
        <v>0</v>
      </c>
      <c r="F228" s="42">
        <f t="shared" si="31"/>
        <v>498</v>
      </c>
      <c r="G228" s="42">
        <v>0</v>
      </c>
      <c r="H228" s="42">
        <f t="shared" si="32"/>
        <v>747</v>
      </c>
      <c r="I228" s="36"/>
      <c r="K228" s="42">
        <f>(1.5*2.325+1.65*2.675+8.01*4.075+1.5*1.25)*10.764</f>
        <v>456.5765879999999</v>
      </c>
      <c r="L228" s="253"/>
      <c r="M228" s="253"/>
      <c r="N228" s="36"/>
      <c r="T228" s="21"/>
    </row>
    <row r="229" spans="1:20" s="37" customFormat="1" ht="15.75" customHeight="1" x14ac:dyDescent="0.25">
      <c r="A229" s="122">
        <f t="shared" si="28"/>
        <v>17</v>
      </c>
      <c r="B229" s="123"/>
      <c r="C229" s="122" t="s">
        <v>429</v>
      </c>
      <c r="D229" s="156"/>
      <c r="E229" s="156"/>
      <c r="F229" s="156"/>
      <c r="G229" s="156"/>
      <c r="H229" s="123"/>
      <c r="I229" s="36"/>
      <c r="L229" s="253"/>
      <c r="M229" s="253"/>
      <c r="N229" s="36"/>
      <c r="T229" s="21"/>
    </row>
    <row r="230" spans="1:20" s="37" customFormat="1" x14ac:dyDescent="0.25">
      <c r="A230" s="124" t="s">
        <v>430</v>
      </c>
      <c r="B230" s="125"/>
      <c r="C230" s="125"/>
      <c r="D230" s="125"/>
      <c r="E230" s="125"/>
      <c r="F230" s="125"/>
      <c r="G230" s="125"/>
      <c r="H230" s="126"/>
      <c r="J230" s="36"/>
      <c r="T230" s="35"/>
    </row>
    <row r="231" spans="1:20" s="37" customFormat="1" ht="15.75" customHeight="1" x14ac:dyDescent="0.25">
      <c r="A231" s="42">
        <v>1</v>
      </c>
      <c r="B231" s="42">
        <v>1</v>
      </c>
      <c r="C231" s="42" t="s">
        <v>424</v>
      </c>
      <c r="D231" s="42">
        <v>1177</v>
      </c>
      <c r="E231" s="42">
        <v>0</v>
      </c>
      <c r="F231" s="42">
        <f>D231+(IF(E231&lt;201,E231,IF(E231&lt;301,E231/2,E231/3)))</f>
        <v>1177</v>
      </c>
      <c r="G231" s="42">
        <v>0</v>
      </c>
      <c r="H231" s="42">
        <f>(F231+(IF(G231&lt;101,G231,IF(G231&lt;201,G231/2,IF(G231&lt;=301,G231/3,G231/4)))))*(($H$145)+1)</f>
        <v>1765.5</v>
      </c>
      <c r="I231" s="36"/>
      <c r="K231" s="42">
        <f>(9.47*6.82+6.62*1.65+1.2*1.5)*10.764</f>
        <v>832.14761759999999</v>
      </c>
      <c r="L231" s="253"/>
      <c r="M231" s="253"/>
      <c r="N231" s="42">
        <f>(1.5*(9.77+10.05))*10.764</f>
        <v>320.01371999999998</v>
      </c>
      <c r="T231" s="35"/>
    </row>
    <row r="232" spans="1:20" s="37" customFormat="1" ht="15.75" customHeight="1" x14ac:dyDescent="0.25">
      <c r="A232" s="42">
        <v>3</v>
      </c>
      <c r="B232" s="42">
        <f>B231+1</f>
        <v>2</v>
      </c>
      <c r="C232" s="42" t="s">
        <v>424</v>
      </c>
      <c r="D232" s="42">
        <v>481</v>
      </c>
      <c r="E232" s="42">
        <v>0</v>
      </c>
      <c r="F232" s="42">
        <f>D232+(IF(E232&lt;201,E232,IF(E232&lt;301,E232/2,E232/3)))</f>
        <v>481</v>
      </c>
      <c r="G232" s="42">
        <v>0</v>
      </c>
      <c r="H232" s="42">
        <f>(F232+(IF(G232&lt;101,G232,IF(G232&lt;201,G232/2,IF(G232&lt;=301,G232/3,G232/4)))))*(($H$145)+1)</f>
        <v>721.5</v>
      </c>
      <c r="I232" s="36"/>
      <c r="K232" s="42">
        <f>(2.85*2.43+6.62*4.08+1.2*1.5)*10.764</f>
        <v>384.6526164</v>
      </c>
      <c r="L232" s="253"/>
      <c r="M232" s="253"/>
      <c r="N232" s="42">
        <f t="shared" ref="N232:N238" si="33">(1.5*4.1)*10.764</f>
        <v>66.198599999999985</v>
      </c>
      <c r="T232" s="21"/>
    </row>
    <row r="233" spans="1:20" s="37" customFormat="1" ht="15.75" customHeight="1" x14ac:dyDescent="0.25">
      <c r="A233" s="42">
        <f t="shared" ref="A233:B246" si="34">A232+1</f>
        <v>4</v>
      </c>
      <c r="B233" s="42">
        <f t="shared" si="34"/>
        <v>3</v>
      </c>
      <c r="C233" s="42" t="s">
        <v>424</v>
      </c>
      <c r="D233" s="42">
        <v>481</v>
      </c>
      <c r="E233" s="42">
        <v>0</v>
      </c>
      <c r="F233" s="42">
        <f t="shared" ref="F233:F242" si="35">D233+(IF(E233&lt;201,E233,IF(E233&lt;301,E233/2,E233/3)))</f>
        <v>481</v>
      </c>
      <c r="G233" s="42">
        <v>0</v>
      </c>
      <c r="H233" s="42">
        <f t="shared" ref="H233:H242" si="36">(F233+(IF(G233&lt;101,G233,IF(G233&lt;201,G233/2,IF(G233&lt;=301,G233/3,G233/4)))))*(($H$145)+1)</f>
        <v>721.5</v>
      </c>
      <c r="I233" s="36"/>
      <c r="K233" s="42">
        <f>(2.85*2.425+6.62*4.075+1.2*1.5)*10.764</f>
        <v>384.14294100000001</v>
      </c>
      <c r="L233" s="253"/>
      <c r="M233" s="253"/>
      <c r="N233" s="42">
        <f t="shared" si="33"/>
        <v>66.198599999999985</v>
      </c>
      <c r="T233" s="21"/>
    </row>
    <row r="234" spans="1:20" s="37" customFormat="1" ht="15.75" customHeight="1" x14ac:dyDescent="0.25">
      <c r="A234" s="42">
        <f t="shared" si="34"/>
        <v>5</v>
      </c>
      <c r="B234" s="42">
        <f t="shared" si="34"/>
        <v>4</v>
      </c>
      <c r="C234" s="42" t="s">
        <v>424</v>
      </c>
      <c r="D234" s="42">
        <v>481</v>
      </c>
      <c r="E234" s="42">
        <v>0</v>
      </c>
      <c r="F234" s="42">
        <f t="shared" si="35"/>
        <v>481</v>
      </c>
      <c r="G234" s="42">
        <v>0</v>
      </c>
      <c r="H234" s="42">
        <f t="shared" si="36"/>
        <v>721.5</v>
      </c>
      <c r="I234" s="36"/>
      <c r="K234" s="42">
        <f>(2.85*2.425+6.62*4.075+1.2*1.5)*10.764</f>
        <v>384.14294100000001</v>
      </c>
      <c r="L234" s="253"/>
      <c r="M234" s="253"/>
      <c r="N234" s="42">
        <f t="shared" si="33"/>
        <v>66.198599999999985</v>
      </c>
      <c r="T234" s="21"/>
    </row>
    <row r="235" spans="1:20" s="37" customFormat="1" ht="15.75" customHeight="1" x14ac:dyDescent="0.25">
      <c r="A235" s="42">
        <f t="shared" si="34"/>
        <v>6</v>
      </c>
      <c r="B235" s="42">
        <f t="shared" si="34"/>
        <v>5</v>
      </c>
      <c r="C235" s="42" t="s">
        <v>424</v>
      </c>
      <c r="D235" s="42">
        <v>481</v>
      </c>
      <c r="E235" s="42">
        <v>0</v>
      </c>
      <c r="F235" s="42">
        <f t="shared" si="35"/>
        <v>481</v>
      </c>
      <c r="G235" s="42">
        <v>0</v>
      </c>
      <c r="H235" s="42">
        <f t="shared" si="36"/>
        <v>721.5</v>
      </c>
      <c r="I235" s="36"/>
      <c r="K235" s="42">
        <f>(3.15*2.425+6.32*4.075+1.5*1.5)*10.764</f>
        <v>383.65856099999996</v>
      </c>
      <c r="L235" s="253"/>
      <c r="M235" s="253"/>
      <c r="N235" s="42">
        <f t="shared" si="33"/>
        <v>66.198599999999985</v>
      </c>
      <c r="T235" s="21"/>
    </row>
    <row r="236" spans="1:20" s="37" customFormat="1" ht="15.75" customHeight="1" x14ac:dyDescent="0.25">
      <c r="A236" s="42">
        <f t="shared" si="34"/>
        <v>7</v>
      </c>
      <c r="B236" s="42">
        <f t="shared" si="34"/>
        <v>6</v>
      </c>
      <c r="C236" s="42" t="s">
        <v>424</v>
      </c>
      <c r="D236" s="42">
        <v>481</v>
      </c>
      <c r="E236" s="42">
        <v>0</v>
      </c>
      <c r="F236" s="42">
        <f t="shared" si="35"/>
        <v>481</v>
      </c>
      <c r="G236" s="42">
        <v>0</v>
      </c>
      <c r="H236" s="42">
        <f t="shared" si="36"/>
        <v>721.5</v>
      </c>
      <c r="I236" s="36"/>
      <c r="K236" s="42">
        <f>(3.15*2.425+6.32*4.075+1.5*1.5)*10.764</f>
        <v>383.65856099999996</v>
      </c>
      <c r="L236" s="253"/>
      <c r="M236" s="253"/>
      <c r="N236" s="42">
        <f t="shared" si="33"/>
        <v>66.198599999999985</v>
      </c>
      <c r="T236" s="21"/>
    </row>
    <row r="237" spans="1:20" s="37" customFormat="1" ht="15.75" customHeight="1" x14ac:dyDescent="0.25">
      <c r="A237" s="42">
        <f t="shared" si="34"/>
        <v>8</v>
      </c>
      <c r="B237" s="42">
        <f t="shared" si="34"/>
        <v>7</v>
      </c>
      <c r="C237" s="42" t="s">
        <v>424</v>
      </c>
      <c r="D237" s="42">
        <v>481</v>
      </c>
      <c r="E237" s="42">
        <v>0</v>
      </c>
      <c r="F237" s="42">
        <f t="shared" si="35"/>
        <v>481</v>
      </c>
      <c r="G237" s="42">
        <v>0</v>
      </c>
      <c r="H237" s="42">
        <f t="shared" si="36"/>
        <v>721.5</v>
      </c>
      <c r="I237" s="36"/>
      <c r="K237" s="42">
        <f>(3.15*2.425+6.32*4.075+1.5*1.5)*10.764</f>
        <v>383.65856099999996</v>
      </c>
      <c r="L237" s="253"/>
      <c r="M237" s="253"/>
      <c r="N237" s="42">
        <f t="shared" si="33"/>
        <v>66.198599999999985</v>
      </c>
      <c r="T237" s="21"/>
    </row>
    <row r="238" spans="1:20" s="37" customFormat="1" ht="15.75" customHeight="1" x14ac:dyDescent="0.25">
      <c r="A238" s="42">
        <f t="shared" si="34"/>
        <v>9</v>
      </c>
      <c r="B238" s="42">
        <f t="shared" ref="B238" si="37">B237+1</f>
        <v>8</v>
      </c>
      <c r="C238" s="42" t="s">
        <v>424</v>
      </c>
      <c r="D238" s="42">
        <v>463</v>
      </c>
      <c r="E238" s="42">
        <v>0</v>
      </c>
      <c r="F238" s="42">
        <f t="shared" si="35"/>
        <v>463</v>
      </c>
      <c r="G238" s="42">
        <v>0</v>
      </c>
      <c r="H238" s="42">
        <f t="shared" si="36"/>
        <v>694.5</v>
      </c>
      <c r="I238" s="36"/>
      <c r="K238" s="42">
        <f>(3.15*2.425+6.32*4.075+1.5*1.5)*10.764</f>
        <v>383.65856099999996</v>
      </c>
      <c r="L238" s="282">
        <v>0.44027777777777777</v>
      </c>
      <c r="M238" s="253"/>
      <c r="N238" s="42">
        <f t="shared" si="33"/>
        <v>66.198599999999985</v>
      </c>
      <c r="T238" s="21"/>
    </row>
    <row r="239" spans="1:20" s="37" customFormat="1" ht="15.75" customHeight="1" x14ac:dyDescent="0.25">
      <c r="A239" s="42">
        <f t="shared" si="34"/>
        <v>10</v>
      </c>
      <c r="B239" s="42">
        <f t="shared" ref="B239" si="38">B238+1</f>
        <v>9</v>
      </c>
      <c r="C239" s="42" t="s">
        <v>424</v>
      </c>
      <c r="D239" s="42">
        <v>660</v>
      </c>
      <c r="E239" s="42">
        <v>0</v>
      </c>
      <c r="F239" s="42">
        <f t="shared" si="35"/>
        <v>660</v>
      </c>
      <c r="G239" s="42">
        <v>0</v>
      </c>
      <c r="H239" s="42">
        <f t="shared" si="36"/>
        <v>990</v>
      </c>
      <c r="I239" s="36"/>
      <c r="K239" s="42">
        <f>(2.85*3.765+6.62*5.415+1.2*1.5)*10.764</f>
        <v>520.73594819999994</v>
      </c>
      <c r="L239" s="282">
        <v>0.7895833333333333</v>
      </c>
      <c r="M239" s="253"/>
      <c r="N239" s="42">
        <f>(1.5*5.5)*10.764</f>
        <v>88.802999999999997</v>
      </c>
      <c r="T239" s="21"/>
    </row>
    <row r="240" spans="1:20" s="37" customFormat="1" ht="15.75" customHeight="1" x14ac:dyDescent="0.25">
      <c r="A240" s="42">
        <f t="shared" si="34"/>
        <v>11</v>
      </c>
      <c r="B240" s="42">
        <f t="shared" ref="B240" si="39">B239+1</f>
        <v>10</v>
      </c>
      <c r="C240" s="42" t="s">
        <v>424</v>
      </c>
      <c r="D240" s="42">
        <v>737</v>
      </c>
      <c r="E240" s="42">
        <v>0</v>
      </c>
      <c r="F240" s="42">
        <f t="shared" si="35"/>
        <v>737</v>
      </c>
      <c r="G240" s="42">
        <v>0</v>
      </c>
      <c r="H240" s="42">
        <f t="shared" si="36"/>
        <v>1105.5</v>
      </c>
      <c r="I240" s="36"/>
      <c r="K240" s="42">
        <f>(3.15*4.35+6.51*6+1.5*1.5)*10.764</f>
        <v>592.15454999999997</v>
      </c>
      <c r="L240" s="282">
        <f>L239-L238</f>
        <v>0.34930555555555554</v>
      </c>
      <c r="M240" s="253"/>
      <c r="N240" s="42">
        <f>(1.5*6)*10.764</f>
        <v>96.875999999999991</v>
      </c>
      <c r="T240" s="21"/>
    </row>
    <row r="241" spans="1:20" s="37" customFormat="1" ht="15.75" customHeight="1" x14ac:dyDescent="0.25">
      <c r="A241" s="42">
        <f t="shared" si="34"/>
        <v>12</v>
      </c>
      <c r="B241" s="42">
        <f t="shared" ref="B241:B242" si="40">B240+1</f>
        <v>11</v>
      </c>
      <c r="C241" s="42" t="s">
        <v>424</v>
      </c>
      <c r="D241" s="42">
        <v>471</v>
      </c>
      <c r="E241" s="42">
        <v>0</v>
      </c>
      <c r="F241" s="42">
        <f t="shared" si="35"/>
        <v>471</v>
      </c>
      <c r="G241" s="42">
        <v>0</v>
      </c>
      <c r="H241" s="42">
        <f t="shared" si="36"/>
        <v>706.5</v>
      </c>
      <c r="I241" s="36"/>
      <c r="K241" s="42">
        <f>(2.85*2.265+6.81*3.915+1.2*1.5)*10.764</f>
        <v>375.84012959999995</v>
      </c>
      <c r="L241" s="253"/>
      <c r="M241" s="253"/>
      <c r="N241" s="42">
        <f>(1.5*4)*10.764</f>
        <v>64.584000000000003</v>
      </c>
      <c r="T241" s="21"/>
    </row>
    <row r="242" spans="1:20" s="37" customFormat="1" ht="15.75" customHeight="1" x14ac:dyDescent="0.25">
      <c r="A242" s="42">
        <f t="shared" si="34"/>
        <v>13</v>
      </c>
      <c r="B242" s="42">
        <f t="shared" si="40"/>
        <v>12</v>
      </c>
      <c r="C242" s="42" t="s">
        <v>424</v>
      </c>
      <c r="D242" s="42">
        <v>498</v>
      </c>
      <c r="E242" s="42">
        <v>0</v>
      </c>
      <c r="F242" s="42">
        <f t="shared" si="35"/>
        <v>498</v>
      </c>
      <c r="G242" s="42">
        <v>0</v>
      </c>
      <c r="H242" s="42">
        <f t="shared" si="36"/>
        <v>747</v>
      </c>
      <c r="I242" s="36"/>
      <c r="K242" s="42">
        <f>(2.85*2.505+6.81*4.155+1.2*1.5)*10.764</f>
        <v>400.79538719999988</v>
      </c>
      <c r="L242" s="253"/>
      <c r="M242" s="253"/>
      <c r="N242" s="42">
        <f>(1.5*4.1)*10.764</f>
        <v>66.198599999999985</v>
      </c>
      <c r="T242" s="21"/>
    </row>
    <row r="243" spans="1:20" s="37" customFormat="1" ht="15.75" customHeight="1" x14ac:dyDescent="0.25">
      <c r="A243" s="42">
        <f t="shared" si="34"/>
        <v>14</v>
      </c>
      <c r="B243" s="42">
        <f t="shared" ref="B243" si="41">B242+1</f>
        <v>13</v>
      </c>
      <c r="C243" s="42" t="s">
        <v>424</v>
      </c>
      <c r="D243" s="42">
        <v>716</v>
      </c>
      <c r="E243" s="42">
        <v>0</v>
      </c>
      <c r="F243" s="42">
        <f>D243+(IF(E243&lt;201,E243,IF(E243&lt;301,E243/2,E243/3)))</f>
        <v>716</v>
      </c>
      <c r="G243" s="42">
        <v>0</v>
      </c>
      <c r="H243" s="42">
        <f>(F243+(IF(G243&lt;101,G243,IF(G243&lt;201,G243/2,IF(G243&lt;=301,G243/3,G243/4)))))*(($H$145)+1)</f>
        <v>1074</v>
      </c>
      <c r="I243" s="36"/>
      <c r="K243" s="42">
        <f>(6.51*4.71+5.23*2.19+1.85*1.58+1.5*1.5)*10.764</f>
        <v>509.01664319999998</v>
      </c>
      <c r="L243" s="253"/>
      <c r="M243" s="253"/>
      <c r="N243" s="42">
        <f>(1.5*8)*10.764</f>
        <v>129.16800000000001</v>
      </c>
      <c r="T243" s="21"/>
    </row>
    <row r="244" spans="1:20" s="37" customFormat="1" ht="15.75" customHeight="1" x14ac:dyDescent="0.25">
      <c r="A244" s="42">
        <f t="shared" si="34"/>
        <v>15</v>
      </c>
      <c r="B244" s="42">
        <f t="shared" ref="B244" si="42">B243+1</f>
        <v>14</v>
      </c>
      <c r="C244" s="42" t="s">
        <v>424</v>
      </c>
      <c r="D244" s="42">
        <v>490</v>
      </c>
      <c r="E244" s="42">
        <v>0</v>
      </c>
      <c r="F244" s="42">
        <f t="shared" ref="F244:F246" si="43">D244+(IF(E244&lt;201,E244,IF(E244&lt;301,E244/2,E244/3)))</f>
        <v>490</v>
      </c>
      <c r="G244" s="42">
        <v>0</v>
      </c>
      <c r="H244" s="42">
        <f t="shared" ref="H244:H246" si="44">(F244+(IF(G244&lt;101,G244,IF(G244&lt;201,G244/2,IF(G244&lt;=301,G244/3,G244/4)))))*(($H$145)+1)</f>
        <v>735</v>
      </c>
      <c r="I244" s="36"/>
      <c r="K244" s="42">
        <f>(2.85*2.425+6.81*4.075+1.2*1.5)*10.764</f>
        <v>392.47696799999994</v>
      </c>
      <c r="L244" s="253"/>
      <c r="M244" s="253"/>
      <c r="N244" s="42">
        <f>(1.5*4.1)*10.764</f>
        <v>66.198599999999985</v>
      </c>
      <c r="T244" s="21"/>
    </row>
    <row r="245" spans="1:20" s="37" customFormat="1" ht="15.75" customHeight="1" x14ac:dyDescent="0.25">
      <c r="A245" s="42">
        <f t="shared" si="34"/>
        <v>16</v>
      </c>
      <c r="B245" s="42">
        <f t="shared" ref="B245" si="45">B244+1</f>
        <v>15</v>
      </c>
      <c r="C245" s="42" t="s">
        <v>424</v>
      </c>
      <c r="D245" s="42">
        <v>490</v>
      </c>
      <c r="E245" s="42">
        <v>0</v>
      </c>
      <c r="F245" s="42">
        <f t="shared" si="43"/>
        <v>490</v>
      </c>
      <c r="G245" s="42">
        <v>0</v>
      </c>
      <c r="H245" s="42">
        <f t="shared" si="44"/>
        <v>735</v>
      </c>
      <c r="I245" s="36"/>
      <c r="K245" s="42">
        <f>(1.5*2.325+1.65*2.675+6.51*4.075+1.5*1.25)*10.764</f>
        <v>390.78163799999993</v>
      </c>
      <c r="L245" s="253"/>
      <c r="M245" s="253"/>
      <c r="N245" s="42">
        <f>(1.5*4.1)*10.764</f>
        <v>66.198599999999985</v>
      </c>
      <c r="T245" s="21"/>
    </row>
    <row r="246" spans="1:20" s="37" customFormat="1" ht="15.75" customHeight="1" x14ac:dyDescent="0.25">
      <c r="A246" s="42">
        <f t="shared" si="34"/>
        <v>17</v>
      </c>
      <c r="B246" s="42">
        <f t="shared" ref="B246" si="46">B245+1</f>
        <v>16</v>
      </c>
      <c r="C246" s="42" t="s">
        <v>424</v>
      </c>
      <c r="D246" s="42">
        <v>849</v>
      </c>
      <c r="E246" s="42">
        <v>0</v>
      </c>
      <c r="F246" s="42">
        <f t="shared" si="43"/>
        <v>849</v>
      </c>
      <c r="G246" s="42">
        <v>0</v>
      </c>
      <c r="H246" s="42">
        <f t="shared" si="44"/>
        <v>1273.5</v>
      </c>
      <c r="I246" s="36"/>
      <c r="K246" s="42">
        <f>(3.15*5.24+6.51*6.81+1.5*1.42)*10.764</f>
        <v>677.79939239999987</v>
      </c>
      <c r="L246" s="253"/>
      <c r="M246" s="253"/>
      <c r="N246" s="42">
        <f>(1.5*6.75)*10.764</f>
        <v>108.98549999999999</v>
      </c>
      <c r="T246" s="21"/>
    </row>
    <row r="247" spans="1:20" s="37" customFormat="1" x14ac:dyDescent="0.25">
      <c r="A247" s="124" t="s">
        <v>432</v>
      </c>
      <c r="B247" s="125"/>
      <c r="C247" s="125"/>
      <c r="D247" s="125"/>
      <c r="E247" s="125"/>
      <c r="F247" s="125"/>
      <c r="G247" s="125"/>
      <c r="H247" s="126"/>
      <c r="J247" s="36"/>
      <c r="T247" s="35"/>
    </row>
    <row r="248" spans="1:20" s="37" customFormat="1" ht="15.75" customHeight="1" x14ac:dyDescent="0.25">
      <c r="A248" s="122">
        <v>1</v>
      </c>
      <c r="B248" s="123"/>
      <c r="C248" s="42" t="s">
        <v>421</v>
      </c>
      <c r="D248" s="42">
        <v>2357</v>
      </c>
      <c r="E248" s="42">
        <v>0</v>
      </c>
      <c r="F248" s="42">
        <f>D248+(IF(E248&lt;201,E248,IF(E248&lt;301,E248/2,E248/3)))</f>
        <v>2357</v>
      </c>
      <c r="G248" s="42">
        <v>0</v>
      </c>
      <c r="H248" s="42">
        <f>(F248+(IF(G248&lt;101,G248,IF(G248&lt;201,G248/2,IF(G248&lt;=301,G248/3,G248/4)))))*(($H$145)+1)</f>
        <v>3535.5</v>
      </c>
      <c r="I248" s="36"/>
      <c r="K248" s="42">
        <f>(9.47*6.83+1.63*1.95+4.05*2.43+10.26*0.94+18.23*5.88+1.5*5.24+1.5*2.43)*10.764</f>
        <v>2217.8350116000001</v>
      </c>
      <c r="L248" s="253"/>
      <c r="M248" s="253"/>
      <c r="N248" s="36"/>
      <c r="T248" s="35"/>
    </row>
    <row r="249" spans="1:20" s="37" customFormat="1" ht="15.75" customHeight="1" x14ac:dyDescent="0.25">
      <c r="A249" s="122" t="s">
        <v>431</v>
      </c>
      <c r="B249" s="156"/>
      <c r="C249" s="156"/>
      <c r="D249" s="156"/>
      <c r="E249" s="156"/>
      <c r="F249" s="156"/>
      <c r="G249" s="156"/>
      <c r="H249" s="123"/>
      <c r="I249" s="36"/>
      <c r="L249" s="253"/>
      <c r="M249" s="253"/>
      <c r="N249" s="36"/>
      <c r="T249" s="34"/>
    </row>
    <row r="250" spans="1:20" s="37" customFormat="1" hidden="1" x14ac:dyDescent="0.25">
      <c r="A250" s="124" t="s">
        <v>116</v>
      </c>
      <c r="B250" s="125"/>
      <c r="C250" s="125"/>
      <c r="D250" s="125"/>
      <c r="E250" s="125"/>
      <c r="F250" s="125"/>
      <c r="G250" s="125"/>
      <c r="H250" s="126"/>
      <c r="J250" s="36"/>
      <c r="T250" s="35"/>
    </row>
    <row r="251" spans="1:20" s="37" customFormat="1" ht="15.75" hidden="1" customHeight="1" x14ac:dyDescent="0.25">
      <c r="A251" s="122">
        <v>1</v>
      </c>
      <c r="B251" s="123"/>
      <c r="C251" s="42"/>
      <c r="D251" s="42">
        <v>0</v>
      </c>
      <c r="E251" s="42">
        <v>0</v>
      </c>
      <c r="F251" s="42">
        <f>D251+(IF(E251&lt;201,E251,IF(E251&lt;301,E251/2,E251/3)))</f>
        <v>0</v>
      </c>
      <c r="G251" s="42">
        <v>0</v>
      </c>
      <c r="H251" s="42">
        <f>(F251+(IF(G251&lt;101,G251,IF(G251&lt;201,G251/2,IF(G251&lt;=301,G251/3,G251/4)))))*(($H$145)+1)</f>
        <v>0</v>
      </c>
      <c r="I251" s="36"/>
      <c r="L251" s="253"/>
      <c r="M251" s="253"/>
      <c r="N251" s="36"/>
      <c r="T251" s="35"/>
    </row>
    <row r="252" spans="1:20" s="37" customFormat="1" ht="15.75" hidden="1" customHeight="1" x14ac:dyDescent="0.25">
      <c r="A252" s="122">
        <f>A251+1</f>
        <v>2</v>
      </c>
      <c r="B252" s="123"/>
      <c r="C252" s="42"/>
      <c r="D252" s="42"/>
      <c r="E252" s="42">
        <v>0</v>
      </c>
      <c r="F252" s="42">
        <f>D252+(IF(E252&lt;201,E252,IF(E252&lt;301,E252/2,E252/3)))</f>
        <v>0</v>
      </c>
      <c r="G252" s="42">
        <v>0</v>
      </c>
      <c r="H252" s="42">
        <f>(F252+(IF(G252&lt;101,G252,IF(G252&lt;201,G252/2,IF(G252&lt;=301,G252/3,G252/4)))))*(($H$145)+1)</f>
        <v>0</v>
      </c>
      <c r="I252" s="36"/>
      <c r="L252" s="253"/>
      <c r="M252" s="253"/>
      <c r="N252" s="36"/>
      <c r="T252" s="34"/>
    </row>
    <row r="253" spans="1:20" s="37" customFormat="1" ht="15.75" hidden="1" customHeight="1" x14ac:dyDescent="0.25">
      <c r="A253" s="122">
        <f>A252+1</f>
        <v>3</v>
      </c>
      <c r="B253" s="123"/>
      <c r="C253" s="42"/>
      <c r="D253" s="42"/>
      <c r="E253" s="42">
        <v>0</v>
      </c>
      <c r="F253" s="42">
        <f>D253+(IF(E253&lt;201,E253,IF(E253&lt;301,E253/2,E253/3)))</f>
        <v>0</v>
      </c>
      <c r="G253" s="42">
        <v>0</v>
      </c>
      <c r="H253" s="42">
        <f>(F253+(IF(G253&lt;101,G253,IF(G253&lt;201,G253/2,IF(G253&lt;=301,G253/3,G253/4)))))*(($H$145)+1)</f>
        <v>0</v>
      </c>
      <c r="I253" s="36"/>
      <c r="L253" s="253"/>
      <c r="M253" s="253"/>
      <c r="N253" s="36"/>
      <c r="T253" s="21"/>
    </row>
    <row r="254" spans="1:20" s="37" customFormat="1" ht="15.75" hidden="1" customHeight="1" x14ac:dyDescent="0.25">
      <c r="A254" s="122">
        <f t="shared" ref="A254:A266" si="47">A253+1</f>
        <v>4</v>
      </c>
      <c r="B254" s="123"/>
      <c r="C254" s="42"/>
      <c r="D254" s="42"/>
      <c r="E254" s="42">
        <v>0</v>
      </c>
      <c r="F254" s="42">
        <f t="shared" ref="F254:F263" si="48">D254+(IF(E254&lt;201,E254,IF(E254&lt;301,E254/2,E254/3)))</f>
        <v>0</v>
      </c>
      <c r="G254" s="42">
        <v>0</v>
      </c>
      <c r="H254" s="42">
        <f t="shared" ref="H254:H263" si="49">(F254+(IF(G254&lt;101,G254,IF(G254&lt;201,G254/2,IF(G254&lt;=301,G254/3,G254/4)))))*(($H$145)+1)</f>
        <v>0</v>
      </c>
      <c r="I254" s="36"/>
      <c r="L254" s="253"/>
      <c r="M254" s="253"/>
      <c r="N254" s="36"/>
      <c r="T254" s="21"/>
    </row>
    <row r="255" spans="1:20" s="37" customFormat="1" ht="15.75" hidden="1" customHeight="1" x14ac:dyDescent="0.25">
      <c r="A255" s="122">
        <f t="shared" si="47"/>
        <v>5</v>
      </c>
      <c r="B255" s="123"/>
      <c r="C255" s="42"/>
      <c r="D255" s="42"/>
      <c r="E255" s="42">
        <v>0</v>
      </c>
      <c r="F255" s="42">
        <f t="shared" si="48"/>
        <v>0</v>
      </c>
      <c r="G255" s="42">
        <v>0</v>
      </c>
      <c r="H255" s="42">
        <f t="shared" si="49"/>
        <v>0</v>
      </c>
      <c r="I255" s="36"/>
      <c r="L255" s="253"/>
      <c r="M255" s="253"/>
      <c r="N255" s="36"/>
      <c r="T255" s="21"/>
    </row>
    <row r="256" spans="1:20" s="37" customFormat="1" ht="15.75" hidden="1" customHeight="1" x14ac:dyDescent="0.25">
      <c r="A256" s="122">
        <f t="shared" si="47"/>
        <v>6</v>
      </c>
      <c r="B256" s="123"/>
      <c r="C256" s="42"/>
      <c r="D256" s="42"/>
      <c r="E256" s="42">
        <v>0</v>
      </c>
      <c r="F256" s="42">
        <f t="shared" si="48"/>
        <v>0</v>
      </c>
      <c r="G256" s="42">
        <v>0</v>
      </c>
      <c r="H256" s="42">
        <f t="shared" si="49"/>
        <v>0</v>
      </c>
      <c r="I256" s="36"/>
      <c r="L256" s="253"/>
      <c r="M256" s="253"/>
      <c r="N256" s="36"/>
      <c r="T256" s="21"/>
    </row>
    <row r="257" spans="1:20" s="37" customFormat="1" ht="15.75" hidden="1" customHeight="1" x14ac:dyDescent="0.25">
      <c r="A257" s="122">
        <f t="shared" si="47"/>
        <v>7</v>
      </c>
      <c r="B257" s="123"/>
      <c r="C257" s="42"/>
      <c r="D257" s="42"/>
      <c r="E257" s="42">
        <v>0</v>
      </c>
      <c r="F257" s="42">
        <f t="shared" si="48"/>
        <v>0</v>
      </c>
      <c r="G257" s="42">
        <v>0</v>
      </c>
      <c r="H257" s="42">
        <f t="shared" si="49"/>
        <v>0</v>
      </c>
      <c r="I257" s="36"/>
      <c r="L257" s="253"/>
      <c r="M257" s="253"/>
      <c r="N257" s="36"/>
      <c r="T257" s="21"/>
    </row>
    <row r="258" spans="1:20" s="37" customFormat="1" ht="15.75" hidden="1" customHeight="1" x14ac:dyDescent="0.25">
      <c r="A258" s="122">
        <f t="shared" si="47"/>
        <v>8</v>
      </c>
      <c r="B258" s="123"/>
      <c r="C258" s="42"/>
      <c r="D258" s="42"/>
      <c r="E258" s="42">
        <v>0</v>
      </c>
      <c r="F258" s="42">
        <f t="shared" si="48"/>
        <v>0</v>
      </c>
      <c r="G258" s="42">
        <v>0</v>
      </c>
      <c r="H258" s="42">
        <f t="shared" si="49"/>
        <v>0</v>
      </c>
      <c r="I258" s="36"/>
      <c r="L258" s="253"/>
      <c r="M258" s="253"/>
      <c r="N258" s="36"/>
      <c r="T258" s="21"/>
    </row>
    <row r="259" spans="1:20" s="37" customFormat="1" ht="15.75" hidden="1" customHeight="1" x14ac:dyDescent="0.25">
      <c r="A259" s="122">
        <f t="shared" si="47"/>
        <v>9</v>
      </c>
      <c r="B259" s="123"/>
      <c r="C259" s="42"/>
      <c r="D259" s="42"/>
      <c r="E259" s="42">
        <v>0</v>
      </c>
      <c r="F259" s="42">
        <f t="shared" si="48"/>
        <v>0</v>
      </c>
      <c r="G259" s="42">
        <v>0</v>
      </c>
      <c r="H259" s="42">
        <f t="shared" si="49"/>
        <v>0</v>
      </c>
      <c r="I259" s="36"/>
      <c r="L259" s="253"/>
      <c r="M259" s="253"/>
      <c r="N259" s="36"/>
      <c r="T259" s="21"/>
    </row>
    <row r="260" spans="1:20" s="37" customFormat="1" ht="15.75" hidden="1" customHeight="1" x14ac:dyDescent="0.25">
      <c r="A260" s="122">
        <f t="shared" si="47"/>
        <v>10</v>
      </c>
      <c r="B260" s="123"/>
      <c r="C260" s="42"/>
      <c r="D260" s="42"/>
      <c r="E260" s="42">
        <v>0</v>
      </c>
      <c r="F260" s="42">
        <f t="shared" si="48"/>
        <v>0</v>
      </c>
      <c r="G260" s="42">
        <v>0</v>
      </c>
      <c r="H260" s="42">
        <f t="shared" si="49"/>
        <v>0</v>
      </c>
      <c r="I260" s="36"/>
      <c r="L260" s="253"/>
      <c r="M260" s="253"/>
      <c r="N260" s="36"/>
      <c r="T260" s="21"/>
    </row>
    <row r="261" spans="1:20" s="37" customFormat="1" ht="15.75" hidden="1" customHeight="1" x14ac:dyDescent="0.25">
      <c r="A261" s="122">
        <f t="shared" si="47"/>
        <v>11</v>
      </c>
      <c r="B261" s="123"/>
      <c r="C261" s="42"/>
      <c r="D261" s="42"/>
      <c r="E261" s="42">
        <v>0</v>
      </c>
      <c r="F261" s="42">
        <f t="shared" si="48"/>
        <v>0</v>
      </c>
      <c r="G261" s="42">
        <v>0</v>
      </c>
      <c r="H261" s="42">
        <f t="shared" si="49"/>
        <v>0</v>
      </c>
      <c r="I261" s="36"/>
      <c r="L261" s="253"/>
      <c r="M261" s="253"/>
      <c r="N261" s="36"/>
      <c r="T261" s="21"/>
    </row>
    <row r="262" spans="1:20" s="37" customFormat="1" ht="15.75" hidden="1" customHeight="1" x14ac:dyDescent="0.25">
      <c r="A262" s="122">
        <f t="shared" si="47"/>
        <v>12</v>
      </c>
      <c r="B262" s="123"/>
      <c r="C262" s="42"/>
      <c r="D262" s="42"/>
      <c r="E262" s="42">
        <v>0</v>
      </c>
      <c r="F262" s="42">
        <f t="shared" si="48"/>
        <v>0</v>
      </c>
      <c r="G262" s="42">
        <v>0</v>
      </c>
      <c r="H262" s="42">
        <f t="shared" si="49"/>
        <v>0</v>
      </c>
      <c r="I262" s="36"/>
      <c r="L262" s="253"/>
      <c r="M262" s="253"/>
      <c r="N262" s="36"/>
      <c r="T262" s="21"/>
    </row>
    <row r="263" spans="1:20" s="37" customFormat="1" ht="15.75" hidden="1" customHeight="1" x14ac:dyDescent="0.25">
      <c r="A263" s="122">
        <f t="shared" si="47"/>
        <v>13</v>
      </c>
      <c r="B263" s="123"/>
      <c r="C263" s="42"/>
      <c r="D263" s="42"/>
      <c r="E263" s="42">
        <v>0</v>
      </c>
      <c r="F263" s="42">
        <f t="shared" si="48"/>
        <v>0</v>
      </c>
      <c r="G263" s="42">
        <v>0</v>
      </c>
      <c r="H263" s="42">
        <f t="shared" si="49"/>
        <v>0</v>
      </c>
      <c r="I263" s="36"/>
      <c r="L263" s="253"/>
      <c r="M263" s="253"/>
      <c r="N263" s="36"/>
      <c r="T263" s="21"/>
    </row>
    <row r="264" spans="1:20" s="37" customFormat="1" ht="15.75" hidden="1" customHeight="1" x14ac:dyDescent="0.25">
      <c r="A264" s="122">
        <f t="shared" si="47"/>
        <v>14</v>
      </c>
      <c r="B264" s="123"/>
      <c r="C264" s="42"/>
      <c r="D264" s="42"/>
      <c r="E264" s="42">
        <v>0</v>
      </c>
      <c r="F264" s="42">
        <f>D264+(IF(E264&lt;201,E264,IF(E264&lt;301,E264/2,E264/3)))</f>
        <v>0</v>
      </c>
      <c r="G264" s="42">
        <v>0</v>
      </c>
      <c r="H264" s="42">
        <f>(F264+(IF(G264&lt;101,G264,IF(G264&lt;201,G264/2,IF(G264&lt;=301,G264/3,G264/4)))))*(($H$145)+1)</f>
        <v>0</v>
      </c>
      <c r="I264" s="36"/>
      <c r="L264" s="253"/>
      <c r="M264" s="253"/>
      <c r="N264" s="36"/>
      <c r="T264" s="21"/>
    </row>
    <row r="265" spans="1:20" s="37" customFormat="1" ht="15.75" hidden="1" customHeight="1" x14ac:dyDescent="0.25">
      <c r="A265" s="122">
        <f t="shared" si="47"/>
        <v>15</v>
      </c>
      <c r="B265" s="123"/>
      <c r="C265" s="42"/>
      <c r="D265" s="42"/>
      <c r="E265" s="42">
        <v>0</v>
      </c>
      <c r="F265" s="42">
        <f t="shared" ref="F265:F268" si="50">D265+(IF(E265&lt;201,E265,IF(E265&lt;301,E265/2,E265/3)))</f>
        <v>0</v>
      </c>
      <c r="G265" s="42">
        <v>0</v>
      </c>
      <c r="H265" s="42">
        <f t="shared" ref="H265:H268" si="51">(F265+(IF(G265&lt;101,G265,IF(G265&lt;201,G265/2,IF(G265&lt;=301,G265/3,G265/4)))))*(($H$145)+1)</f>
        <v>0</v>
      </c>
      <c r="I265" s="36"/>
      <c r="L265" s="253"/>
      <c r="M265" s="253"/>
      <c r="N265" s="36"/>
      <c r="T265" s="21"/>
    </row>
    <row r="266" spans="1:20" s="37" customFormat="1" ht="15.75" hidden="1" customHeight="1" x14ac:dyDescent="0.25">
      <c r="A266" s="122">
        <f t="shared" si="47"/>
        <v>16</v>
      </c>
      <c r="B266" s="123"/>
      <c r="C266" s="42"/>
      <c r="D266" s="42"/>
      <c r="E266" s="42">
        <v>0</v>
      </c>
      <c r="F266" s="42">
        <f t="shared" si="50"/>
        <v>0</v>
      </c>
      <c r="G266" s="42">
        <v>0</v>
      </c>
      <c r="H266" s="42">
        <f t="shared" si="51"/>
        <v>0</v>
      </c>
      <c r="I266" s="36"/>
      <c r="L266" s="253"/>
      <c r="M266" s="253"/>
      <c r="N266" s="36"/>
      <c r="T266" s="21"/>
    </row>
    <row r="267" spans="1:20" s="37" customFormat="1" ht="15.75" hidden="1" customHeight="1" x14ac:dyDescent="0.25">
      <c r="A267" s="122">
        <f t="shared" ref="A267:A268" si="52">A266+1</f>
        <v>17</v>
      </c>
      <c r="B267" s="123"/>
      <c r="C267" s="42"/>
      <c r="D267" s="42"/>
      <c r="E267" s="42">
        <v>0</v>
      </c>
      <c r="F267" s="42">
        <f t="shared" si="50"/>
        <v>0</v>
      </c>
      <c r="G267" s="42">
        <v>0</v>
      </c>
      <c r="H267" s="42">
        <f t="shared" si="51"/>
        <v>0</v>
      </c>
      <c r="I267" s="36"/>
      <c r="L267" s="253"/>
      <c r="M267" s="253"/>
      <c r="N267" s="36"/>
      <c r="T267" s="21"/>
    </row>
    <row r="268" spans="1:20" s="37" customFormat="1" ht="15.75" hidden="1" customHeight="1" x14ac:dyDescent="0.25">
      <c r="A268" s="122">
        <f t="shared" si="52"/>
        <v>18</v>
      </c>
      <c r="B268" s="123"/>
      <c r="C268" s="42"/>
      <c r="D268" s="42"/>
      <c r="E268" s="42">
        <v>0</v>
      </c>
      <c r="F268" s="42">
        <f t="shared" si="50"/>
        <v>0</v>
      </c>
      <c r="G268" s="42">
        <v>0</v>
      </c>
      <c r="H268" s="42">
        <f t="shared" si="51"/>
        <v>0</v>
      </c>
      <c r="I268" s="36"/>
      <c r="L268" s="253"/>
      <c r="M268" s="253"/>
      <c r="N268" s="36"/>
      <c r="T268" s="21"/>
    </row>
    <row r="269" spans="1:20" s="37" customFormat="1" hidden="1" x14ac:dyDescent="0.25">
      <c r="A269" s="122"/>
      <c r="B269" s="156"/>
      <c r="C269" s="156"/>
      <c r="D269" s="156"/>
      <c r="E269" s="156"/>
      <c r="F269" s="156"/>
      <c r="G269" s="156"/>
      <c r="H269" s="123"/>
      <c r="I269" s="36"/>
      <c r="N269" s="36"/>
    </row>
    <row r="270" spans="1:20" ht="47.25" hidden="1" customHeight="1" x14ac:dyDescent="0.25">
      <c r="A270" s="134" t="s">
        <v>119</v>
      </c>
      <c r="B270" s="159" t="s">
        <v>177</v>
      </c>
      <c r="C270" s="136" t="s">
        <v>54</v>
      </c>
      <c r="D270" s="159" t="s">
        <v>377</v>
      </c>
      <c r="E270" s="159" t="s">
        <v>231</v>
      </c>
      <c r="F270" s="136" t="s">
        <v>55</v>
      </c>
      <c r="G270" s="170" t="s">
        <v>56</v>
      </c>
      <c r="H270" s="64" t="s">
        <v>150</v>
      </c>
      <c r="I270" s="36"/>
      <c r="T270" s="37"/>
    </row>
    <row r="271" spans="1:20" s="37" customFormat="1" hidden="1" x14ac:dyDescent="0.25">
      <c r="A271" s="135"/>
      <c r="B271" s="160"/>
      <c r="C271" s="137"/>
      <c r="D271" s="160"/>
      <c r="E271" s="160"/>
      <c r="F271" s="137"/>
      <c r="G271" s="171"/>
      <c r="H271" s="55">
        <v>0.45</v>
      </c>
      <c r="I271" s="36"/>
    </row>
    <row r="272" spans="1:20" s="37" customFormat="1" hidden="1" x14ac:dyDescent="0.25">
      <c r="A272" s="124" t="s">
        <v>116</v>
      </c>
      <c r="B272" s="125"/>
      <c r="C272" s="125"/>
      <c r="D272" s="125"/>
      <c r="E272" s="125"/>
      <c r="F272" s="125"/>
      <c r="G272" s="125"/>
      <c r="H272" s="126"/>
      <c r="J272" s="36"/>
    </row>
    <row r="273" spans="1:20" s="37" customFormat="1" ht="15.75" hidden="1" customHeight="1" x14ac:dyDescent="0.25">
      <c r="A273" s="122">
        <v>1</v>
      </c>
      <c r="B273" s="123"/>
      <c r="C273" s="42"/>
      <c r="D273" s="42"/>
      <c r="E273" s="42">
        <v>0</v>
      </c>
      <c r="F273" s="42">
        <f>D273+E273</f>
        <v>0</v>
      </c>
      <c r="G273" s="42">
        <v>0</v>
      </c>
      <c r="H273" s="42">
        <f>F273*(($H$271)+1)+(IF(G273&lt;101,G273,IF(G273&lt;201,G273/2,IF(G273&lt;=301,G273/3,G273/4))))</f>
        <v>0</v>
      </c>
      <c r="I273" s="36"/>
      <c r="L273" s="253"/>
      <c r="M273" s="253"/>
      <c r="N273" s="36"/>
    </row>
    <row r="274" spans="1:20" s="37" customFormat="1" ht="15.75" hidden="1" customHeight="1" x14ac:dyDescent="0.25">
      <c r="A274" s="122">
        <f>A273+1</f>
        <v>2</v>
      </c>
      <c r="B274" s="123"/>
      <c r="C274" s="42"/>
      <c r="D274" s="42"/>
      <c r="E274" s="42">
        <v>0</v>
      </c>
      <c r="F274" s="42">
        <f>D274+E274</f>
        <v>0</v>
      </c>
      <c r="G274" s="42">
        <v>0</v>
      </c>
      <c r="H274" s="42">
        <f>F274*(($H$271)+1)+(IF(G274&lt;101,G274,IF(G274&lt;201,G274/2,IF(G274&lt;=301,G274/3,G274/4))))</f>
        <v>0</v>
      </c>
      <c r="I274" s="36"/>
      <c r="L274" s="253"/>
      <c r="M274" s="253"/>
      <c r="N274" s="36"/>
    </row>
    <row r="275" spans="1:20" s="37" customFormat="1" ht="15.75" hidden="1" customHeight="1" x14ac:dyDescent="0.25">
      <c r="A275" s="122">
        <f>A274+1</f>
        <v>3</v>
      </c>
      <c r="B275" s="123"/>
      <c r="C275" s="42"/>
      <c r="D275" s="42"/>
      <c r="E275" s="42">
        <v>0</v>
      </c>
      <c r="F275" s="42">
        <f>D275+E275</f>
        <v>0</v>
      </c>
      <c r="G275" s="42">
        <v>0</v>
      </c>
      <c r="H275" s="42">
        <f>F275*(($H$271)+1)+(IF(G275&lt;101,G275,IF(G275&lt;201,G275/2,IF(G275&lt;=301,G275/3,G275/4))))</f>
        <v>0</v>
      </c>
      <c r="I275" s="36"/>
      <c r="L275" s="253"/>
      <c r="M275" s="253"/>
      <c r="N275" s="36"/>
    </row>
    <row r="276" spans="1:20" s="37" customFormat="1" ht="15.75" hidden="1" customHeight="1" x14ac:dyDescent="0.25">
      <c r="A276" s="122">
        <f>A275+1</f>
        <v>4</v>
      </c>
      <c r="B276" s="123"/>
      <c r="C276" s="42"/>
      <c r="D276" s="42"/>
      <c r="E276" s="42">
        <v>0</v>
      </c>
      <c r="F276" s="42">
        <f>D276+E276</f>
        <v>0</v>
      </c>
      <c r="G276" s="42">
        <v>0</v>
      </c>
      <c r="H276" s="42">
        <f>F276*(($H$271)+1)+(IF(G276&lt;101,G276,IF(G276&lt;201,G276/2,IF(G276&lt;=301,G276/3,G276/4))))</f>
        <v>0</v>
      </c>
      <c r="I276" s="36"/>
      <c r="L276" s="253"/>
      <c r="M276" s="253"/>
      <c r="N276" s="36"/>
      <c r="T276" s="21"/>
    </row>
    <row r="277" spans="1:20" s="37" customFormat="1" hidden="1" x14ac:dyDescent="0.25">
      <c r="A277" s="183" t="s">
        <v>117</v>
      </c>
      <c r="B277" s="183"/>
      <c r="C277" s="183"/>
      <c r="D277" s="183"/>
      <c r="E277" s="183"/>
      <c r="F277" s="183"/>
      <c r="G277" s="183"/>
      <c r="H277" s="183"/>
      <c r="I277" s="36"/>
      <c r="L277" s="253"/>
      <c r="M277" s="253"/>
    </row>
    <row r="278" spans="1:20" s="37" customFormat="1" hidden="1" x14ac:dyDescent="0.25">
      <c r="A278" s="158">
        <f>LEFT(A277,SUM(LEN(A277)-LEN(SUBSTITUTE(A277,{"0","1","2","3","4","5","6","7","8","9"},""))))*100+1</f>
        <v>201</v>
      </c>
      <c r="B278" s="158"/>
      <c r="C278" s="42"/>
      <c r="D278" s="42"/>
      <c r="E278" s="42">
        <v>0</v>
      </c>
      <c r="F278" s="42">
        <f>D278+E278</f>
        <v>0</v>
      </c>
      <c r="G278" s="42">
        <v>0</v>
      </c>
      <c r="H278" s="42">
        <f>F278*(($H$271)+1)+(IF(G278&lt;101,G278,IF(G278&lt;201,G278/2,IF(G278&lt;=301,G278/3,G278/4))))</f>
        <v>0</v>
      </c>
      <c r="I278" s="36"/>
      <c r="N278" s="36"/>
    </row>
    <row r="279" spans="1:20" s="37" customFormat="1" hidden="1" x14ac:dyDescent="0.25">
      <c r="A279" s="158">
        <f>A278+1</f>
        <v>202</v>
      </c>
      <c r="B279" s="158"/>
      <c r="C279" s="42"/>
      <c r="D279" s="42"/>
      <c r="E279" s="42">
        <v>0</v>
      </c>
      <c r="F279" s="42">
        <f>D279+E279</f>
        <v>0</v>
      </c>
      <c r="G279" s="42">
        <v>0</v>
      </c>
      <c r="H279" s="42">
        <f>F279*(($H$271)+1)+(IF(G279&lt;101,G279,IF(G279&lt;201,G279/2,IF(G279&lt;=301,G279/3,G279/4))))</f>
        <v>0</v>
      </c>
      <c r="I279" s="36"/>
      <c r="N279" s="36"/>
    </row>
    <row r="280" spans="1:20" s="37" customFormat="1" hidden="1" x14ac:dyDescent="0.25">
      <c r="A280" s="158">
        <f>A279+1</f>
        <v>203</v>
      </c>
      <c r="B280" s="158"/>
      <c r="C280" s="42"/>
      <c r="D280" s="42"/>
      <c r="E280" s="42">
        <v>0</v>
      </c>
      <c r="F280" s="42">
        <f>D280+E280</f>
        <v>0</v>
      </c>
      <c r="G280" s="42">
        <v>0</v>
      </c>
      <c r="H280" s="42">
        <f>F280*(($H$271)+1)+(IF(G280&lt;101,G280,IF(G280&lt;201,G280/2,IF(G280&lt;=301,G280/3,G280/4))))</f>
        <v>0</v>
      </c>
      <c r="I280" s="36"/>
      <c r="N280" s="36"/>
    </row>
    <row r="281" spans="1:20" s="37" customFormat="1" hidden="1" x14ac:dyDescent="0.25">
      <c r="A281" s="158">
        <f>A280+1</f>
        <v>204</v>
      </c>
      <c r="B281" s="158"/>
      <c r="C281" s="42"/>
      <c r="D281" s="42"/>
      <c r="E281" s="42">
        <v>0</v>
      </c>
      <c r="F281" s="42">
        <f>D281+E281</f>
        <v>0</v>
      </c>
      <c r="G281" s="42">
        <v>0</v>
      </c>
      <c r="H281" s="42">
        <f>F281*(($H$271)+1)+(IF(G281&lt;101,G281,IF(G281&lt;201,G281/2,IF(G281&lt;=301,G281/3,G281/4))))</f>
        <v>0</v>
      </c>
      <c r="I281" s="36"/>
      <c r="N281" s="36"/>
    </row>
    <row r="282" spans="1:20" s="37" customFormat="1" hidden="1" x14ac:dyDescent="0.25">
      <c r="A282" s="158">
        <f>A281+1</f>
        <v>205</v>
      </c>
      <c r="B282" s="158"/>
      <c r="C282" s="42"/>
      <c r="D282" s="42"/>
      <c r="E282" s="42">
        <v>0</v>
      </c>
      <c r="F282" s="42">
        <f>D282+E282</f>
        <v>0</v>
      </c>
      <c r="G282" s="42">
        <v>0</v>
      </c>
      <c r="H282" s="42">
        <f>F282*(($H$271)+1)+(IF(G282&lt;101,G282,IF(G282&lt;201,G282/2,IF(G282&lt;=301,G282/3,G282/4))))</f>
        <v>0</v>
      </c>
      <c r="I282" s="36"/>
      <c r="N282" s="36"/>
    </row>
    <row r="283" spans="1:20" s="37" customFormat="1" ht="15.75" hidden="1" customHeight="1" x14ac:dyDescent="0.25">
      <c r="A283" s="124" t="s">
        <v>151</v>
      </c>
      <c r="B283" s="125"/>
      <c r="C283" s="125"/>
      <c r="D283" s="125"/>
      <c r="E283" s="125"/>
      <c r="F283" s="125"/>
      <c r="G283" s="125"/>
      <c r="H283" s="126"/>
      <c r="I283" s="36"/>
    </row>
    <row r="284" spans="1:20" s="37" customFormat="1" ht="15.75" hidden="1" customHeight="1" x14ac:dyDescent="0.25">
      <c r="A284" s="122" t="str">
        <f ca="1">(SUMPRODUCT(MID(0&amp;(LEFT(A283,SUM(LEN(A283)-LEN(SUBSTITUTE(A283,{"0","1","2"},""))))), LARGE(INDEX(ISNUMBER(--MID((LEFT(A283,SUM(LEN(A283)-LEN(SUBSTITUTE(A283,{"0","1","2"},""))))), ROW(INDIRECT("1:"&amp;LEN((LEFT(A283,SUM(LEN(A283)-LEN(SUBSTITUTE(A283,{"0","1","2"},"")))))))), 1)) * ROW(INDIRECT("1:"&amp;LEN((LEFT(A283,SUM(LEN(A283)-LEN(SUBSTITUTE(A283,{"0","1","2"},"")))))))), 0), ROW(INDIRECT("1:"&amp;LEN((LEFT(A283,SUM(LEN(A283)-LEN(SUBSTITUTE(A283,{"0","1","2"},"")))))))))+1, 1) * 10^ROW(INDIRECT("1:"&amp;LEN((LEFT(A283,SUM(LEN(A283)-LEN(SUBSTITUTE(A283,{"0","1","2"},""))))))))/10))*100+1&amp;""&amp;" ,.., "&amp;""&amp;(SUMPRODUCT(MID(0&amp;(--TRIM(RIGHT(SUBSTITUTE(LEFT(A283,_xlfn.AGGREGATE(16,6,FIND({0,1,2,3,4,5,6,7,8,9},A283,ROW(INDIRECT("1:"&amp;LEN(A283)))),1))," ",REPT(" ",LEN(A283))),LEN(A283)))), LARGE(INDEX(ISNUMBER(--MID((--TRIM(RIGHT(SUBSTITUTE(LEFT(A283,_xlfn.AGGREGATE(16,6,FIND({0,1,2,3,4,5,6,7,8,9},A283,ROW(INDIRECT("1:"&amp;LEN(A283)))),1))," ",REPT(" ",LEN(A283))),LEN(A283)))), ROW(INDIRECT("1:"&amp;LEN((--TRIM(RIGHT(SUBSTITUTE(LEFT(A283,_xlfn.AGGREGATE(16,6,FIND({0,1,2,3,4,5,6,7,8,9},A283,ROW(INDIRECT("1:"&amp;LEN(A283)))),1))," ",REPT(" ",LEN(A283))),LEN(A283))))))), 1)) * ROW(INDIRECT("1:"&amp;LEN((--TRIM(RIGHT(SUBSTITUTE(LEFT(A283,_xlfn.AGGREGATE(16,6,FIND({0,1,2,3,4,5,6,7,8,9},A283,ROW(INDIRECT("1:"&amp;LEN(A283)))),1))," ",REPT(" ",LEN(A283))),LEN(A283))))))), 0), ROW(INDIRECT("1:"&amp;LEN((--TRIM(RIGHT(SUBSTITUTE(LEFT(A283,_xlfn.AGGREGATE(16,6,FIND({0,1,2,3,4,5,6,7,8,9},A283,ROW(INDIRECT("1:"&amp;LEN(A283)))),1))," ",REPT(" ",LEN(A283))),LEN(A283))))))))+1, 1) * 10^ROW(INDIRECT("1:"&amp;LEN((--TRIM(RIGHT(SUBSTITUTE(LEFT(A283,_xlfn.AGGREGATE(16,6,FIND({0,1,2,3,4,5,6,7,8,9},A283,ROW(INDIRECT("1:"&amp;LEN(A283)))),1))," ",REPT(" ",LEN(A283))),LEN(A283)))))))/10))*100+1</f>
        <v>301 ,.., 1501</v>
      </c>
      <c r="B284" s="123"/>
      <c r="C284" s="42"/>
      <c r="D284" s="42"/>
      <c r="E284" s="42">
        <v>0</v>
      </c>
      <c r="F284" s="42">
        <f>D284+E284</f>
        <v>0</v>
      </c>
      <c r="G284" s="42">
        <v>0</v>
      </c>
      <c r="H284" s="42">
        <f>F284*(($H$271)+1)+(IF(G284&lt;101,G284,IF(G284&lt;201,G284/2,IF(G284&lt;=301,G284/3,G284/4))))</f>
        <v>0</v>
      </c>
      <c r="I284" s="36"/>
    </row>
    <row r="285" spans="1:20" s="37" customFormat="1" ht="15.75" hidden="1" customHeight="1" x14ac:dyDescent="0.25">
      <c r="A285" s="122" t="str">
        <f ca="1">(SUMPRODUCT(MID(0&amp;(LEFT(A284,SUM(LEN(A284)-LEN(SUBSTITUTE(A284,{"0","1","2"},""))))), LARGE(INDEX(ISNUMBER(--MID((LEFT(A284,SUM(LEN(A284)-LEN(SUBSTITUTE(A284,{"0","1","2"},""))))), ROW(INDIRECT("1:"&amp;LEN((LEFT(A284,SUM(LEN(A284)-LEN(SUBSTITUTE(A284,{"0","1","2"},"")))))))), 1)) * ROW(INDIRECT("1:"&amp;LEN((LEFT(A284,SUM(LEN(A284)-LEN(SUBSTITUTE(A284,{"0","1","2"},"")))))))), 0), ROW(INDIRECT("1:"&amp;LEN((LEFT(A284,SUM(LEN(A284)-LEN(SUBSTITUTE(A284,{"0","1","2"},"")))))))))+1, 1) * 10^ROW(INDIRECT("1:"&amp;LEN((LEFT(A284,SUM(LEN(A284)-LEN(SUBSTITUTE(A284,{"0","1","2"},""))))))))/10))*1+1&amp;""&amp;" ,.., "&amp;""&amp;(SUMPRODUCT(MID(0&amp;(--TRIM(RIGHT(SUBSTITUTE(LEFT(A284,_xlfn.AGGREGATE(16,6,FIND({0,1,2,3,4,5,6,7,8,9},A284,ROW(INDIRECT("1:"&amp;LEN(A284)))),1))," ",REPT(" ",LEN(A284))),LEN(A284)))), LARGE(INDEX(ISNUMBER(--MID((--TRIM(RIGHT(SUBSTITUTE(LEFT(A284,_xlfn.AGGREGATE(16,6,FIND({0,1,2,3,4,5,6,7,8,9},A284,ROW(INDIRECT("1:"&amp;LEN(A284)))),1))," ",REPT(" ",LEN(A284))),LEN(A284)))), ROW(INDIRECT("1:"&amp;LEN((--TRIM(RIGHT(SUBSTITUTE(LEFT(A284,_xlfn.AGGREGATE(16,6,FIND({0,1,2,3,4,5,6,7,8,9},A284,ROW(INDIRECT("1:"&amp;LEN(A284)))),1))," ",REPT(" ",LEN(A284))),LEN(A284))))))), 1)) * ROW(INDIRECT("1:"&amp;LEN((--TRIM(RIGHT(SUBSTITUTE(LEFT(A284,_xlfn.AGGREGATE(16,6,FIND({0,1,2,3,4,5,6,7,8,9},A284,ROW(INDIRECT("1:"&amp;LEN(A284)))),1))," ",REPT(" ",LEN(A284))),LEN(A284))))))), 0), ROW(INDIRECT("1:"&amp;LEN((--TRIM(RIGHT(SUBSTITUTE(LEFT(A284,_xlfn.AGGREGATE(16,6,FIND({0,1,2,3,4,5,6,7,8,9},A284,ROW(INDIRECT("1:"&amp;LEN(A284)))),1))," ",REPT(" ",LEN(A284))),LEN(A284))))))))+1, 1) * 10^ROW(INDIRECT("1:"&amp;LEN((--TRIM(RIGHT(SUBSTITUTE(LEFT(A284,_xlfn.AGGREGATE(16,6,FIND({0,1,2,3,4,5,6,7,8,9},A284,ROW(INDIRECT("1:"&amp;LEN(A284)))),1))," ",REPT(" ",LEN(A284))),LEN(A284)))))))/10))*1+1</f>
        <v>302 ,.., 1502</v>
      </c>
      <c r="B285" s="123"/>
      <c r="C285" s="42"/>
      <c r="D285" s="42"/>
      <c r="E285" s="42">
        <v>0</v>
      </c>
      <c r="F285" s="42">
        <f>D285+E285</f>
        <v>0</v>
      </c>
      <c r="G285" s="42">
        <v>0</v>
      </c>
      <c r="H285" s="42">
        <f>F285*(($H$271)+1)+(IF(G285&lt;101,G285,IF(G285&lt;201,G285/2,IF(G285&lt;=301,G285/3,G285/4))))</f>
        <v>0</v>
      </c>
      <c r="I285" s="36"/>
    </row>
    <row r="286" spans="1:20" s="37" customFormat="1" ht="15.75" hidden="1" customHeight="1" x14ac:dyDescent="0.25">
      <c r="A286" s="122" t="str">
        <f ca="1">(SUMPRODUCT(MID(0&amp;(LEFT(A285,SUM(LEN(A285)-LEN(SUBSTITUTE(A285,{"0","1","2"},""))))), LARGE(INDEX(ISNUMBER(--MID((LEFT(A285,SUM(LEN(A285)-LEN(SUBSTITUTE(A285,{"0","1","2"},""))))), ROW(INDIRECT("1:"&amp;LEN((LEFT(A285,SUM(LEN(A285)-LEN(SUBSTITUTE(A285,{"0","1","2"},"")))))))), 1)) * ROW(INDIRECT("1:"&amp;LEN((LEFT(A285,SUM(LEN(A285)-LEN(SUBSTITUTE(A285,{"0","1","2"},"")))))))), 0), ROW(INDIRECT("1:"&amp;LEN((LEFT(A285,SUM(LEN(A285)-LEN(SUBSTITUTE(A285,{"0","1","2"},"")))))))))+1, 1) * 10^ROW(INDIRECT("1:"&amp;LEN((LEFT(A285,SUM(LEN(A285)-LEN(SUBSTITUTE(A285,{"0","1","2"},""))))))))/10))*1+1&amp;""&amp;" ,.., "&amp;""&amp;(SUMPRODUCT(MID(0&amp;(--TRIM(RIGHT(SUBSTITUTE(LEFT(A285,_xlfn.AGGREGATE(16,6,FIND({0,1,2,3,4,5,6,7,8,9},A285,ROW(INDIRECT("1:"&amp;LEN(A285)))),1))," ",REPT(" ",LEN(A285))),LEN(A285)))), LARGE(INDEX(ISNUMBER(--MID((--TRIM(RIGHT(SUBSTITUTE(LEFT(A285,_xlfn.AGGREGATE(16,6,FIND({0,1,2,3,4,5,6,7,8,9},A285,ROW(INDIRECT("1:"&amp;LEN(A285)))),1))," ",REPT(" ",LEN(A285))),LEN(A285)))), ROW(INDIRECT("1:"&amp;LEN((--TRIM(RIGHT(SUBSTITUTE(LEFT(A285,_xlfn.AGGREGATE(16,6,FIND({0,1,2,3,4,5,6,7,8,9},A285,ROW(INDIRECT("1:"&amp;LEN(A285)))),1))," ",REPT(" ",LEN(A285))),LEN(A285))))))), 1)) * ROW(INDIRECT("1:"&amp;LEN((--TRIM(RIGHT(SUBSTITUTE(LEFT(A285,_xlfn.AGGREGATE(16,6,FIND({0,1,2,3,4,5,6,7,8,9},A285,ROW(INDIRECT("1:"&amp;LEN(A285)))),1))," ",REPT(" ",LEN(A285))),LEN(A285))))))), 0), ROW(INDIRECT("1:"&amp;LEN((--TRIM(RIGHT(SUBSTITUTE(LEFT(A285,_xlfn.AGGREGATE(16,6,FIND({0,1,2,3,4,5,6,7,8,9},A285,ROW(INDIRECT("1:"&amp;LEN(A285)))),1))," ",REPT(" ",LEN(A285))),LEN(A285))))))))+1, 1) * 10^ROW(INDIRECT("1:"&amp;LEN((--TRIM(RIGHT(SUBSTITUTE(LEFT(A285,_xlfn.AGGREGATE(16,6,FIND({0,1,2,3,4,5,6,7,8,9},A285,ROW(INDIRECT("1:"&amp;LEN(A285)))),1))," ",REPT(" ",LEN(A285))),LEN(A285)))))))/10))*1+1</f>
        <v>303 ,.., 1503</v>
      </c>
      <c r="B286" s="123"/>
      <c r="C286" s="42"/>
      <c r="D286" s="42"/>
      <c r="E286" s="42">
        <v>0</v>
      </c>
      <c r="F286" s="42">
        <f>D286+E286</f>
        <v>0</v>
      </c>
      <c r="G286" s="42">
        <v>0</v>
      </c>
      <c r="H286" s="42">
        <f>F286*(($H$271)+1)+(IF(G286&lt;101,G286,IF(G286&lt;201,G286/2,IF(G286&lt;=301,G286/3,G286/4))))</f>
        <v>0</v>
      </c>
      <c r="I286" s="36"/>
    </row>
    <row r="287" spans="1:20" s="37" customFormat="1" ht="15.75" hidden="1" customHeight="1" x14ac:dyDescent="0.25">
      <c r="A287" s="122" t="str">
        <f ca="1">(SUMPRODUCT(MID(0&amp;(LEFT(A286,SUM(LEN(A286)-LEN(SUBSTITUTE(A286,{"0","1","2"},""))))), LARGE(INDEX(ISNUMBER(--MID((LEFT(A286,SUM(LEN(A286)-LEN(SUBSTITUTE(A286,{"0","1","2"},""))))), ROW(INDIRECT("1:"&amp;LEN((LEFT(A286,SUM(LEN(A286)-LEN(SUBSTITUTE(A286,{"0","1","2"},"")))))))), 1)) * ROW(INDIRECT("1:"&amp;LEN((LEFT(A286,SUM(LEN(A286)-LEN(SUBSTITUTE(A286,{"0","1","2"},"")))))))), 0), ROW(INDIRECT("1:"&amp;LEN((LEFT(A286,SUM(LEN(A286)-LEN(SUBSTITUTE(A286,{"0","1","2"},"")))))))))+1, 1) * 10^ROW(INDIRECT("1:"&amp;LEN((LEFT(A286,SUM(LEN(A286)-LEN(SUBSTITUTE(A286,{"0","1","2"},""))))))))/10))*1+1&amp;""&amp;" ,.., "&amp;""&amp;(SUMPRODUCT(MID(0&amp;(--TRIM(RIGHT(SUBSTITUTE(LEFT(A286,_xlfn.AGGREGATE(16,6,FIND({0,1,2,3,4,5,6,7,8,9},A286,ROW(INDIRECT("1:"&amp;LEN(A286)))),1))," ",REPT(" ",LEN(A286))),LEN(A286)))), LARGE(INDEX(ISNUMBER(--MID((--TRIM(RIGHT(SUBSTITUTE(LEFT(A286,_xlfn.AGGREGATE(16,6,FIND({0,1,2,3,4,5,6,7,8,9},A286,ROW(INDIRECT("1:"&amp;LEN(A286)))),1))," ",REPT(" ",LEN(A286))),LEN(A286)))), ROW(INDIRECT("1:"&amp;LEN((--TRIM(RIGHT(SUBSTITUTE(LEFT(A286,_xlfn.AGGREGATE(16,6,FIND({0,1,2,3,4,5,6,7,8,9},A286,ROW(INDIRECT("1:"&amp;LEN(A286)))),1))," ",REPT(" ",LEN(A286))),LEN(A286))))))), 1)) * ROW(INDIRECT("1:"&amp;LEN((--TRIM(RIGHT(SUBSTITUTE(LEFT(A286,_xlfn.AGGREGATE(16,6,FIND({0,1,2,3,4,5,6,7,8,9},A286,ROW(INDIRECT("1:"&amp;LEN(A286)))),1))," ",REPT(" ",LEN(A286))),LEN(A286))))))), 0), ROW(INDIRECT("1:"&amp;LEN((--TRIM(RIGHT(SUBSTITUTE(LEFT(A286,_xlfn.AGGREGATE(16,6,FIND({0,1,2,3,4,5,6,7,8,9},A286,ROW(INDIRECT("1:"&amp;LEN(A286)))),1))," ",REPT(" ",LEN(A286))),LEN(A286))))))))+1, 1) * 10^ROW(INDIRECT("1:"&amp;LEN((--TRIM(RIGHT(SUBSTITUTE(LEFT(A286,_xlfn.AGGREGATE(16,6,FIND({0,1,2,3,4,5,6,7,8,9},A286,ROW(INDIRECT("1:"&amp;LEN(A286)))),1))," ",REPT(" ",LEN(A286))),LEN(A286)))))))/10))*1+1</f>
        <v>304 ,.., 1504</v>
      </c>
      <c r="B287" s="123"/>
      <c r="C287" s="42"/>
      <c r="D287" s="42"/>
      <c r="E287" s="42">
        <v>0</v>
      </c>
      <c r="F287" s="42">
        <f>D287+E287</f>
        <v>0</v>
      </c>
      <c r="G287" s="42">
        <v>0</v>
      </c>
      <c r="H287" s="42">
        <f>F287*(($H$271)+1)+(IF(G287&lt;101,G287,IF(G287&lt;201,G287/2,IF(G287&lt;=301,G287/3,G287/4))))</f>
        <v>0</v>
      </c>
      <c r="I287" s="36"/>
    </row>
    <row r="288" spans="1:20" s="37" customFormat="1" ht="15.75" hidden="1" customHeight="1" x14ac:dyDescent="0.25">
      <c r="A288" s="122" t="str">
        <f ca="1">(SUMPRODUCT(MID(0&amp;(LEFT(A287,SUM(LEN(A287)-LEN(SUBSTITUTE(A287,{"0","1","2"},""))))), LARGE(INDEX(ISNUMBER(--MID((LEFT(A287,SUM(LEN(A287)-LEN(SUBSTITUTE(A287,{"0","1","2"},""))))), ROW(INDIRECT("1:"&amp;LEN((LEFT(A287,SUM(LEN(A287)-LEN(SUBSTITUTE(A287,{"0","1","2"},"")))))))), 1)) * ROW(INDIRECT("1:"&amp;LEN((LEFT(A287,SUM(LEN(A287)-LEN(SUBSTITUTE(A287,{"0","1","2"},"")))))))), 0), ROW(INDIRECT("1:"&amp;LEN((LEFT(A287,SUM(LEN(A287)-LEN(SUBSTITUTE(A287,{"0","1","2"},"")))))))))+1, 1) * 10^ROW(INDIRECT("1:"&amp;LEN((LEFT(A287,SUM(LEN(A287)-LEN(SUBSTITUTE(A287,{"0","1","2"},""))))))))/10))*1+1&amp;""&amp;" ,.., "&amp;""&amp;(SUMPRODUCT(MID(0&amp;(--TRIM(RIGHT(SUBSTITUTE(LEFT(A287,_xlfn.AGGREGATE(16,6,FIND({0,1,2,3,4,5,6,7,8,9},A287,ROW(INDIRECT("1:"&amp;LEN(A287)))),1))," ",REPT(" ",LEN(A287))),LEN(A287)))), LARGE(INDEX(ISNUMBER(--MID((--TRIM(RIGHT(SUBSTITUTE(LEFT(A287,_xlfn.AGGREGATE(16,6,FIND({0,1,2,3,4,5,6,7,8,9},A287,ROW(INDIRECT("1:"&amp;LEN(A287)))),1))," ",REPT(" ",LEN(A287))),LEN(A287)))), ROW(INDIRECT("1:"&amp;LEN((--TRIM(RIGHT(SUBSTITUTE(LEFT(A287,_xlfn.AGGREGATE(16,6,FIND({0,1,2,3,4,5,6,7,8,9},A287,ROW(INDIRECT("1:"&amp;LEN(A287)))),1))," ",REPT(" ",LEN(A287))),LEN(A287))))))), 1)) * ROW(INDIRECT("1:"&amp;LEN((--TRIM(RIGHT(SUBSTITUTE(LEFT(A287,_xlfn.AGGREGATE(16,6,FIND({0,1,2,3,4,5,6,7,8,9},A287,ROW(INDIRECT("1:"&amp;LEN(A287)))),1))," ",REPT(" ",LEN(A287))),LEN(A287))))))), 0), ROW(INDIRECT("1:"&amp;LEN((--TRIM(RIGHT(SUBSTITUTE(LEFT(A287,_xlfn.AGGREGATE(16,6,FIND({0,1,2,3,4,5,6,7,8,9},A287,ROW(INDIRECT("1:"&amp;LEN(A287)))),1))," ",REPT(" ",LEN(A287))),LEN(A287))))))))+1, 1) * 10^ROW(INDIRECT("1:"&amp;LEN((--TRIM(RIGHT(SUBSTITUTE(LEFT(A287,_xlfn.AGGREGATE(16,6,FIND({0,1,2,3,4,5,6,7,8,9},A287,ROW(INDIRECT("1:"&amp;LEN(A287)))),1))," ",REPT(" ",LEN(A287))),LEN(A287)))))))/10))*1+1</f>
        <v>305 ,.., 1505</v>
      </c>
      <c r="B288" s="123"/>
      <c r="C288" s="42"/>
      <c r="D288" s="42"/>
      <c r="E288" s="42">
        <v>0</v>
      </c>
      <c r="F288" s="42">
        <f>D288+E288</f>
        <v>0</v>
      </c>
      <c r="G288" s="42">
        <v>0</v>
      </c>
      <c r="H288" s="42">
        <f>F288*(($H$271)+1)+(IF(G288&lt;101,G288,IF(G288&lt;201,G288/2,IF(G288&lt;=301,G288/3,G288/4))))</f>
        <v>0</v>
      </c>
      <c r="I288" s="36"/>
    </row>
    <row r="289" spans="1:20" s="37" customFormat="1" hidden="1" x14ac:dyDescent="0.25">
      <c r="A289" s="124" t="s">
        <v>145</v>
      </c>
      <c r="B289" s="125"/>
      <c r="C289" s="125"/>
      <c r="D289" s="125"/>
      <c r="E289" s="125"/>
      <c r="F289" s="125"/>
      <c r="G289" s="125"/>
      <c r="H289" s="126"/>
      <c r="I289" s="36"/>
    </row>
    <row r="290" spans="1:20" s="37" customFormat="1" ht="15.75" hidden="1" customHeight="1" x14ac:dyDescent="0.25">
      <c r="A290" s="122" t="str">
        <f ca="1">(SUMPRODUCT(MID(0&amp;(LEFT(A289,SUM(LEN(A289)-LEN(SUBSTITUTE(A289,{"0","1","2"},""))))), LARGE(INDEX(ISNUMBER(--MID((LEFT(A289,SUM(LEN(A289)-LEN(SUBSTITUTE(A289,{"0","1","2"},""))))), ROW(INDIRECT("1:"&amp;LEN((LEFT(A289,SUM(LEN(A289)-LEN(SUBSTITUTE(A289,{"0","1","2"},"")))))))), 1)) * ROW(INDIRECT("1:"&amp;LEN((LEFT(A289,SUM(LEN(A289)-LEN(SUBSTITUTE(A289,{"0","1","2"},"")))))))), 0), ROW(INDIRECT("1:"&amp;LEN((LEFT(A289,SUM(LEN(A289)-LEN(SUBSTITUTE(A289,{"0","1","2"},"")))))))))+1, 1) * 10^ROW(INDIRECT("1:"&amp;LEN((LEFT(A289,SUM(LEN(A289)-LEN(SUBSTITUTE(A289,{"0","1","2"},""))))))))/10))*100+1&amp;""&amp;" to "&amp;""&amp;(SUMPRODUCT(MID(0&amp;(--TRIM(RIGHT(SUBSTITUTE(LEFT(A289,_xlfn.AGGREGATE(16,6,FIND({0,1,2,3,4,5,6,7,8,9},A289,ROW(INDIRECT("1:"&amp;LEN(A289)))),1))," ",REPT(" ",LEN(A289))),LEN(A289)))), LARGE(INDEX(ISNUMBER(--MID((--TRIM(RIGHT(SUBSTITUTE(LEFT(A289,_xlfn.AGGREGATE(16,6,FIND({0,1,2,3,4,5,6,7,8,9},A289,ROW(INDIRECT("1:"&amp;LEN(A289)))),1))," ",REPT(" ",LEN(A289))),LEN(A289)))), ROW(INDIRECT("1:"&amp;LEN((--TRIM(RIGHT(SUBSTITUTE(LEFT(A289,_xlfn.AGGREGATE(16,6,FIND({0,1,2,3,4,5,6,7,8,9},A289,ROW(INDIRECT("1:"&amp;LEN(A289)))),1))," ",REPT(" ",LEN(A289))),LEN(A289))))))), 1)) * ROW(INDIRECT("1:"&amp;LEN((--TRIM(RIGHT(SUBSTITUTE(LEFT(A289,_xlfn.AGGREGATE(16,6,FIND({0,1,2,3,4,5,6,7,8,9},A289,ROW(INDIRECT("1:"&amp;LEN(A289)))),1))," ",REPT(" ",LEN(A289))),LEN(A289))))))), 0), ROW(INDIRECT("1:"&amp;LEN((--TRIM(RIGHT(SUBSTITUTE(LEFT(A289,_xlfn.AGGREGATE(16,6,FIND({0,1,2,3,4,5,6,7,8,9},A289,ROW(INDIRECT("1:"&amp;LEN(A289)))),1))," ",REPT(" ",LEN(A289))),LEN(A289))))))))+1, 1) * 10^ROW(INDIRECT("1:"&amp;LEN((--TRIM(RIGHT(SUBSTITUTE(LEFT(A289,_xlfn.AGGREGATE(16,6,FIND({0,1,2,3,4,5,6,7,8,9},A289,ROW(INDIRECT("1:"&amp;LEN(A289)))),1))," ",REPT(" ",LEN(A289))),LEN(A289)))))))/10))*100+1</f>
        <v>201 to 501</v>
      </c>
      <c r="B290" s="123"/>
      <c r="C290" s="42"/>
      <c r="D290" s="42"/>
      <c r="E290" s="42">
        <v>0</v>
      </c>
      <c r="F290" s="42">
        <f>D290+E290</f>
        <v>0</v>
      </c>
      <c r="G290" s="42">
        <v>0</v>
      </c>
      <c r="H290" s="42">
        <f>F290*(($H$271)+1)+(IF(G290&lt;101,G290,IF(G290&lt;201,G290/2,IF(G290&lt;=301,G290/3,G290/4))))</f>
        <v>0</v>
      </c>
      <c r="I290" s="36"/>
    </row>
    <row r="291" spans="1:20" s="37" customFormat="1" ht="15.75" hidden="1" customHeight="1" x14ac:dyDescent="0.25">
      <c r="A291" s="122" t="str">
        <f ca="1">(SUMPRODUCT(MID(0&amp;(LEFT(A290,SUM(LEN(A290)-LEN(SUBSTITUTE(A290,{"0","1","2"},""))))), LARGE(INDEX(ISNUMBER(--MID((LEFT(A290,SUM(LEN(A290)-LEN(SUBSTITUTE(A290,{"0","1","2"},""))))), ROW(INDIRECT("1:"&amp;LEN((LEFT(A290,SUM(LEN(A290)-LEN(SUBSTITUTE(A290,{"0","1","2"},"")))))))), 1)) * ROW(INDIRECT("1:"&amp;LEN((LEFT(A290,SUM(LEN(A290)-LEN(SUBSTITUTE(A290,{"0","1","2"},"")))))))), 0), ROW(INDIRECT("1:"&amp;LEN((LEFT(A290,SUM(LEN(A290)-LEN(SUBSTITUTE(A290,{"0","1","2"},"")))))))))+1, 1) * 10^ROW(INDIRECT("1:"&amp;LEN((LEFT(A290,SUM(LEN(A290)-LEN(SUBSTITUTE(A290,{"0","1","2"},""))))))))/10))*1+1&amp;""&amp;" to "&amp;""&amp;(SUMPRODUCT(MID(0&amp;(--TRIM(RIGHT(SUBSTITUTE(LEFT(A290,_xlfn.AGGREGATE(16,6,FIND({0,1,2,3,4,5,6,7,8,9},A290,ROW(INDIRECT("1:"&amp;LEN(A290)))),1))," ",REPT(" ",LEN(A290))),LEN(A290)))), LARGE(INDEX(ISNUMBER(--MID((--TRIM(RIGHT(SUBSTITUTE(LEFT(A290,_xlfn.AGGREGATE(16,6,FIND({0,1,2,3,4,5,6,7,8,9},A290,ROW(INDIRECT("1:"&amp;LEN(A290)))),1))," ",REPT(" ",LEN(A290))),LEN(A290)))), ROW(INDIRECT("1:"&amp;LEN((--TRIM(RIGHT(SUBSTITUTE(LEFT(A290,_xlfn.AGGREGATE(16,6,FIND({0,1,2,3,4,5,6,7,8,9},A290,ROW(INDIRECT("1:"&amp;LEN(A290)))),1))," ",REPT(" ",LEN(A290))),LEN(A290))))))), 1)) * ROW(INDIRECT("1:"&amp;LEN((--TRIM(RIGHT(SUBSTITUTE(LEFT(A290,_xlfn.AGGREGATE(16,6,FIND({0,1,2,3,4,5,6,7,8,9},A290,ROW(INDIRECT("1:"&amp;LEN(A290)))),1))," ",REPT(" ",LEN(A290))),LEN(A290))))))), 0), ROW(INDIRECT("1:"&amp;LEN((--TRIM(RIGHT(SUBSTITUTE(LEFT(A290,_xlfn.AGGREGATE(16,6,FIND({0,1,2,3,4,5,6,7,8,9},A290,ROW(INDIRECT("1:"&amp;LEN(A290)))),1))," ",REPT(" ",LEN(A290))),LEN(A290))))))))+1, 1) * 10^ROW(INDIRECT("1:"&amp;LEN((--TRIM(RIGHT(SUBSTITUTE(LEFT(A290,_xlfn.AGGREGATE(16,6,FIND({0,1,2,3,4,5,6,7,8,9},A290,ROW(INDIRECT("1:"&amp;LEN(A290)))),1))," ",REPT(" ",LEN(A290))),LEN(A290)))))))/10))*1+1</f>
        <v>202 to 502</v>
      </c>
      <c r="B291" s="123"/>
      <c r="C291" s="42"/>
      <c r="D291" s="42"/>
      <c r="E291" s="42">
        <v>0</v>
      </c>
      <c r="F291" s="42">
        <f>D291+E291</f>
        <v>0</v>
      </c>
      <c r="G291" s="42">
        <v>0</v>
      </c>
      <c r="H291" s="42">
        <f>F291*(($H$271)+1)+(IF(G291&lt;101,G291,IF(G291&lt;201,G291/2,IF(G291&lt;=301,G291/3,G291/4))))</f>
        <v>0</v>
      </c>
      <c r="I291" s="36"/>
    </row>
    <row r="292" spans="1:20" s="37" customFormat="1" ht="15.75" hidden="1" customHeight="1" x14ac:dyDescent="0.25">
      <c r="A292" s="122" t="str">
        <f ca="1">(SUMPRODUCT(MID(0&amp;(LEFT(A291,SUM(LEN(A291)-LEN(SUBSTITUTE(A291,{"0","1","2"},""))))), LARGE(INDEX(ISNUMBER(--MID((LEFT(A291,SUM(LEN(A291)-LEN(SUBSTITUTE(A291,{"0","1","2"},""))))), ROW(INDIRECT("1:"&amp;LEN((LEFT(A291,SUM(LEN(A291)-LEN(SUBSTITUTE(A291,{"0","1","2"},"")))))))), 1)) * ROW(INDIRECT("1:"&amp;LEN((LEFT(A291,SUM(LEN(A291)-LEN(SUBSTITUTE(A291,{"0","1","2"},"")))))))), 0), ROW(INDIRECT("1:"&amp;LEN((LEFT(A291,SUM(LEN(A291)-LEN(SUBSTITUTE(A291,{"0","1","2"},"")))))))))+1, 1) * 10^ROW(INDIRECT("1:"&amp;LEN((LEFT(A291,SUM(LEN(A291)-LEN(SUBSTITUTE(A291,{"0","1","2"},""))))))))/10))*1+1&amp;""&amp;" to "&amp;""&amp;(SUMPRODUCT(MID(0&amp;(--TRIM(RIGHT(SUBSTITUTE(LEFT(A291,_xlfn.AGGREGATE(16,6,FIND({0,1,2,3,4,5,6,7,8,9},A291,ROW(INDIRECT("1:"&amp;LEN(A291)))),1))," ",REPT(" ",LEN(A291))),LEN(A291)))), LARGE(INDEX(ISNUMBER(--MID((--TRIM(RIGHT(SUBSTITUTE(LEFT(A291,_xlfn.AGGREGATE(16,6,FIND({0,1,2,3,4,5,6,7,8,9},A291,ROW(INDIRECT("1:"&amp;LEN(A291)))),1))," ",REPT(" ",LEN(A291))),LEN(A291)))), ROW(INDIRECT("1:"&amp;LEN((--TRIM(RIGHT(SUBSTITUTE(LEFT(A291,_xlfn.AGGREGATE(16,6,FIND({0,1,2,3,4,5,6,7,8,9},A291,ROW(INDIRECT("1:"&amp;LEN(A291)))),1))," ",REPT(" ",LEN(A291))),LEN(A291))))))), 1)) * ROW(INDIRECT("1:"&amp;LEN((--TRIM(RIGHT(SUBSTITUTE(LEFT(A291,_xlfn.AGGREGATE(16,6,FIND({0,1,2,3,4,5,6,7,8,9},A291,ROW(INDIRECT("1:"&amp;LEN(A291)))),1))," ",REPT(" ",LEN(A291))),LEN(A291))))))), 0), ROW(INDIRECT("1:"&amp;LEN((--TRIM(RIGHT(SUBSTITUTE(LEFT(A291,_xlfn.AGGREGATE(16,6,FIND({0,1,2,3,4,5,6,7,8,9},A291,ROW(INDIRECT("1:"&amp;LEN(A291)))),1))," ",REPT(" ",LEN(A291))),LEN(A291))))))))+1, 1) * 10^ROW(INDIRECT("1:"&amp;LEN((--TRIM(RIGHT(SUBSTITUTE(LEFT(A291,_xlfn.AGGREGATE(16,6,FIND({0,1,2,3,4,5,6,7,8,9},A291,ROW(INDIRECT("1:"&amp;LEN(A291)))),1))," ",REPT(" ",LEN(A291))),LEN(A291)))))))/10))*1+1</f>
        <v>203 to 503</v>
      </c>
      <c r="B292" s="123"/>
      <c r="C292" s="42"/>
      <c r="D292" s="42"/>
      <c r="E292" s="42">
        <v>0</v>
      </c>
      <c r="F292" s="42">
        <f>D292+E292</f>
        <v>0</v>
      </c>
      <c r="G292" s="42">
        <v>0</v>
      </c>
      <c r="H292" s="42">
        <f>F292*(($H$271)+1)+(IF(G292&lt;101,G292,IF(G292&lt;201,G292/2,IF(G292&lt;=301,G292/3,G292/4))))</f>
        <v>0</v>
      </c>
      <c r="I292" s="36"/>
    </row>
    <row r="293" spans="1:20" s="37" customFormat="1" ht="15.75" hidden="1" customHeight="1" x14ac:dyDescent="0.25">
      <c r="A293" s="122" t="str">
        <f ca="1">(SUMPRODUCT(MID(0&amp;(LEFT(A292,SUM(LEN(A292)-LEN(SUBSTITUTE(A292,{"0","1","2"},""))))), LARGE(INDEX(ISNUMBER(--MID((LEFT(A292,SUM(LEN(A292)-LEN(SUBSTITUTE(A292,{"0","1","2"},""))))), ROW(INDIRECT("1:"&amp;LEN((LEFT(A292,SUM(LEN(A292)-LEN(SUBSTITUTE(A292,{"0","1","2"},"")))))))), 1)) * ROW(INDIRECT("1:"&amp;LEN((LEFT(A292,SUM(LEN(A292)-LEN(SUBSTITUTE(A292,{"0","1","2"},"")))))))), 0), ROW(INDIRECT("1:"&amp;LEN((LEFT(A292,SUM(LEN(A292)-LEN(SUBSTITUTE(A292,{"0","1","2"},"")))))))))+1, 1) * 10^ROW(INDIRECT("1:"&amp;LEN((LEFT(A292,SUM(LEN(A292)-LEN(SUBSTITUTE(A292,{"0","1","2"},""))))))))/10))*1+1&amp;""&amp;" to "&amp;""&amp;(SUMPRODUCT(MID(0&amp;(--TRIM(RIGHT(SUBSTITUTE(LEFT(A292,_xlfn.AGGREGATE(16,6,FIND({0,1,2,3,4,5,6,7,8,9},A292,ROW(INDIRECT("1:"&amp;LEN(A292)))),1))," ",REPT(" ",LEN(A292))),LEN(A292)))), LARGE(INDEX(ISNUMBER(--MID((--TRIM(RIGHT(SUBSTITUTE(LEFT(A292,_xlfn.AGGREGATE(16,6,FIND({0,1,2,3,4,5,6,7,8,9},A292,ROW(INDIRECT("1:"&amp;LEN(A292)))),1))," ",REPT(" ",LEN(A292))),LEN(A292)))), ROW(INDIRECT("1:"&amp;LEN((--TRIM(RIGHT(SUBSTITUTE(LEFT(A292,_xlfn.AGGREGATE(16,6,FIND({0,1,2,3,4,5,6,7,8,9},A292,ROW(INDIRECT("1:"&amp;LEN(A292)))),1))," ",REPT(" ",LEN(A292))),LEN(A292))))))), 1)) * ROW(INDIRECT("1:"&amp;LEN((--TRIM(RIGHT(SUBSTITUTE(LEFT(A292,_xlfn.AGGREGATE(16,6,FIND({0,1,2,3,4,5,6,7,8,9},A292,ROW(INDIRECT("1:"&amp;LEN(A292)))),1))," ",REPT(" ",LEN(A292))),LEN(A292))))))), 0), ROW(INDIRECT("1:"&amp;LEN((--TRIM(RIGHT(SUBSTITUTE(LEFT(A292,_xlfn.AGGREGATE(16,6,FIND({0,1,2,3,4,5,6,7,8,9},A292,ROW(INDIRECT("1:"&amp;LEN(A292)))),1))," ",REPT(" ",LEN(A292))),LEN(A292))))))))+1, 1) * 10^ROW(INDIRECT("1:"&amp;LEN((--TRIM(RIGHT(SUBSTITUTE(LEFT(A292,_xlfn.AGGREGATE(16,6,FIND({0,1,2,3,4,5,6,7,8,9},A292,ROW(INDIRECT("1:"&amp;LEN(A292)))),1))," ",REPT(" ",LEN(A292))),LEN(A292)))))))/10))*1+1</f>
        <v>204 to 504</v>
      </c>
      <c r="B293" s="123"/>
      <c r="C293" s="42"/>
      <c r="D293" s="42"/>
      <c r="E293" s="42">
        <v>0</v>
      </c>
      <c r="F293" s="42">
        <f>D293+E293</f>
        <v>0</v>
      </c>
      <c r="G293" s="42">
        <v>0</v>
      </c>
      <c r="H293" s="42">
        <f>F293*(($H$271)+1)+(IF(G293&lt;101,G293,IF(G293&lt;201,G293/2,IF(G293&lt;=301,G293/3,G293/4))))</f>
        <v>0</v>
      </c>
      <c r="I293" s="36"/>
    </row>
    <row r="294" spans="1:20" s="37" customFormat="1" ht="15.75" hidden="1" customHeight="1" x14ac:dyDescent="0.25">
      <c r="A294" s="122" t="str">
        <f ca="1">(SUMPRODUCT(MID(0&amp;(LEFT(A293,SUM(LEN(A293)-LEN(SUBSTITUTE(A293,{"0","1","2"},""))))), LARGE(INDEX(ISNUMBER(--MID((LEFT(A293,SUM(LEN(A293)-LEN(SUBSTITUTE(A293,{"0","1","2"},""))))), ROW(INDIRECT("1:"&amp;LEN((LEFT(A293,SUM(LEN(A293)-LEN(SUBSTITUTE(A293,{"0","1","2"},"")))))))), 1)) * ROW(INDIRECT("1:"&amp;LEN((LEFT(A293,SUM(LEN(A293)-LEN(SUBSTITUTE(A293,{"0","1","2"},"")))))))), 0), ROW(INDIRECT("1:"&amp;LEN((LEFT(A293,SUM(LEN(A293)-LEN(SUBSTITUTE(A293,{"0","1","2"},"")))))))))+1, 1) * 10^ROW(INDIRECT("1:"&amp;LEN((LEFT(A293,SUM(LEN(A293)-LEN(SUBSTITUTE(A293,{"0","1","2"},""))))))))/10))*1+1&amp;""&amp;" to "&amp;""&amp;(SUMPRODUCT(MID(0&amp;(--TRIM(RIGHT(SUBSTITUTE(LEFT(A293,_xlfn.AGGREGATE(16,6,FIND({0,1,2,3,4,5,6,7,8,9},A293,ROW(INDIRECT("1:"&amp;LEN(A293)))),1))," ",REPT(" ",LEN(A293))),LEN(A293)))), LARGE(INDEX(ISNUMBER(--MID((--TRIM(RIGHT(SUBSTITUTE(LEFT(A293,_xlfn.AGGREGATE(16,6,FIND({0,1,2,3,4,5,6,7,8,9},A293,ROW(INDIRECT("1:"&amp;LEN(A293)))),1))," ",REPT(" ",LEN(A293))),LEN(A293)))), ROW(INDIRECT("1:"&amp;LEN((--TRIM(RIGHT(SUBSTITUTE(LEFT(A293,_xlfn.AGGREGATE(16,6,FIND({0,1,2,3,4,5,6,7,8,9},A293,ROW(INDIRECT("1:"&amp;LEN(A293)))),1))," ",REPT(" ",LEN(A293))),LEN(A293))))))), 1)) * ROW(INDIRECT("1:"&amp;LEN((--TRIM(RIGHT(SUBSTITUTE(LEFT(A293,_xlfn.AGGREGATE(16,6,FIND({0,1,2,3,4,5,6,7,8,9},A293,ROW(INDIRECT("1:"&amp;LEN(A293)))),1))," ",REPT(" ",LEN(A293))),LEN(A293))))))), 0), ROW(INDIRECT("1:"&amp;LEN((--TRIM(RIGHT(SUBSTITUTE(LEFT(A293,_xlfn.AGGREGATE(16,6,FIND({0,1,2,3,4,5,6,7,8,9},A293,ROW(INDIRECT("1:"&amp;LEN(A293)))),1))," ",REPT(" ",LEN(A293))),LEN(A293))))))))+1, 1) * 10^ROW(INDIRECT("1:"&amp;LEN((--TRIM(RIGHT(SUBSTITUTE(LEFT(A293,_xlfn.AGGREGATE(16,6,FIND({0,1,2,3,4,5,6,7,8,9},A293,ROW(INDIRECT("1:"&amp;LEN(A293)))),1))," ",REPT(" ",LEN(A293))),LEN(A293)))))))/10))*1+1</f>
        <v>205 to 505</v>
      </c>
      <c r="B294" s="123"/>
      <c r="C294" s="42"/>
      <c r="D294" s="42"/>
      <c r="E294" s="42">
        <v>0</v>
      </c>
      <c r="F294" s="42">
        <f>D294+E294</f>
        <v>0</v>
      </c>
      <c r="G294" s="42">
        <v>0</v>
      </c>
      <c r="H294" s="42">
        <f>F294*(($H$271)+1)+(IF(G294&lt;101,G294,IF(G294&lt;201,G294/2,IF(G294&lt;=301,G294/3,G294/4))))</f>
        <v>0</v>
      </c>
      <c r="I294" s="36"/>
    </row>
    <row r="295" spans="1:20" s="37" customFormat="1" hidden="1" x14ac:dyDescent="0.25">
      <c r="A295" s="124" t="s">
        <v>146</v>
      </c>
      <c r="B295" s="125"/>
      <c r="C295" s="125"/>
      <c r="D295" s="125"/>
      <c r="E295" s="125"/>
      <c r="F295" s="125"/>
      <c r="G295" s="125"/>
      <c r="H295" s="126"/>
      <c r="I295" s="36"/>
    </row>
    <row r="296" spans="1:20" s="37" customFormat="1" ht="15.75" hidden="1" customHeight="1" x14ac:dyDescent="0.25">
      <c r="A296" s="122" t="str">
        <f ca="1">(SUMPRODUCT(MID(0&amp;(LEFT(A295,SUM(LEN(A295)-LEN(SUBSTITUTE(A295,{"0","1","2"},""))))), LARGE(INDEX(ISNUMBER(--MID((LEFT(A295,SUM(LEN(A295)-LEN(SUBSTITUTE(A295,{"0","1","2"},""))))), ROW(INDIRECT("1:"&amp;LEN((LEFT(A295,SUM(LEN(A295)-LEN(SUBSTITUTE(A295,{"0","1","2"},"")))))))), 1)) * ROW(INDIRECT("1:"&amp;LEN((LEFT(A295,SUM(LEN(A295)-LEN(SUBSTITUTE(A295,{"0","1","2"},"")))))))), 0), ROW(INDIRECT("1:"&amp;LEN((LEFT(A295,SUM(LEN(A295)-LEN(SUBSTITUTE(A295,{"0","1","2"},"")))))))))+1, 1) * 10^ROW(INDIRECT("1:"&amp;LEN((LEFT(A295,SUM(LEN(A295)-LEN(SUBSTITUTE(A295,{"0","1","2"},""))))))))/10))*100+1&amp;""&amp;" &amp; "&amp;""&amp;(SUMPRODUCT(MID(0&amp;(--TRIM(RIGHT(SUBSTITUTE(LEFT(A295,_xlfn.AGGREGATE(16,6,FIND({0,1,2,3,4,5,6,7,8,9},A295,ROW(INDIRECT("1:"&amp;LEN(A295)))),1))," ",REPT(" ",LEN(A295))),LEN(A295)))), LARGE(INDEX(ISNUMBER(--MID((--TRIM(RIGHT(SUBSTITUTE(LEFT(A295,_xlfn.AGGREGATE(16,6,FIND({0,1,2,3,4,5,6,7,8,9},A295,ROW(INDIRECT("1:"&amp;LEN(A295)))),1))," ",REPT(" ",LEN(A295))),LEN(A295)))), ROW(INDIRECT("1:"&amp;LEN((--TRIM(RIGHT(SUBSTITUTE(LEFT(A295,_xlfn.AGGREGATE(16,6,FIND({0,1,2,3,4,5,6,7,8,9},A295,ROW(INDIRECT("1:"&amp;LEN(A295)))),1))," ",REPT(" ",LEN(A295))),LEN(A295))))))), 1)) * ROW(INDIRECT("1:"&amp;LEN((--TRIM(RIGHT(SUBSTITUTE(LEFT(A295,_xlfn.AGGREGATE(16,6,FIND({0,1,2,3,4,5,6,7,8,9},A295,ROW(INDIRECT("1:"&amp;LEN(A295)))),1))," ",REPT(" ",LEN(A295))),LEN(A295))))))), 0), ROW(INDIRECT("1:"&amp;LEN((--TRIM(RIGHT(SUBSTITUTE(LEFT(A295,_xlfn.AGGREGATE(16,6,FIND({0,1,2,3,4,5,6,7,8,9},A295,ROW(INDIRECT("1:"&amp;LEN(A295)))),1))," ",REPT(" ",LEN(A295))),LEN(A295))))))))+1, 1) * 10^ROW(INDIRECT("1:"&amp;LEN((--TRIM(RIGHT(SUBSTITUTE(LEFT(A295,_xlfn.AGGREGATE(16,6,FIND({0,1,2,3,4,5,6,7,8,9},A295,ROW(INDIRECT("1:"&amp;LEN(A295)))),1))," ",REPT(" ",LEN(A295))),LEN(A295)))))))/10))*100+1</f>
        <v>201 &amp; 501</v>
      </c>
      <c r="B296" s="123"/>
      <c r="C296" s="42"/>
      <c r="D296" s="42"/>
      <c r="E296" s="42">
        <v>0</v>
      </c>
      <c r="F296" s="42">
        <f>D296+E296</f>
        <v>0</v>
      </c>
      <c r="G296" s="42">
        <v>0</v>
      </c>
      <c r="H296" s="42">
        <f>F296*(($H$271)+1)+(IF(G296&lt;101,G296,IF(G296&lt;201,G296/2,IF(G296&lt;=301,G296/3,G296/4))))</f>
        <v>0</v>
      </c>
      <c r="I296" s="36"/>
    </row>
    <row r="297" spans="1:20" s="37" customFormat="1" ht="15.75" hidden="1" customHeight="1" x14ac:dyDescent="0.25">
      <c r="A297" s="122" t="str">
        <f ca="1">(SUMPRODUCT(MID(0&amp;(LEFT(A296,SUM(LEN(A296)-LEN(SUBSTITUTE(A296,{"0","1","2"},""))))), LARGE(INDEX(ISNUMBER(--MID((LEFT(A296,SUM(LEN(A296)-LEN(SUBSTITUTE(A296,{"0","1","2"},""))))), ROW(INDIRECT("1:"&amp;LEN((LEFT(A296,SUM(LEN(A296)-LEN(SUBSTITUTE(A296,{"0","1","2"},"")))))))), 1)) * ROW(INDIRECT("1:"&amp;LEN((LEFT(A296,SUM(LEN(A296)-LEN(SUBSTITUTE(A296,{"0","1","2"},"")))))))), 0), ROW(INDIRECT("1:"&amp;LEN((LEFT(A296,SUM(LEN(A296)-LEN(SUBSTITUTE(A296,{"0","1","2"},"")))))))))+1, 1) * 10^ROW(INDIRECT("1:"&amp;LEN((LEFT(A296,SUM(LEN(A296)-LEN(SUBSTITUTE(A296,{"0","1","2"},""))))))))/10))*1+1&amp;""&amp;" &amp; "&amp;""&amp;(SUMPRODUCT(MID(0&amp;(--TRIM(RIGHT(SUBSTITUTE(LEFT(A296,_xlfn.AGGREGATE(16,6,FIND({0,1,2,3,4,5,6,7,8,9},A296,ROW(INDIRECT("1:"&amp;LEN(A296)))),1))," ",REPT(" ",LEN(A296))),LEN(A296)))), LARGE(INDEX(ISNUMBER(--MID((--TRIM(RIGHT(SUBSTITUTE(LEFT(A296,_xlfn.AGGREGATE(16,6,FIND({0,1,2,3,4,5,6,7,8,9},A296,ROW(INDIRECT("1:"&amp;LEN(A296)))),1))," ",REPT(" ",LEN(A296))),LEN(A296)))), ROW(INDIRECT("1:"&amp;LEN((--TRIM(RIGHT(SUBSTITUTE(LEFT(A296,_xlfn.AGGREGATE(16,6,FIND({0,1,2,3,4,5,6,7,8,9},A296,ROW(INDIRECT("1:"&amp;LEN(A296)))),1))," ",REPT(" ",LEN(A296))),LEN(A296))))))), 1)) * ROW(INDIRECT("1:"&amp;LEN((--TRIM(RIGHT(SUBSTITUTE(LEFT(A296,_xlfn.AGGREGATE(16,6,FIND({0,1,2,3,4,5,6,7,8,9},A296,ROW(INDIRECT("1:"&amp;LEN(A296)))),1))," ",REPT(" ",LEN(A296))),LEN(A296))))))), 0), ROW(INDIRECT("1:"&amp;LEN((--TRIM(RIGHT(SUBSTITUTE(LEFT(A296,_xlfn.AGGREGATE(16,6,FIND({0,1,2,3,4,5,6,7,8,9},A296,ROW(INDIRECT("1:"&amp;LEN(A296)))),1))," ",REPT(" ",LEN(A296))),LEN(A296))))))))+1, 1) * 10^ROW(INDIRECT("1:"&amp;LEN((--TRIM(RIGHT(SUBSTITUTE(LEFT(A296,_xlfn.AGGREGATE(16,6,FIND({0,1,2,3,4,5,6,7,8,9},A296,ROW(INDIRECT("1:"&amp;LEN(A296)))),1))," ",REPT(" ",LEN(A296))),LEN(A296)))))))/10))*1+1</f>
        <v>202 &amp; 502</v>
      </c>
      <c r="B297" s="123"/>
      <c r="C297" s="42"/>
      <c r="D297" s="42"/>
      <c r="E297" s="42">
        <v>0</v>
      </c>
      <c r="F297" s="42">
        <f>D297+E297</f>
        <v>0</v>
      </c>
      <c r="G297" s="42">
        <v>0</v>
      </c>
      <c r="H297" s="42">
        <f>F297*(($H$271)+1)+(IF(G297&lt;101,G297,IF(G297&lt;201,G297/2,IF(G297&lt;=301,G297/3,G297/4))))</f>
        <v>0</v>
      </c>
      <c r="I297" s="36"/>
    </row>
    <row r="298" spans="1:20" s="37" customFormat="1" ht="15.75" hidden="1" customHeight="1" x14ac:dyDescent="0.25">
      <c r="A298" s="122" t="str">
        <f ca="1">(SUMPRODUCT(MID(0&amp;(LEFT(A297,SUM(LEN(A297)-LEN(SUBSTITUTE(A297,{"0","1","2"},""))))), LARGE(INDEX(ISNUMBER(--MID((LEFT(A297,SUM(LEN(A297)-LEN(SUBSTITUTE(A297,{"0","1","2"},""))))), ROW(INDIRECT("1:"&amp;LEN((LEFT(A297,SUM(LEN(A297)-LEN(SUBSTITUTE(A297,{"0","1","2"},"")))))))), 1)) * ROW(INDIRECT("1:"&amp;LEN((LEFT(A297,SUM(LEN(A297)-LEN(SUBSTITUTE(A297,{"0","1","2"},"")))))))), 0), ROW(INDIRECT("1:"&amp;LEN((LEFT(A297,SUM(LEN(A297)-LEN(SUBSTITUTE(A297,{"0","1","2"},"")))))))))+1, 1) * 10^ROW(INDIRECT("1:"&amp;LEN((LEFT(A297,SUM(LEN(A297)-LEN(SUBSTITUTE(A297,{"0","1","2"},""))))))))/10))*1+1&amp;""&amp;" &amp; "&amp;""&amp;(SUMPRODUCT(MID(0&amp;(--TRIM(RIGHT(SUBSTITUTE(LEFT(A297,_xlfn.AGGREGATE(16,6,FIND({0,1,2,3,4,5,6,7,8,9},A297,ROW(INDIRECT("1:"&amp;LEN(A297)))),1))," ",REPT(" ",LEN(A297))),LEN(A297)))), LARGE(INDEX(ISNUMBER(--MID((--TRIM(RIGHT(SUBSTITUTE(LEFT(A297,_xlfn.AGGREGATE(16,6,FIND({0,1,2,3,4,5,6,7,8,9},A297,ROW(INDIRECT("1:"&amp;LEN(A297)))),1))," ",REPT(" ",LEN(A297))),LEN(A297)))), ROW(INDIRECT("1:"&amp;LEN((--TRIM(RIGHT(SUBSTITUTE(LEFT(A297,_xlfn.AGGREGATE(16,6,FIND({0,1,2,3,4,5,6,7,8,9},A297,ROW(INDIRECT("1:"&amp;LEN(A297)))),1))," ",REPT(" ",LEN(A297))),LEN(A297))))))), 1)) * ROW(INDIRECT("1:"&amp;LEN((--TRIM(RIGHT(SUBSTITUTE(LEFT(A297,_xlfn.AGGREGATE(16,6,FIND({0,1,2,3,4,5,6,7,8,9},A297,ROW(INDIRECT("1:"&amp;LEN(A297)))),1))," ",REPT(" ",LEN(A297))),LEN(A297))))))), 0), ROW(INDIRECT("1:"&amp;LEN((--TRIM(RIGHT(SUBSTITUTE(LEFT(A297,_xlfn.AGGREGATE(16,6,FIND({0,1,2,3,4,5,6,7,8,9},A297,ROW(INDIRECT("1:"&amp;LEN(A297)))),1))," ",REPT(" ",LEN(A297))),LEN(A297))))))))+1, 1) * 10^ROW(INDIRECT("1:"&amp;LEN((--TRIM(RIGHT(SUBSTITUTE(LEFT(A297,_xlfn.AGGREGATE(16,6,FIND({0,1,2,3,4,5,6,7,8,9},A297,ROW(INDIRECT("1:"&amp;LEN(A297)))),1))," ",REPT(" ",LEN(A297))),LEN(A297)))))))/10))*1+1</f>
        <v>203 &amp; 503</v>
      </c>
      <c r="B298" s="123"/>
      <c r="C298" s="42"/>
      <c r="D298" s="42"/>
      <c r="E298" s="42">
        <v>0</v>
      </c>
      <c r="F298" s="42">
        <f>D298+E298</f>
        <v>0</v>
      </c>
      <c r="G298" s="42">
        <v>0</v>
      </c>
      <c r="H298" s="42">
        <f>F298*(($H$271)+1)+(IF(G298&lt;101,G298,IF(G298&lt;201,G298/2,IF(G298&lt;=301,G298/3,G298/4))))</f>
        <v>0</v>
      </c>
      <c r="I298" s="36"/>
    </row>
    <row r="299" spans="1:20" s="37" customFormat="1" ht="15.75" hidden="1" customHeight="1" x14ac:dyDescent="0.25">
      <c r="A299" s="122" t="str">
        <f ca="1">(SUMPRODUCT(MID(0&amp;(LEFT(A298,SUM(LEN(A298)-LEN(SUBSTITUTE(A298,{"0","1","2"},""))))), LARGE(INDEX(ISNUMBER(--MID((LEFT(A298,SUM(LEN(A298)-LEN(SUBSTITUTE(A298,{"0","1","2"},""))))), ROW(INDIRECT("1:"&amp;LEN((LEFT(A298,SUM(LEN(A298)-LEN(SUBSTITUTE(A298,{"0","1","2"},"")))))))), 1)) * ROW(INDIRECT("1:"&amp;LEN((LEFT(A298,SUM(LEN(A298)-LEN(SUBSTITUTE(A298,{"0","1","2"},"")))))))), 0), ROW(INDIRECT("1:"&amp;LEN((LEFT(A298,SUM(LEN(A298)-LEN(SUBSTITUTE(A298,{"0","1","2"},"")))))))))+1, 1) * 10^ROW(INDIRECT("1:"&amp;LEN((LEFT(A298,SUM(LEN(A298)-LEN(SUBSTITUTE(A298,{"0","1","2"},""))))))))/10))*1+1&amp;""&amp;" &amp; "&amp;""&amp;(SUMPRODUCT(MID(0&amp;(--TRIM(RIGHT(SUBSTITUTE(LEFT(A298,_xlfn.AGGREGATE(16,6,FIND({0,1,2,3,4,5,6,7,8,9},A298,ROW(INDIRECT("1:"&amp;LEN(A298)))),1))," ",REPT(" ",LEN(A298))),LEN(A298)))), LARGE(INDEX(ISNUMBER(--MID((--TRIM(RIGHT(SUBSTITUTE(LEFT(A298,_xlfn.AGGREGATE(16,6,FIND({0,1,2,3,4,5,6,7,8,9},A298,ROW(INDIRECT("1:"&amp;LEN(A298)))),1))," ",REPT(" ",LEN(A298))),LEN(A298)))), ROW(INDIRECT("1:"&amp;LEN((--TRIM(RIGHT(SUBSTITUTE(LEFT(A298,_xlfn.AGGREGATE(16,6,FIND({0,1,2,3,4,5,6,7,8,9},A298,ROW(INDIRECT("1:"&amp;LEN(A298)))),1))," ",REPT(" ",LEN(A298))),LEN(A298))))))), 1)) * ROW(INDIRECT("1:"&amp;LEN((--TRIM(RIGHT(SUBSTITUTE(LEFT(A298,_xlfn.AGGREGATE(16,6,FIND({0,1,2,3,4,5,6,7,8,9},A298,ROW(INDIRECT("1:"&amp;LEN(A298)))),1))," ",REPT(" ",LEN(A298))),LEN(A298))))))), 0), ROW(INDIRECT("1:"&amp;LEN((--TRIM(RIGHT(SUBSTITUTE(LEFT(A298,_xlfn.AGGREGATE(16,6,FIND({0,1,2,3,4,5,6,7,8,9},A298,ROW(INDIRECT("1:"&amp;LEN(A298)))),1))," ",REPT(" ",LEN(A298))),LEN(A298))))))))+1, 1) * 10^ROW(INDIRECT("1:"&amp;LEN((--TRIM(RIGHT(SUBSTITUTE(LEFT(A298,_xlfn.AGGREGATE(16,6,FIND({0,1,2,3,4,5,6,7,8,9},A298,ROW(INDIRECT("1:"&amp;LEN(A298)))),1))," ",REPT(" ",LEN(A298))),LEN(A298)))))))/10))*1+1</f>
        <v>204 &amp; 504</v>
      </c>
      <c r="B299" s="123"/>
      <c r="C299" s="42"/>
      <c r="D299" s="42"/>
      <c r="E299" s="42">
        <v>0</v>
      </c>
      <c r="F299" s="42">
        <f>D299+E299</f>
        <v>0</v>
      </c>
      <c r="G299" s="42">
        <v>0</v>
      </c>
      <c r="H299" s="42">
        <f>F299*(($H$271)+1)+(IF(G299&lt;101,G299,IF(G299&lt;201,G299/2,IF(G299&lt;=301,G299/3,G299/4))))</f>
        <v>0</v>
      </c>
      <c r="I299" s="36"/>
    </row>
    <row r="300" spans="1:20" s="37" customFormat="1" ht="15.75" hidden="1" customHeight="1" x14ac:dyDescent="0.25">
      <c r="A300" s="122" t="str">
        <f ca="1">(SUMPRODUCT(MID(0&amp;(LEFT(A299,SUM(LEN(A299)-LEN(SUBSTITUTE(A299,{"0","1","2"},""))))), LARGE(INDEX(ISNUMBER(--MID((LEFT(A299,SUM(LEN(A299)-LEN(SUBSTITUTE(A299,{"0","1","2"},""))))), ROW(INDIRECT("1:"&amp;LEN((LEFT(A299,SUM(LEN(A299)-LEN(SUBSTITUTE(A299,{"0","1","2"},"")))))))), 1)) * ROW(INDIRECT("1:"&amp;LEN((LEFT(A299,SUM(LEN(A299)-LEN(SUBSTITUTE(A299,{"0","1","2"},"")))))))), 0), ROW(INDIRECT("1:"&amp;LEN((LEFT(A299,SUM(LEN(A299)-LEN(SUBSTITUTE(A299,{"0","1","2"},"")))))))))+1, 1) * 10^ROW(INDIRECT("1:"&amp;LEN((LEFT(A299,SUM(LEN(A299)-LEN(SUBSTITUTE(A299,{"0","1","2"},""))))))))/10))*1+1&amp;""&amp;" &amp; "&amp;""&amp;(SUMPRODUCT(MID(0&amp;(--TRIM(RIGHT(SUBSTITUTE(LEFT(A299,_xlfn.AGGREGATE(16,6,FIND({0,1,2,3,4,5,6,7,8,9},A299,ROW(INDIRECT("1:"&amp;LEN(A299)))),1))," ",REPT(" ",LEN(A299))),LEN(A299)))), LARGE(INDEX(ISNUMBER(--MID((--TRIM(RIGHT(SUBSTITUTE(LEFT(A299,_xlfn.AGGREGATE(16,6,FIND({0,1,2,3,4,5,6,7,8,9},A299,ROW(INDIRECT("1:"&amp;LEN(A299)))),1))," ",REPT(" ",LEN(A299))),LEN(A299)))), ROW(INDIRECT("1:"&amp;LEN((--TRIM(RIGHT(SUBSTITUTE(LEFT(A299,_xlfn.AGGREGATE(16,6,FIND({0,1,2,3,4,5,6,7,8,9},A299,ROW(INDIRECT("1:"&amp;LEN(A299)))),1))," ",REPT(" ",LEN(A299))),LEN(A299))))))), 1)) * ROW(INDIRECT("1:"&amp;LEN((--TRIM(RIGHT(SUBSTITUTE(LEFT(A299,_xlfn.AGGREGATE(16,6,FIND({0,1,2,3,4,5,6,7,8,9},A299,ROW(INDIRECT("1:"&amp;LEN(A299)))),1))," ",REPT(" ",LEN(A299))),LEN(A299))))))), 0), ROW(INDIRECT("1:"&amp;LEN((--TRIM(RIGHT(SUBSTITUTE(LEFT(A299,_xlfn.AGGREGATE(16,6,FIND({0,1,2,3,4,5,6,7,8,9},A299,ROW(INDIRECT("1:"&amp;LEN(A299)))),1))," ",REPT(" ",LEN(A299))),LEN(A299))))))))+1, 1) * 10^ROW(INDIRECT("1:"&amp;LEN((--TRIM(RIGHT(SUBSTITUTE(LEFT(A299,_xlfn.AGGREGATE(16,6,FIND({0,1,2,3,4,5,6,7,8,9},A299,ROW(INDIRECT("1:"&amp;LEN(A299)))),1))," ",REPT(" ",LEN(A299))),LEN(A299)))))))/10))*1+1</f>
        <v>205 &amp; 505</v>
      </c>
      <c r="B300" s="123"/>
      <c r="C300" s="42"/>
      <c r="D300" s="42"/>
      <c r="E300" s="42">
        <v>0</v>
      </c>
      <c r="F300" s="42">
        <f>D300+E300</f>
        <v>0</v>
      </c>
      <c r="G300" s="42">
        <v>0</v>
      </c>
      <c r="H300" s="42">
        <f>F300*(($H$271)+1)+(IF(G300&lt;101,G300,IF(G300&lt;201,G300/2,IF(G300&lt;=301,G300/3,G300/4))))</f>
        <v>0</v>
      </c>
      <c r="I300" s="36"/>
    </row>
    <row r="301" spans="1:20" s="35" customFormat="1" x14ac:dyDescent="0.25">
      <c r="A301" s="121" t="s">
        <v>64</v>
      </c>
      <c r="B301" s="121"/>
      <c r="C301" s="121"/>
      <c r="D301" s="121"/>
      <c r="E301" s="121"/>
      <c r="F301" s="121"/>
      <c r="G301" s="121"/>
      <c r="H301" s="121"/>
      <c r="T301" s="37"/>
    </row>
    <row r="302" spans="1:20" s="35" customFormat="1" x14ac:dyDescent="0.25">
      <c r="A302" s="46" t="s">
        <v>155</v>
      </c>
      <c r="B302" s="111" t="s">
        <v>434</v>
      </c>
      <c r="C302" s="112"/>
      <c r="D302" s="112"/>
      <c r="E302" s="112"/>
      <c r="F302" s="112"/>
      <c r="G302" s="112"/>
      <c r="H302" s="113"/>
      <c r="T302" s="37"/>
    </row>
    <row r="303" spans="1:20" s="35" customFormat="1" hidden="1" x14ac:dyDescent="0.25">
      <c r="A303" s="46" t="s">
        <v>155</v>
      </c>
      <c r="B303" s="172" t="str">
        <f>(IF(H270="Saleable area Loading :","We have considered Saleable area of Flats as per our Calculation.","We considered Saleable area of Flat as per Builder area Sheet."))</f>
        <v>We have considered Saleable area of Flats as per our Calculation.</v>
      </c>
      <c r="C303" s="173"/>
      <c r="D303" s="173"/>
      <c r="E303" s="173"/>
      <c r="F303" s="173"/>
      <c r="G303" s="173"/>
      <c r="H303" s="174"/>
      <c r="T303" s="37"/>
    </row>
    <row r="304" spans="1:20" s="35" customFormat="1" x14ac:dyDescent="0.25">
      <c r="A304" s="46" t="s">
        <v>155</v>
      </c>
      <c r="B304" s="111" t="str">
        <f>(IF(H144="Saleable area Loading :","We have considered Saleable area of Commercial as per our Calculation.","We considered Saleable area of Commercial as per Builder area Sheet."))</f>
        <v>We have considered Saleable area of Commercial as per our Calculation.</v>
      </c>
      <c r="C304" s="112"/>
      <c r="D304" s="112"/>
      <c r="E304" s="112"/>
      <c r="F304" s="112"/>
      <c r="G304" s="112"/>
      <c r="H304" s="113"/>
      <c r="T304" s="37"/>
    </row>
    <row r="305" spans="1:20" s="35" customFormat="1" x14ac:dyDescent="0.25">
      <c r="A305" s="46" t="s">
        <v>155</v>
      </c>
      <c r="B305" s="175" t="s">
        <v>122</v>
      </c>
      <c r="C305" s="176"/>
      <c r="D305" s="176"/>
      <c r="E305" s="176"/>
      <c r="F305" s="176"/>
      <c r="G305" s="176"/>
      <c r="H305" s="177"/>
      <c r="T305" s="37"/>
    </row>
    <row r="306" spans="1:20" s="35" customFormat="1" x14ac:dyDescent="0.25">
      <c r="A306" s="46" t="s">
        <v>155</v>
      </c>
      <c r="B306" s="172" t="s">
        <v>444</v>
      </c>
      <c r="C306" s="173"/>
      <c r="D306" s="173"/>
      <c r="E306" s="173"/>
      <c r="F306" s="173"/>
      <c r="G306" s="173"/>
      <c r="H306" s="174"/>
      <c r="T306" s="37"/>
    </row>
    <row r="307" spans="1:20" s="35" customFormat="1" x14ac:dyDescent="0.25">
      <c r="A307" s="46" t="s">
        <v>155</v>
      </c>
      <c r="B307" s="175" t="s">
        <v>154</v>
      </c>
      <c r="C307" s="176"/>
      <c r="D307" s="176"/>
      <c r="E307" s="176"/>
      <c r="F307" s="176"/>
      <c r="G307" s="176"/>
      <c r="H307" s="177"/>
    </row>
    <row r="308" spans="1:20" s="35" customFormat="1" x14ac:dyDescent="0.25">
      <c r="A308" s="46" t="s">
        <v>155</v>
      </c>
      <c r="B308" s="175" t="s">
        <v>123</v>
      </c>
      <c r="C308" s="176"/>
      <c r="D308" s="176"/>
      <c r="E308" s="176"/>
      <c r="F308" s="176"/>
      <c r="G308" s="176"/>
      <c r="H308" s="177"/>
    </row>
    <row r="309" spans="1:20" s="35" customFormat="1" ht="34.5" customHeight="1" x14ac:dyDescent="0.25">
      <c r="A309" s="46" t="s">
        <v>155</v>
      </c>
      <c r="B309" s="111" t="s">
        <v>156</v>
      </c>
      <c r="C309" s="112"/>
      <c r="D309" s="112"/>
      <c r="E309" s="112"/>
      <c r="F309" s="112"/>
      <c r="G309" s="112"/>
      <c r="H309" s="113"/>
    </row>
    <row r="310" spans="1:20" s="35" customFormat="1" x14ac:dyDescent="0.25">
      <c r="A310" s="46" t="s">
        <v>155</v>
      </c>
      <c r="B310" s="175" t="s">
        <v>124</v>
      </c>
      <c r="C310" s="176"/>
      <c r="D310" s="176"/>
      <c r="E310" s="176"/>
      <c r="F310" s="176"/>
      <c r="G310" s="176"/>
      <c r="H310" s="177"/>
    </row>
    <row r="311" spans="1:20" s="35" customFormat="1" x14ac:dyDescent="0.25">
      <c r="A311" s="46" t="s">
        <v>155</v>
      </c>
      <c r="B311" s="111" t="s">
        <v>351</v>
      </c>
      <c r="C311" s="112"/>
      <c r="D311" s="112"/>
      <c r="E311" s="112"/>
      <c r="F311" s="112"/>
      <c r="G311" s="112"/>
      <c r="H311" s="113"/>
    </row>
    <row r="312" spans="1:20" s="35" customFormat="1" hidden="1" x14ac:dyDescent="0.25">
      <c r="A312" s="46" t="s">
        <v>155</v>
      </c>
      <c r="B312" s="164" t="str">
        <f ca="1">IF(G52&gt;EDATE(E3,-48),"NO REMARK FOR CC","REMARK FOR CC")</f>
        <v>NO REMARK FOR CC</v>
      </c>
      <c r="C312" s="165"/>
      <c r="D312" s="165"/>
      <c r="E312" s="165"/>
      <c r="F312" s="165"/>
      <c r="G312" s="165"/>
      <c r="H312" s="166"/>
    </row>
    <row r="313" spans="1:20" s="35" customFormat="1" ht="81.75" hidden="1" customHeight="1" x14ac:dyDescent="0.25">
      <c r="A313" s="46" t="s">
        <v>155</v>
      </c>
      <c r="B313" s="164" t="s">
        <v>352</v>
      </c>
      <c r="C313" s="165"/>
      <c r="D313" s="165"/>
      <c r="E313" s="165"/>
      <c r="F313" s="165"/>
      <c r="G313" s="165"/>
      <c r="H313" s="166"/>
    </row>
    <row r="314" spans="1:20" s="35" customFormat="1" x14ac:dyDescent="0.25">
      <c r="A314" s="46" t="s">
        <v>155</v>
      </c>
      <c r="B314" s="111" t="s">
        <v>435</v>
      </c>
      <c r="C314" s="112"/>
      <c r="D314" s="112"/>
      <c r="E314" s="112"/>
      <c r="F314" s="112"/>
      <c r="G314" s="112"/>
      <c r="H314" s="113"/>
    </row>
    <row r="315" spans="1:20" s="35" customFormat="1" ht="33.75" customHeight="1" x14ac:dyDescent="0.25">
      <c r="A315" s="46" t="s">
        <v>155</v>
      </c>
      <c r="B315" s="111" t="s">
        <v>438</v>
      </c>
      <c r="C315" s="112"/>
      <c r="D315" s="112"/>
      <c r="E315" s="112"/>
      <c r="F315" s="112"/>
      <c r="G315" s="112"/>
      <c r="H315" s="113"/>
    </row>
    <row r="316" spans="1:20" s="35" customFormat="1" hidden="1" x14ac:dyDescent="0.25">
      <c r="A316" s="46" t="s">
        <v>155</v>
      </c>
      <c r="B316" s="111"/>
      <c r="C316" s="112"/>
      <c r="D316" s="112"/>
      <c r="E316" s="112"/>
      <c r="F316" s="112"/>
      <c r="G316" s="112"/>
      <c r="H316" s="113"/>
    </row>
    <row r="317" spans="1:20" x14ac:dyDescent="0.25">
      <c r="A317" s="184" t="s">
        <v>57</v>
      </c>
      <c r="B317" s="184"/>
      <c r="C317" s="184"/>
      <c r="D317" s="184"/>
      <c r="E317" s="184"/>
      <c r="F317" s="184"/>
      <c r="G317" s="184"/>
      <c r="H317" s="184"/>
      <c r="T317" s="35"/>
    </row>
    <row r="318" spans="1:20" x14ac:dyDescent="0.25">
      <c r="A318" s="138" t="s">
        <v>58</v>
      </c>
      <c r="B318" s="138"/>
      <c r="C318" s="138"/>
      <c r="D318" s="138"/>
      <c r="E318" s="138"/>
      <c r="F318" s="138"/>
      <c r="G318" s="138"/>
      <c r="H318" s="138"/>
      <c r="T318" s="35"/>
    </row>
    <row r="319" spans="1:20" ht="15.75" customHeight="1" x14ac:dyDescent="0.25">
      <c r="A319" s="157" t="s">
        <v>59</v>
      </c>
      <c r="B319" s="157"/>
      <c r="C319" s="157"/>
      <c r="D319" s="157"/>
      <c r="E319" s="157"/>
      <c r="F319" s="157"/>
      <c r="G319" s="157"/>
      <c r="H319" s="157"/>
      <c r="T319" s="35"/>
    </row>
    <row r="320" spans="1:20" x14ac:dyDescent="0.25">
      <c r="A320" s="138" t="s">
        <v>60</v>
      </c>
      <c r="B320" s="138"/>
      <c r="C320" s="138"/>
      <c r="D320" s="138"/>
      <c r="E320" s="138"/>
      <c r="F320" s="138"/>
      <c r="G320" s="138"/>
      <c r="H320" s="138"/>
      <c r="T320" s="35"/>
    </row>
    <row r="321" spans="1:20" x14ac:dyDescent="0.25">
      <c r="A321" s="138" t="s">
        <v>61</v>
      </c>
      <c r="B321" s="138"/>
      <c r="C321" s="138"/>
      <c r="D321" s="138"/>
      <c r="E321" s="138"/>
      <c r="F321" s="138"/>
      <c r="G321" s="138"/>
      <c r="H321" s="138"/>
      <c r="T321" s="35"/>
    </row>
    <row r="322" spans="1:20" x14ac:dyDescent="0.25">
      <c r="A322" s="138" t="s">
        <v>125</v>
      </c>
      <c r="B322" s="138"/>
      <c r="C322" s="138"/>
      <c r="D322" s="138"/>
      <c r="E322" s="138"/>
      <c r="F322" s="138"/>
      <c r="G322" s="138"/>
      <c r="H322" s="138"/>
      <c r="T322" s="35"/>
    </row>
    <row r="323" spans="1:20" ht="33.950000000000003" customHeight="1" x14ac:dyDescent="0.25">
      <c r="A323" s="127" t="s">
        <v>126</v>
      </c>
      <c r="B323" s="127"/>
      <c r="C323" s="127"/>
      <c r="D323" s="127"/>
      <c r="E323" s="127"/>
      <c r="F323" s="127"/>
      <c r="G323" s="127"/>
      <c r="H323" s="127"/>
    </row>
    <row r="324" spans="1:20" x14ac:dyDescent="0.25">
      <c r="A324" s="180" t="s">
        <v>73</v>
      </c>
      <c r="B324" s="180"/>
      <c r="C324" s="180" t="s">
        <v>437</v>
      </c>
      <c r="D324" s="180"/>
      <c r="E324" s="180" t="s">
        <v>103</v>
      </c>
      <c r="F324" s="180"/>
      <c r="G324" s="181" t="s">
        <v>436</v>
      </c>
      <c r="H324" s="181"/>
    </row>
    <row r="325" spans="1:20" x14ac:dyDescent="0.25">
      <c r="A325" s="179" t="s">
        <v>75</v>
      </c>
      <c r="B325" s="179"/>
      <c r="C325" s="179"/>
      <c r="D325" s="179"/>
      <c r="E325" s="179"/>
      <c r="F325" s="179"/>
      <c r="G325" s="179"/>
      <c r="H325" s="179"/>
    </row>
    <row r="326" spans="1:20" x14ac:dyDescent="0.25">
      <c r="A326" s="179"/>
      <c r="B326" s="179"/>
      <c r="C326" s="179"/>
      <c r="D326" s="179"/>
      <c r="E326" s="179"/>
      <c r="F326" s="179"/>
      <c r="G326" s="179"/>
      <c r="H326" s="179"/>
    </row>
    <row r="327" spans="1:20" x14ac:dyDescent="0.25">
      <c r="A327" s="179"/>
      <c r="B327" s="179"/>
      <c r="C327" s="179"/>
      <c r="D327" s="179"/>
      <c r="E327" s="179"/>
      <c r="F327" s="179"/>
      <c r="G327" s="179"/>
      <c r="H327" s="179"/>
    </row>
    <row r="328" spans="1:20" x14ac:dyDescent="0.25">
      <c r="A328" s="179"/>
      <c r="B328" s="179"/>
      <c r="C328" s="179"/>
      <c r="D328" s="179"/>
      <c r="E328" s="179"/>
      <c r="F328" s="179"/>
      <c r="G328" s="179"/>
      <c r="H328" s="179"/>
    </row>
    <row r="329" spans="1:20" x14ac:dyDescent="0.25">
      <c r="A329" s="38" t="s">
        <v>62</v>
      </c>
      <c r="B329" s="39"/>
      <c r="C329" s="39"/>
      <c r="D329" s="38" t="str">
        <f>E9</f>
        <v>Aura Business Center</v>
      </c>
      <c r="F329" s="39"/>
      <c r="G329" s="39"/>
      <c r="H329" s="39"/>
    </row>
    <row r="330" spans="1:20" x14ac:dyDescent="0.25">
      <c r="A330" s="39"/>
      <c r="B330" s="39"/>
      <c r="C330" s="39"/>
      <c r="D330" s="39"/>
      <c r="E330" s="39"/>
      <c r="F330" s="39"/>
      <c r="G330" s="39"/>
      <c r="H330" s="39"/>
    </row>
    <row r="331" spans="1:20" x14ac:dyDescent="0.25">
      <c r="A331" s="39"/>
      <c r="B331" s="39"/>
      <c r="C331" s="39"/>
      <c r="D331" s="39"/>
      <c r="E331" s="39"/>
      <c r="F331" s="39"/>
      <c r="G331" s="39"/>
      <c r="H331" s="39"/>
    </row>
    <row r="332" spans="1:20" ht="15" customHeight="1" x14ac:dyDescent="0.25"/>
    <row r="373" spans="1:1" x14ac:dyDescent="0.25">
      <c r="A373" s="41" t="s">
        <v>164</v>
      </c>
    </row>
    <row r="417" spans="1:1" x14ac:dyDescent="0.25">
      <c r="A417" s="41" t="s">
        <v>63</v>
      </c>
    </row>
  </sheetData>
  <mergeCells count="581">
    <mergeCell ref="L244:M244"/>
    <mergeCell ref="L245:M245"/>
    <mergeCell ref="L246:M246"/>
    <mergeCell ref="L239:M239"/>
    <mergeCell ref="L240:M240"/>
    <mergeCell ref="L241:M241"/>
    <mergeCell ref="L242:M242"/>
    <mergeCell ref="L243:M243"/>
    <mergeCell ref="L234:M234"/>
    <mergeCell ref="L235:M235"/>
    <mergeCell ref="L236:M236"/>
    <mergeCell ref="L237:M237"/>
    <mergeCell ref="L238:M238"/>
    <mergeCell ref="A230:H230"/>
    <mergeCell ref="L231:M231"/>
    <mergeCell ref="L232:M232"/>
    <mergeCell ref="L233:M233"/>
    <mergeCell ref="A226:B226"/>
    <mergeCell ref="L226:M226"/>
    <mergeCell ref="A227:B227"/>
    <mergeCell ref="L227:M227"/>
    <mergeCell ref="A228:B228"/>
    <mergeCell ref="L228:M228"/>
    <mergeCell ref="A229:B229"/>
    <mergeCell ref="L229:M229"/>
    <mergeCell ref="C229:H229"/>
    <mergeCell ref="A221:B221"/>
    <mergeCell ref="L221:M221"/>
    <mergeCell ref="A222:B222"/>
    <mergeCell ref="L222:M222"/>
    <mergeCell ref="A223:B223"/>
    <mergeCell ref="L223:M223"/>
    <mergeCell ref="A224:B224"/>
    <mergeCell ref="L224:M224"/>
    <mergeCell ref="A225:B225"/>
    <mergeCell ref="L225:M225"/>
    <mergeCell ref="A216:B216"/>
    <mergeCell ref="L216:M216"/>
    <mergeCell ref="A217:B217"/>
    <mergeCell ref="L217:M217"/>
    <mergeCell ref="A218:B218"/>
    <mergeCell ref="L218:M218"/>
    <mergeCell ref="A219:B219"/>
    <mergeCell ref="L219:M219"/>
    <mergeCell ref="A220:B220"/>
    <mergeCell ref="L220:M220"/>
    <mergeCell ref="A211:B211"/>
    <mergeCell ref="L211:M211"/>
    <mergeCell ref="A212:H212"/>
    <mergeCell ref="A213:B213"/>
    <mergeCell ref="L213:M213"/>
    <mergeCell ref="A214:B214"/>
    <mergeCell ref="L214:M214"/>
    <mergeCell ref="A215:B215"/>
    <mergeCell ref="L215:M215"/>
    <mergeCell ref="A207:B207"/>
    <mergeCell ref="L207:M207"/>
    <mergeCell ref="A208:B208"/>
    <mergeCell ref="L208:M208"/>
    <mergeCell ref="A209:B209"/>
    <mergeCell ref="L209:M209"/>
    <mergeCell ref="A210:B210"/>
    <mergeCell ref="L210:M210"/>
    <mergeCell ref="A202:B202"/>
    <mergeCell ref="L202:M202"/>
    <mergeCell ref="A203:B203"/>
    <mergeCell ref="L203:M203"/>
    <mergeCell ref="A204:B204"/>
    <mergeCell ref="L204:M204"/>
    <mergeCell ref="A205:B205"/>
    <mergeCell ref="L205:M205"/>
    <mergeCell ref="A206:B206"/>
    <mergeCell ref="L206:M206"/>
    <mergeCell ref="A197:B197"/>
    <mergeCell ref="L197:M197"/>
    <mergeCell ref="A198:B198"/>
    <mergeCell ref="L198:M198"/>
    <mergeCell ref="A199:B199"/>
    <mergeCell ref="L199:M199"/>
    <mergeCell ref="A200:B200"/>
    <mergeCell ref="L200:M200"/>
    <mergeCell ref="A201:B201"/>
    <mergeCell ref="L201:M201"/>
    <mergeCell ref="A196:B196"/>
    <mergeCell ref="L196:M196"/>
    <mergeCell ref="A189:B189"/>
    <mergeCell ref="L189:M189"/>
    <mergeCell ref="A190:B190"/>
    <mergeCell ref="L190:M190"/>
    <mergeCell ref="A191:B191"/>
    <mergeCell ref="L191:M191"/>
    <mergeCell ref="A192:B192"/>
    <mergeCell ref="L192:M192"/>
    <mergeCell ref="A193:B193"/>
    <mergeCell ref="L193:M193"/>
    <mergeCell ref="A255:B255"/>
    <mergeCell ref="L255:M255"/>
    <mergeCell ref="A256:B256"/>
    <mergeCell ref="L256:M256"/>
    <mergeCell ref="A257:B257"/>
    <mergeCell ref="L257:M257"/>
    <mergeCell ref="A179:B179"/>
    <mergeCell ref="L179:M179"/>
    <mergeCell ref="A180:B180"/>
    <mergeCell ref="L180:M180"/>
    <mergeCell ref="A181:B181"/>
    <mergeCell ref="L181:M181"/>
    <mergeCell ref="A182:B182"/>
    <mergeCell ref="L182:M182"/>
    <mergeCell ref="A183:B183"/>
    <mergeCell ref="L183:M183"/>
    <mergeCell ref="A184:B184"/>
    <mergeCell ref="L184:M184"/>
    <mergeCell ref="A185:B185"/>
    <mergeCell ref="L185:M185"/>
    <mergeCell ref="A186:B186"/>
    <mergeCell ref="L186:M186"/>
    <mergeCell ref="A187:B187"/>
    <mergeCell ref="L187:M187"/>
    <mergeCell ref="A266:B266"/>
    <mergeCell ref="L266:M266"/>
    <mergeCell ref="A261:B261"/>
    <mergeCell ref="L261:M261"/>
    <mergeCell ref="A262:B262"/>
    <mergeCell ref="L262:M262"/>
    <mergeCell ref="A263:B263"/>
    <mergeCell ref="L263:M263"/>
    <mergeCell ref="A265:B265"/>
    <mergeCell ref="L265:M265"/>
    <mergeCell ref="A267:B267"/>
    <mergeCell ref="L267:M267"/>
    <mergeCell ref="A268:B268"/>
    <mergeCell ref="L268:M268"/>
    <mergeCell ref="A158:H158"/>
    <mergeCell ref="A159:B159"/>
    <mergeCell ref="L159:M159"/>
    <mergeCell ref="A160:B160"/>
    <mergeCell ref="L160:M160"/>
    <mergeCell ref="A161:B161"/>
    <mergeCell ref="L161:M161"/>
    <mergeCell ref="A162:B162"/>
    <mergeCell ref="L162:M162"/>
    <mergeCell ref="A163:B163"/>
    <mergeCell ref="L163:M163"/>
    <mergeCell ref="A164:B164"/>
    <mergeCell ref="L164:M164"/>
    <mergeCell ref="A165:B165"/>
    <mergeCell ref="L165:M165"/>
    <mergeCell ref="A166:B166"/>
    <mergeCell ref="L166:M166"/>
    <mergeCell ref="A167:B167"/>
    <mergeCell ref="A260:B260"/>
    <mergeCell ref="L260:M260"/>
    <mergeCell ref="A153:B153"/>
    <mergeCell ref="L153:M153"/>
    <mergeCell ref="A248:B248"/>
    <mergeCell ref="L248:M248"/>
    <mergeCell ref="L249:M249"/>
    <mergeCell ref="A249:H249"/>
    <mergeCell ref="A258:B258"/>
    <mergeCell ref="L258:M258"/>
    <mergeCell ref="A259:B259"/>
    <mergeCell ref="L259:M259"/>
    <mergeCell ref="A155:B155"/>
    <mergeCell ref="L155:M155"/>
    <mergeCell ref="A156:B156"/>
    <mergeCell ref="L156:M156"/>
    <mergeCell ref="A157:B157"/>
    <mergeCell ref="L157:M157"/>
    <mergeCell ref="C156:H156"/>
    <mergeCell ref="L174:M174"/>
    <mergeCell ref="A175:B175"/>
    <mergeCell ref="L175:M175"/>
    <mergeCell ref="A176:H176"/>
    <mergeCell ref="A177:B177"/>
    <mergeCell ref="L177:M177"/>
    <mergeCell ref="A178:B178"/>
    <mergeCell ref="A254:B254"/>
    <mergeCell ref="L254:M254"/>
    <mergeCell ref="L167:M167"/>
    <mergeCell ref="A168:B168"/>
    <mergeCell ref="L168:M168"/>
    <mergeCell ref="A169:B169"/>
    <mergeCell ref="L169:M169"/>
    <mergeCell ref="A170:B170"/>
    <mergeCell ref="L170:M170"/>
    <mergeCell ref="A171:B171"/>
    <mergeCell ref="L171:M171"/>
    <mergeCell ref="A172:B172"/>
    <mergeCell ref="L172:M172"/>
    <mergeCell ref="A173:B173"/>
    <mergeCell ref="L173:M173"/>
    <mergeCell ref="A174:B174"/>
    <mergeCell ref="L178:M178"/>
    <mergeCell ref="A188:B188"/>
    <mergeCell ref="L188:M188"/>
    <mergeCell ref="C192:H192"/>
    <mergeCell ref="C193:H193"/>
    <mergeCell ref="A194:H194"/>
    <mergeCell ref="A195:B195"/>
    <mergeCell ref="L195:M195"/>
    <mergeCell ref="A147:B147"/>
    <mergeCell ref="L147:M147"/>
    <mergeCell ref="A148:B148"/>
    <mergeCell ref="L148:M148"/>
    <mergeCell ref="A154:B154"/>
    <mergeCell ref="L154:M154"/>
    <mergeCell ref="F52:F53"/>
    <mergeCell ref="G52:H53"/>
    <mergeCell ref="A149:H149"/>
    <mergeCell ref="A150:B150"/>
    <mergeCell ref="L150:M150"/>
    <mergeCell ref="A151:B151"/>
    <mergeCell ref="L151:M151"/>
    <mergeCell ref="A152:B152"/>
    <mergeCell ref="L152:M152"/>
    <mergeCell ref="A102:B102"/>
    <mergeCell ref="A117:B117"/>
    <mergeCell ref="A83:B83"/>
    <mergeCell ref="E81:F90"/>
    <mergeCell ref="G81:H90"/>
    <mergeCell ref="A100:B100"/>
    <mergeCell ref="G94:H94"/>
    <mergeCell ref="A64:C64"/>
    <mergeCell ref="I148:J148"/>
    <mergeCell ref="A284:B284"/>
    <mergeCell ref="B313:H313"/>
    <mergeCell ref="A118:B118"/>
    <mergeCell ref="C144:C145"/>
    <mergeCell ref="B270:B271"/>
    <mergeCell ref="B304:H304"/>
    <mergeCell ref="A94:B94"/>
    <mergeCell ref="E94:F94"/>
    <mergeCell ref="E95:F104"/>
    <mergeCell ref="A105:B105"/>
    <mergeCell ref="C105:H105"/>
    <mergeCell ref="A107:B107"/>
    <mergeCell ref="C107:H107"/>
    <mergeCell ref="A108:B108"/>
    <mergeCell ref="E108:F108"/>
    <mergeCell ref="G108:H108"/>
    <mergeCell ref="A109:B109"/>
    <mergeCell ref="E109:F118"/>
    <mergeCell ref="G109:H118"/>
    <mergeCell ref="A110:B110"/>
    <mergeCell ref="A111:B111"/>
    <mergeCell ref="A112:B112"/>
    <mergeCell ref="A114:B114"/>
    <mergeCell ref="A115:B115"/>
    <mergeCell ref="B316:H316"/>
    <mergeCell ref="A123:E123"/>
    <mergeCell ref="A140:B140"/>
    <mergeCell ref="E140:F140"/>
    <mergeCell ref="A128:E128"/>
    <mergeCell ref="G140:H140"/>
    <mergeCell ref="C134:D134"/>
    <mergeCell ref="E134:F134"/>
    <mergeCell ref="G134:H134"/>
    <mergeCell ref="A135:B135"/>
    <mergeCell ref="C135:D135"/>
    <mergeCell ref="E135:F135"/>
    <mergeCell ref="G135:H135"/>
    <mergeCell ref="A139:B139"/>
    <mergeCell ref="C139:D139"/>
    <mergeCell ref="E139:F139"/>
    <mergeCell ref="B310:H310"/>
    <mergeCell ref="B308:H308"/>
    <mergeCell ref="A251:B251"/>
    <mergeCell ref="C141:D141"/>
    <mergeCell ref="B307:H307"/>
    <mergeCell ref="A292:B292"/>
    <mergeCell ref="A281:B281"/>
    <mergeCell ref="D144:D145"/>
    <mergeCell ref="L277:M277"/>
    <mergeCell ref="A282:B282"/>
    <mergeCell ref="A279:B279"/>
    <mergeCell ref="A280:B280"/>
    <mergeCell ref="A290:B290"/>
    <mergeCell ref="A40:B40"/>
    <mergeCell ref="C40:H40"/>
    <mergeCell ref="F144:F145"/>
    <mergeCell ref="C133:D133"/>
    <mergeCell ref="E133:F133"/>
    <mergeCell ref="B144:B145"/>
    <mergeCell ref="A144:A145"/>
    <mergeCell ref="C270:C271"/>
    <mergeCell ref="G270:G271"/>
    <mergeCell ref="L276:M276"/>
    <mergeCell ref="L273:M273"/>
    <mergeCell ref="A274:B274"/>
    <mergeCell ref="G141:H141"/>
    <mergeCell ref="L274:M274"/>
    <mergeCell ref="A275:B275"/>
    <mergeCell ref="L275:M275"/>
    <mergeCell ref="A113:B113"/>
    <mergeCell ref="A116:B116"/>
    <mergeCell ref="C54:H54"/>
    <mergeCell ref="L264:M264"/>
    <mergeCell ref="L253:M253"/>
    <mergeCell ref="L252:M252"/>
    <mergeCell ref="L251:M251"/>
    <mergeCell ref="A88:B88"/>
    <mergeCell ref="C138:D138"/>
    <mergeCell ref="E138:F138"/>
    <mergeCell ref="G138:H138"/>
    <mergeCell ref="A91:B91"/>
    <mergeCell ref="C91:H91"/>
    <mergeCell ref="A250:H250"/>
    <mergeCell ref="E144:E145"/>
    <mergeCell ref="A95:B95"/>
    <mergeCell ref="C93:H93"/>
    <mergeCell ref="A96:B96"/>
    <mergeCell ref="A97:B97"/>
    <mergeCell ref="G95:H104"/>
    <mergeCell ref="A98:B98"/>
    <mergeCell ref="F120:H120"/>
    <mergeCell ref="A120:E120"/>
    <mergeCell ref="E141:F141"/>
    <mergeCell ref="A93:B93"/>
    <mergeCell ref="A146:H146"/>
    <mergeCell ref="F37:H37"/>
    <mergeCell ref="C51:E51"/>
    <mergeCell ref="C50:E50"/>
    <mergeCell ref="G50:H50"/>
    <mergeCell ref="A51:B51"/>
    <mergeCell ref="G57:H57"/>
    <mergeCell ref="G59:H59"/>
    <mergeCell ref="G51:H51"/>
    <mergeCell ref="A39:B39"/>
    <mergeCell ref="C39:H39"/>
    <mergeCell ref="C56:H56"/>
    <mergeCell ref="A52:B54"/>
    <mergeCell ref="C55:E55"/>
    <mergeCell ref="C52:E53"/>
    <mergeCell ref="C57:E57"/>
    <mergeCell ref="G55:H55"/>
    <mergeCell ref="A57:B58"/>
    <mergeCell ref="E42:H42"/>
    <mergeCell ref="A41:H41"/>
    <mergeCell ref="A38:H38"/>
    <mergeCell ref="A80:B80"/>
    <mergeCell ref="A46:D46"/>
    <mergeCell ref="A47:D47"/>
    <mergeCell ref="D71:H71"/>
    <mergeCell ref="A44:D44"/>
    <mergeCell ref="E44:H44"/>
    <mergeCell ref="E45:H45"/>
    <mergeCell ref="E46:H46"/>
    <mergeCell ref="E47:H47"/>
    <mergeCell ref="C58:H58"/>
    <mergeCell ref="A48:H48"/>
    <mergeCell ref="D66:H66"/>
    <mergeCell ref="A66:C66"/>
    <mergeCell ref="A45:D45"/>
    <mergeCell ref="A49:B49"/>
    <mergeCell ref="C49:H49"/>
    <mergeCell ref="A67:C69"/>
    <mergeCell ref="D67:H67"/>
    <mergeCell ref="D68:H68"/>
    <mergeCell ref="A63:H63"/>
    <mergeCell ref="A79:B79"/>
    <mergeCell ref="A77:B77"/>
    <mergeCell ref="C77:H77"/>
    <mergeCell ref="A72:C72"/>
    <mergeCell ref="D72:H72"/>
    <mergeCell ref="C79:H79"/>
    <mergeCell ref="A73:C73"/>
    <mergeCell ref="D73:H73"/>
    <mergeCell ref="A76:C76"/>
    <mergeCell ref="D76:H76"/>
    <mergeCell ref="A75:C75"/>
    <mergeCell ref="A59:B61"/>
    <mergeCell ref="C61:H61"/>
    <mergeCell ref="C59:E60"/>
    <mergeCell ref="A70:C70"/>
    <mergeCell ref="A71:C71"/>
    <mergeCell ref="D70:H70"/>
    <mergeCell ref="A65:C65"/>
    <mergeCell ref="G60:H60"/>
    <mergeCell ref="E26:H26"/>
    <mergeCell ref="A28:D28"/>
    <mergeCell ref="E28:H28"/>
    <mergeCell ref="E43:H43"/>
    <mergeCell ref="A43:D43"/>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37:B37"/>
    <mergeCell ref="C37:E37"/>
    <mergeCell ref="A42:D42"/>
    <mergeCell ref="A13:D13"/>
    <mergeCell ref="E13:H13"/>
    <mergeCell ref="E14:H14"/>
    <mergeCell ref="A15:D15"/>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C19:D19"/>
    <mergeCell ref="E19:F19"/>
    <mergeCell ref="G19:H19"/>
    <mergeCell ref="A20:B20"/>
    <mergeCell ref="C20:D20"/>
    <mergeCell ref="E15:H15"/>
    <mergeCell ref="A16:B16"/>
    <mergeCell ref="C16:H16"/>
    <mergeCell ref="C17:H17"/>
    <mergeCell ref="A18:B18"/>
    <mergeCell ref="C18:H18"/>
    <mergeCell ref="G137:H137"/>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2:D12"/>
    <mergeCell ref="E12:H12"/>
    <mergeCell ref="A17:B17"/>
    <mergeCell ref="A14:D14"/>
    <mergeCell ref="A19:B19"/>
    <mergeCell ref="A247:H247"/>
    <mergeCell ref="A11:D11"/>
    <mergeCell ref="E11:H11"/>
    <mergeCell ref="A23:D24"/>
    <mergeCell ref="A126:E126"/>
    <mergeCell ref="A325:H328"/>
    <mergeCell ref="A324:B324"/>
    <mergeCell ref="E324:F324"/>
    <mergeCell ref="C324:D324"/>
    <mergeCell ref="G324:H324"/>
    <mergeCell ref="A131:H131"/>
    <mergeCell ref="A129:E129"/>
    <mergeCell ref="F129:H129"/>
    <mergeCell ref="A130:E130"/>
    <mergeCell ref="F130:H130"/>
    <mergeCell ref="A277:H277"/>
    <mergeCell ref="A138:B138"/>
    <mergeCell ref="A286:B286"/>
    <mergeCell ref="A133:B133"/>
    <mergeCell ref="A320:H320"/>
    <mergeCell ref="A136:H136"/>
    <mergeCell ref="A323:H323"/>
    <mergeCell ref="A321:H321"/>
    <mergeCell ref="A317:H317"/>
    <mergeCell ref="A125:E125"/>
    <mergeCell ref="G139:H139"/>
    <mergeCell ref="B315:H315"/>
    <mergeCell ref="A141:B141"/>
    <mergeCell ref="A103:B103"/>
    <mergeCell ref="A121:E121"/>
    <mergeCell ref="A119:E119"/>
    <mergeCell ref="F122:H122"/>
    <mergeCell ref="A288:B288"/>
    <mergeCell ref="A122:E122"/>
    <mergeCell ref="A276:B276"/>
    <mergeCell ref="B309:H309"/>
    <mergeCell ref="G144:G145"/>
    <mergeCell ref="A291:B291"/>
    <mergeCell ref="A299:B299"/>
    <mergeCell ref="B302:H302"/>
    <mergeCell ref="B303:H303"/>
    <mergeCell ref="B305:H305"/>
    <mergeCell ref="F119:H119"/>
    <mergeCell ref="F123:H123"/>
    <mergeCell ref="A273:B273"/>
    <mergeCell ref="A264:B264"/>
    <mergeCell ref="A253:B253"/>
    <mergeCell ref="F124:H124"/>
    <mergeCell ref="A269:H269"/>
    <mergeCell ref="A322:H322"/>
    <mergeCell ref="A319:H319"/>
    <mergeCell ref="A278:B278"/>
    <mergeCell ref="A137:B137"/>
    <mergeCell ref="D270:D271"/>
    <mergeCell ref="E270:E271"/>
    <mergeCell ref="A99:B99"/>
    <mergeCell ref="A101:B101"/>
    <mergeCell ref="G133:H133"/>
    <mergeCell ref="A104:B104"/>
    <mergeCell ref="F125:H125"/>
    <mergeCell ref="C132:D132"/>
    <mergeCell ref="C140:D140"/>
    <mergeCell ref="A272:H272"/>
    <mergeCell ref="A287:B287"/>
    <mergeCell ref="B306:H306"/>
    <mergeCell ref="A296:B296"/>
    <mergeCell ref="A297:B297"/>
    <mergeCell ref="A300:B300"/>
    <mergeCell ref="B312:H312"/>
    <mergeCell ref="B311:H311"/>
    <mergeCell ref="F121:H121"/>
    <mergeCell ref="F270:F271"/>
    <mergeCell ref="A318:H318"/>
    <mergeCell ref="A124:E124"/>
    <mergeCell ref="A87:B87"/>
    <mergeCell ref="I15:P15"/>
    <mergeCell ref="F128:H128"/>
    <mergeCell ref="F126:H126"/>
    <mergeCell ref="A285:B285"/>
    <mergeCell ref="A143:H143"/>
    <mergeCell ref="G132:H132"/>
    <mergeCell ref="A127:E127"/>
    <mergeCell ref="A252:B252"/>
    <mergeCell ref="A62:B62"/>
    <mergeCell ref="C62:E62"/>
    <mergeCell ref="D64:H64"/>
    <mergeCell ref="F127:H127"/>
    <mergeCell ref="E132:F132"/>
    <mergeCell ref="A132:B132"/>
    <mergeCell ref="A134:B134"/>
    <mergeCell ref="C137:D137"/>
    <mergeCell ref="D74:H74"/>
    <mergeCell ref="D65:H65"/>
    <mergeCell ref="G62:H62"/>
    <mergeCell ref="A55:B56"/>
    <mergeCell ref="B314:H314"/>
    <mergeCell ref="A86:B86"/>
    <mergeCell ref="A50:B50"/>
    <mergeCell ref="D69:H69"/>
    <mergeCell ref="A301:H301"/>
    <mergeCell ref="A293:B293"/>
    <mergeCell ref="A294:B294"/>
    <mergeCell ref="A289:H289"/>
    <mergeCell ref="A283:H283"/>
    <mergeCell ref="A298:B298"/>
    <mergeCell ref="A295:H295"/>
    <mergeCell ref="A74:C74"/>
    <mergeCell ref="D75:H75"/>
    <mergeCell ref="A81:B81"/>
    <mergeCell ref="G80:H80"/>
    <mergeCell ref="A89:B89"/>
    <mergeCell ref="A90:B90"/>
    <mergeCell ref="A85:B85"/>
    <mergeCell ref="A84:B84"/>
    <mergeCell ref="E80:F80"/>
    <mergeCell ref="A82:B82"/>
    <mergeCell ref="E137:F137"/>
    <mergeCell ref="A142:H142"/>
    <mergeCell ref="A270:A271"/>
  </mergeCells>
  <dataValidations count="18">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44:E145" xr:uid="{00000000-0002-0000-0000-000003000000}">
      <formula1>"Attached Loft area,Attached Otla area,Attached Mezzanine area"</formula1>
    </dataValidation>
    <dataValidation type="list" allowBlank="1" showInputMessage="1" showErrorMessage="1" sqref="G324:H324" xr:uid="{00000000-0002-0000-0000-000004000000}">
      <formula1>"Kunal Kadam,Pranita Mhatre,Shruti Fule,Pooja Kawale,Gaurav Panchal,Shruti Tathare, Dipti Gothawade,Saurav Panse, Sachin Sawant"</formula1>
    </dataValidation>
    <dataValidation type="list" allowBlank="1" showInputMessage="1" showErrorMessage="1" sqref="F119:H119" xr:uid="{00000000-0002-0000-0000-000005000000}">
      <formula1>"On Saleable Area,On Builtup Area,On Carpet Area,On Plot Area"</formula1>
    </dataValidation>
    <dataValidation type="list" allowBlank="1" showInputMessage="1" showErrorMessage="1" sqref="F129:H129" xr:uid="{00000000-0002-0000-0000-000006000000}">
      <formula1>OFFSET($S$119,1,MATCH($G20,$S$119:$W$119,0)-1,15,1)</formula1>
    </dataValidation>
    <dataValidation type="list" allowBlank="1" showInputMessage="1" showErrorMessage="1" sqref="B144:B145" xr:uid="{00000000-0002-0000-0000-000007000000}">
      <formula1>"Shop No. (Sale Plan),Sale / Rehab,Sale / Mhada"</formula1>
    </dataValidation>
    <dataValidation type="list" allowBlank="1" showInputMessage="1" showErrorMessage="1" sqref="B270:B271"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270:E271" xr:uid="{00000000-0002-0000-0000-00000B000000}">
      <formula1>"Fungible area,Balcony Area,Chajja Area,Cornice Area,AP Area,WS Area"</formula1>
    </dataValidation>
    <dataValidation type="list" allowBlank="1" showInputMessage="1" showErrorMessage="1" sqref="H271 H145"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44 H270" xr:uid="{00000000-0002-0000-0000-00000F000000}">
      <formula1>"Saleable area Loading :,Builder Saleable Area"</formula1>
    </dataValidation>
    <dataValidation type="list" allowBlank="1" showInputMessage="1" showErrorMessage="1" sqref="D144:D145" xr:uid="{00000000-0002-0000-0000-000010000000}">
      <formula1>"Carpet area,RERA Carpet area"</formula1>
    </dataValidation>
    <dataValidation type="list" allowBlank="1" showInputMessage="1" showErrorMessage="1" sqref="D270:D271" xr:uid="{00000000-0002-0000-0000-000011000000}">
      <formula1>"Carpet Area,Carpet + Encl Balcony Area,RERA Carpet area"</formula1>
    </dataValidation>
  </dataValidations>
  <hyperlinks>
    <hyperlink ref="C40" r:id="rId1" xr:uid="{500980D7-1967-4F38-8272-86D1EB1C8D4D}"/>
    <hyperlink ref="I119" r:id="rId2" xr:uid="{A928356E-55B2-42C6-B04A-E4DE9E34EBCE}"/>
  </hyperlinks>
  <printOptions horizontalCentered="1"/>
  <pageMargins left="0.39370078740157483" right="0.39370078740157483" top="0.82677165354330717" bottom="0.78740157480314965" header="0.15748031496062992" footer="0.19685039370078741"/>
  <pageSetup paperSize="2" orientation="portrait" r:id="rId3"/>
  <headerFooter>
    <oddHeader>&amp;C&amp;G</oddHeader>
    <oddFooter>&amp;L&amp;"Times New Roman,Bold"&amp;12Ref No: &amp;F&amp;C&amp;G&amp;R&amp;"Times New Roman,Bold"&amp;12&amp;P</oddFooter>
  </headerFooter>
  <rowBreaks count="5" manualBreakCount="5">
    <brk id="38" max="16383" man="1"/>
    <brk id="76" max="16383" man="1"/>
    <brk id="328" max="16383" man="1"/>
    <brk id="372" max="16383" man="1"/>
    <brk id="416"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83" t="s">
        <v>104</v>
      </c>
      <c r="C3" s="283"/>
      <c r="D3" s="283"/>
      <c r="E3" s="283"/>
      <c r="F3" s="283"/>
      <c r="G3" s="283"/>
      <c r="H3" s="283"/>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3"/>
      <c r="C4" s="53" t="s">
        <v>11</v>
      </c>
      <c r="D4" s="54" t="s">
        <v>178</v>
      </c>
      <c r="E4" s="54" t="s">
        <v>188</v>
      </c>
      <c r="F4" s="54" t="s">
        <v>173</v>
      </c>
      <c r="G4" s="54" t="s">
        <v>193</v>
      </c>
      <c r="H4" s="54" t="s">
        <v>211</v>
      </c>
      <c r="J4" t="s">
        <v>193</v>
      </c>
      <c r="K4" t="s">
        <v>209</v>
      </c>
    </row>
    <row r="5" spans="2:11" x14ac:dyDescent="0.25">
      <c r="B5" s="53"/>
      <c r="C5" s="53"/>
      <c r="D5" s="54" t="s">
        <v>179</v>
      </c>
      <c r="E5" s="54" t="s">
        <v>186</v>
      </c>
      <c r="F5" s="54" t="s">
        <v>208</v>
      </c>
      <c r="G5" s="54" t="s">
        <v>194</v>
      </c>
      <c r="H5" s="54" t="s">
        <v>212</v>
      </c>
    </row>
    <row r="6" spans="2:11" x14ac:dyDescent="0.25">
      <c r="B6" s="53"/>
      <c r="C6" s="53"/>
      <c r="D6" s="54" t="s">
        <v>180</v>
      </c>
      <c r="E6" s="54" t="s">
        <v>187</v>
      </c>
      <c r="F6" s="54" t="s">
        <v>209</v>
      </c>
      <c r="G6" s="54" t="s">
        <v>195</v>
      </c>
      <c r="H6" s="54" t="s">
        <v>225</v>
      </c>
    </row>
    <row r="7" spans="2:11" x14ac:dyDescent="0.25">
      <c r="B7" s="53"/>
      <c r="C7" s="53"/>
      <c r="D7" s="54" t="s">
        <v>181</v>
      </c>
      <c r="E7" s="54" t="s">
        <v>189</v>
      </c>
      <c r="F7" s="54" t="s">
        <v>210</v>
      </c>
      <c r="G7" s="54" t="s">
        <v>196</v>
      </c>
      <c r="H7" s="54" t="s">
        <v>213</v>
      </c>
    </row>
    <row r="8" spans="2:11" x14ac:dyDescent="0.25">
      <c r="B8" s="53"/>
      <c r="C8" s="53"/>
      <c r="D8" s="54" t="s">
        <v>182</v>
      </c>
      <c r="E8" s="54" t="s">
        <v>190</v>
      </c>
      <c r="F8" s="54"/>
      <c r="G8" s="54" t="s">
        <v>197</v>
      </c>
      <c r="H8" s="54" t="s">
        <v>214</v>
      </c>
    </row>
    <row r="9" spans="2:11" x14ac:dyDescent="0.25">
      <c r="B9" s="53"/>
      <c r="C9" s="53"/>
      <c r="D9" s="54" t="s">
        <v>183</v>
      </c>
      <c r="E9" s="54" t="s">
        <v>188</v>
      </c>
      <c r="F9" s="54"/>
      <c r="G9" s="54" t="s">
        <v>198</v>
      </c>
      <c r="H9" s="54" t="s">
        <v>215</v>
      </c>
    </row>
    <row r="10" spans="2:11" x14ac:dyDescent="0.25">
      <c r="B10" s="53"/>
      <c r="C10" s="53"/>
      <c r="D10" s="54" t="s">
        <v>184</v>
      </c>
      <c r="E10" s="54" t="s">
        <v>191</v>
      </c>
      <c r="F10" s="54"/>
      <c r="G10" s="54" t="s">
        <v>199</v>
      </c>
      <c r="H10" s="54" t="s">
        <v>216</v>
      </c>
    </row>
    <row r="11" spans="2:11" x14ac:dyDescent="0.25">
      <c r="B11" s="53"/>
      <c r="C11" s="53"/>
      <c r="D11" s="54" t="s">
        <v>185</v>
      </c>
      <c r="E11" s="54" t="s">
        <v>192</v>
      </c>
      <c r="F11" s="54"/>
      <c r="G11" s="54" t="s">
        <v>200</v>
      </c>
      <c r="H11" s="54" t="s">
        <v>217</v>
      </c>
    </row>
    <row r="12" spans="2:11" x14ac:dyDescent="0.25">
      <c r="B12" s="53"/>
      <c r="C12" s="53"/>
      <c r="D12" s="54"/>
      <c r="E12" s="54"/>
      <c r="F12" s="54"/>
      <c r="G12" s="54" t="s">
        <v>201</v>
      </c>
      <c r="H12" s="54" t="s">
        <v>218</v>
      </c>
    </row>
    <row r="13" spans="2:11" x14ac:dyDescent="0.25">
      <c r="B13" s="53"/>
      <c r="C13" s="53"/>
      <c r="D13" s="54"/>
      <c r="E13" s="54"/>
      <c r="F13" s="54"/>
      <c r="G13" s="54" t="s">
        <v>202</v>
      </c>
      <c r="H13" s="54" t="s">
        <v>219</v>
      </c>
    </row>
    <row r="14" spans="2:11" x14ac:dyDescent="0.25">
      <c r="B14" s="53"/>
      <c r="C14" s="53"/>
      <c r="D14" s="54"/>
      <c r="E14" s="54"/>
      <c r="F14" s="54"/>
      <c r="G14" s="54" t="s">
        <v>203</v>
      </c>
      <c r="H14" s="54" t="s">
        <v>220</v>
      </c>
    </row>
    <row r="15" spans="2:11" x14ac:dyDescent="0.25">
      <c r="B15" s="53"/>
      <c r="C15" s="53"/>
      <c r="D15" s="54"/>
      <c r="E15" s="54"/>
      <c r="F15" s="54"/>
      <c r="G15" s="54" t="s">
        <v>204</v>
      </c>
      <c r="H15" s="54" t="s">
        <v>221</v>
      </c>
    </row>
    <row r="16" spans="2:11" x14ac:dyDescent="0.25">
      <c r="B16" s="53"/>
      <c r="C16" s="53"/>
      <c r="D16" s="54"/>
      <c r="E16" s="54"/>
      <c r="F16" s="54"/>
      <c r="G16" s="54" t="s">
        <v>205</v>
      </c>
      <c r="H16" s="54" t="s">
        <v>222</v>
      </c>
    </row>
    <row r="17" spans="2:8" x14ac:dyDescent="0.25">
      <c r="B17" s="53"/>
      <c r="C17" s="53"/>
      <c r="D17" s="54"/>
      <c r="E17" s="54"/>
      <c r="F17" s="54"/>
      <c r="G17" s="54" t="s">
        <v>206</v>
      </c>
      <c r="H17" s="54" t="s">
        <v>223</v>
      </c>
    </row>
    <row r="18" spans="2:8" x14ac:dyDescent="0.25">
      <c r="B18" s="53"/>
      <c r="C18" s="53"/>
      <c r="D18" s="54"/>
      <c r="E18" s="54"/>
      <c r="F18" s="54"/>
      <c r="G18" s="54" t="s">
        <v>207</v>
      </c>
      <c r="H18" s="54" t="s">
        <v>224</v>
      </c>
    </row>
    <row r="24" spans="2:8" x14ac:dyDescent="0.25">
      <c r="C24" t="s">
        <v>170</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170</v>
      </c>
    </row>
    <row r="33" spans="3:11" x14ac:dyDescent="0.25">
      <c r="J33">
        <v>1</v>
      </c>
      <c r="K33">
        <v>2</v>
      </c>
    </row>
    <row r="34" spans="3:11" x14ac:dyDescent="0.25">
      <c r="C34" s="56" t="s">
        <v>236</v>
      </c>
      <c r="D34" s="54" t="s">
        <v>234</v>
      </c>
      <c r="E34" s="54" t="s">
        <v>239</v>
      </c>
      <c r="F34" s="54" t="s">
        <v>237</v>
      </c>
      <c r="G34" s="54" t="s">
        <v>238</v>
      </c>
      <c r="H34" s="54" t="s">
        <v>240</v>
      </c>
      <c r="J34" t="s">
        <v>193</v>
      </c>
      <c r="K34" t="s">
        <v>209</v>
      </c>
    </row>
    <row r="35" spans="3:11" x14ac:dyDescent="0.25">
      <c r="C35" s="53" t="s">
        <v>235</v>
      </c>
      <c r="D35" s="54" t="s">
        <v>171</v>
      </c>
      <c r="E35" s="54" t="s">
        <v>244</v>
      </c>
      <c r="F35" s="54" t="s">
        <v>246</v>
      </c>
      <c r="G35" s="54" t="s">
        <v>248</v>
      </c>
      <c r="H35" s="54"/>
    </row>
    <row r="36" spans="3:11" x14ac:dyDescent="0.25">
      <c r="C36" s="53"/>
      <c r="D36" s="54" t="s">
        <v>241</v>
      </c>
      <c r="E36" s="54" t="s">
        <v>245</v>
      </c>
      <c r="F36" s="54" t="s">
        <v>247</v>
      </c>
      <c r="G36" s="54" t="s">
        <v>249</v>
      </c>
      <c r="H36" s="54"/>
    </row>
    <row r="37" spans="3:11" x14ac:dyDescent="0.25">
      <c r="C37" s="53"/>
      <c r="D37" s="54" t="s">
        <v>242</v>
      </c>
      <c r="E37" s="54"/>
      <c r="F37" s="54"/>
      <c r="G37" s="54" t="s">
        <v>250</v>
      </c>
      <c r="H37" s="54"/>
    </row>
    <row r="38" spans="3:11" x14ac:dyDescent="0.25">
      <c r="C38" s="53"/>
      <c r="D38" s="54" t="s">
        <v>243</v>
      </c>
      <c r="E38" s="54"/>
      <c r="F38" s="54"/>
      <c r="G38" s="54" t="s">
        <v>250</v>
      </c>
      <c r="H38" s="54"/>
    </row>
    <row r="39" spans="3:11" x14ac:dyDescent="0.25">
      <c r="C39" s="53"/>
      <c r="D39" s="54"/>
      <c r="E39" s="54"/>
      <c r="F39" s="54"/>
      <c r="G39" s="54" t="s">
        <v>251</v>
      </c>
      <c r="H39" s="54"/>
    </row>
    <row r="40" spans="3:11" x14ac:dyDescent="0.25">
      <c r="C40" s="53"/>
      <c r="D40" s="54"/>
      <c r="E40" s="54"/>
      <c r="F40" s="54"/>
      <c r="G40" s="54" t="s">
        <v>252</v>
      </c>
      <c r="H40" s="54"/>
    </row>
    <row r="41" spans="3:11" x14ac:dyDescent="0.25">
      <c r="C41" s="53"/>
      <c r="D41" s="54"/>
      <c r="E41" s="54"/>
      <c r="F41" s="54"/>
      <c r="G41" s="54"/>
      <c r="H41" s="54"/>
    </row>
    <row r="43" spans="3:11" x14ac:dyDescent="0.25">
      <c r="C43" t="s">
        <v>253</v>
      </c>
    </row>
    <row r="44" spans="3:11" x14ac:dyDescent="0.25">
      <c r="C44" t="s">
        <v>173</v>
      </c>
      <c r="D44" t="s">
        <v>254</v>
      </c>
    </row>
    <row r="45" spans="3:11" x14ac:dyDescent="0.25">
      <c r="D45" t="s">
        <v>255</v>
      </c>
    </row>
    <row r="46" spans="3:11" x14ac:dyDescent="0.25">
      <c r="D46" t="s">
        <v>256</v>
      </c>
    </row>
    <row r="47" spans="3:11" x14ac:dyDescent="0.25">
      <c r="D47" t="s">
        <v>257</v>
      </c>
    </row>
    <row r="48" spans="3:11" x14ac:dyDescent="0.25">
      <c r="D48" t="s">
        <v>258</v>
      </c>
    </row>
    <row r="49" spans="3:4" x14ac:dyDescent="0.25">
      <c r="C49" t="s">
        <v>178</v>
      </c>
      <c r="D49" t="s">
        <v>259</v>
      </c>
    </row>
    <row r="50" spans="3:4" x14ac:dyDescent="0.25">
      <c r="D50" t="s">
        <v>260</v>
      </c>
    </row>
    <row r="51" spans="3:4" x14ac:dyDescent="0.25">
      <c r="D51" t="s">
        <v>261</v>
      </c>
    </row>
    <row r="52" spans="3:4" x14ac:dyDescent="0.25">
      <c r="D52" t="s">
        <v>264</v>
      </c>
    </row>
    <row r="53" spans="3:4" x14ac:dyDescent="0.25">
      <c r="D53" t="s">
        <v>262</v>
      </c>
    </row>
    <row r="54" spans="3:4" x14ac:dyDescent="0.25">
      <c r="D54" t="s">
        <v>263</v>
      </c>
    </row>
    <row r="55" spans="3:4" x14ac:dyDescent="0.25">
      <c r="D55" t="s">
        <v>265</v>
      </c>
    </row>
    <row r="56" spans="3:4" x14ac:dyDescent="0.25">
      <c r="D56" t="s">
        <v>266</v>
      </c>
    </row>
    <row r="57" spans="3:4" x14ac:dyDescent="0.25">
      <c r="D57" t="s">
        <v>267</v>
      </c>
    </row>
    <row r="58" spans="3:4" x14ac:dyDescent="0.25">
      <c r="D58" t="s">
        <v>269</v>
      </c>
    </row>
    <row r="59" spans="3:4" x14ac:dyDescent="0.25">
      <c r="D59" t="s">
        <v>278</v>
      </c>
    </row>
    <row r="60" spans="3:4" x14ac:dyDescent="0.25">
      <c r="C60" t="s">
        <v>193</v>
      </c>
      <c r="D60" t="s">
        <v>270</v>
      </c>
    </row>
    <row r="61" spans="3:4" x14ac:dyDescent="0.25">
      <c r="D61" t="s">
        <v>268</v>
      </c>
    </row>
    <row r="62" spans="3:4" x14ac:dyDescent="0.25">
      <c r="D62" t="s">
        <v>258</v>
      </c>
    </row>
    <row r="63" spans="3:4" x14ac:dyDescent="0.25">
      <c r="D63" t="s">
        <v>271</v>
      </c>
    </row>
    <row r="64" spans="3:4" x14ac:dyDescent="0.25">
      <c r="D64" t="s">
        <v>272</v>
      </c>
    </row>
    <row r="65" spans="3:4" x14ac:dyDescent="0.25">
      <c r="D65" t="s">
        <v>273</v>
      </c>
    </row>
    <row r="66" spans="3:4" x14ac:dyDescent="0.25">
      <c r="D66" t="s">
        <v>274</v>
      </c>
    </row>
    <row r="67" spans="3:4" x14ac:dyDescent="0.25">
      <c r="C67" t="s">
        <v>188</v>
      </c>
      <c r="D67" t="s">
        <v>275</v>
      </c>
    </row>
    <row r="68" spans="3:4" x14ac:dyDescent="0.25">
      <c r="D68" t="s">
        <v>276</v>
      </c>
    </row>
    <row r="69" spans="3:4" x14ac:dyDescent="0.25">
      <c r="D69" t="s">
        <v>277</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55"/>
  <sheetViews>
    <sheetView zoomScaleNormal="100" workbookViewId="0">
      <selection activeCell="C57" sqref="C57"/>
    </sheetView>
  </sheetViews>
  <sheetFormatPr defaultRowHeight="15" x14ac:dyDescent="0.25"/>
  <cols>
    <col min="2" max="2" width="3" bestFit="1" customWidth="1"/>
    <col min="3" max="3" width="155.28515625" customWidth="1"/>
  </cols>
  <sheetData>
    <row r="2" spans="2:3" ht="15" customHeight="1" x14ac:dyDescent="0.25">
      <c r="B2" s="57">
        <v>1</v>
      </c>
      <c r="C2" s="59" t="s">
        <v>283</v>
      </c>
    </row>
    <row r="3" spans="2:3" x14ac:dyDescent="0.25">
      <c r="B3" s="57">
        <v>2</v>
      </c>
      <c r="C3" s="58" t="s">
        <v>284</v>
      </c>
    </row>
    <row r="4" spans="2:3" x14ac:dyDescent="0.25">
      <c r="B4" s="57">
        <v>3</v>
      </c>
      <c r="C4" s="57" t="s">
        <v>285</v>
      </c>
    </row>
    <row r="5" spans="2:3" x14ac:dyDescent="0.25">
      <c r="B5" s="57">
        <v>4</v>
      </c>
      <c r="C5" s="58" t="s">
        <v>286</v>
      </c>
    </row>
    <row r="6" spans="2:3" x14ac:dyDescent="0.25">
      <c r="B6" s="57">
        <v>5</v>
      </c>
      <c r="C6" s="57" t="s">
        <v>287</v>
      </c>
    </row>
    <row r="7" spans="2:3" ht="30" x14ac:dyDescent="0.25">
      <c r="B7" s="57">
        <v>6</v>
      </c>
      <c r="C7" s="58" t="s">
        <v>288</v>
      </c>
    </row>
    <row r="8" spans="2:3" ht="75" x14ac:dyDescent="0.25">
      <c r="B8" s="57">
        <v>7</v>
      </c>
      <c r="C8" s="58" t="s">
        <v>289</v>
      </c>
    </row>
    <row r="9" spans="2:3" x14ac:dyDescent="0.25">
      <c r="B9" s="57">
        <v>8</v>
      </c>
      <c r="C9" s="57" t="s">
        <v>290</v>
      </c>
    </row>
    <row r="10" spans="2:3" x14ac:dyDescent="0.25">
      <c r="B10" s="57">
        <v>9</v>
      </c>
      <c r="C10" s="57" t="s">
        <v>291</v>
      </c>
    </row>
    <row r="11" spans="2:3" x14ac:dyDescent="0.25">
      <c r="B11" s="57">
        <v>10</v>
      </c>
      <c r="C11" s="57" t="s">
        <v>292</v>
      </c>
    </row>
    <row r="12" spans="2:3" x14ac:dyDescent="0.25">
      <c r="B12" s="57">
        <v>11</v>
      </c>
      <c r="C12" s="57" t="s">
        <v>293</v>
      </c>
    </row>
    <row r="13" spans="2:3" x14ac:dyDescent="0.25">
      <c r="B13" s="57">
        <v>12</v>
      </c>
      <c r="C13" s="57" t="s">
        <v>294</v>
      </c>
    </row>
    <row r="14" spans="2:3" x14ac:dyDescent="0.25">
      <c r="B14" s="57">
        <v>13</v>
      </c>
      <c r="C14" s="57" t="s">
        <v>295</v>
      </c>
    </row>
    <row r="15" spans="2:3" x14ac:dyDescent="0.25">
      <c r="B15" s="57">
        <v>14</v>
      </c>
      <c r="C15" s="57" t="s">
        <v>285</v>
      </c>
    </row>
    <row r="16" spans="2:3" x14ac:dyDescent="0.25">
      <c r="B16" s="57">
        <v>15</v>
      </c>
      <c r="C16" s="57" t="s">
        <v>298</v>
      </c>
    </row>
    <row r="17" spans="2:3" x14ac:dyDescent="0.25">
      <c r="B17" s="77">
        <v>16</v>
      </c>
      <c r="C17" s="63" t="s">
        <v>299</v>
      </c>
    </row>
    <row r="18" spans="2:3" x14ac:dyDescent="0.25">
      <c r="B18" s="62">
        <v>17</v>
      </c>
      <c r="C18" s="63" t="s">
        <v>300</v>
      </c>
    </row>
    <row r="19" spans="2:3" x14ac:dyDescent="0.25">
      <c r="B19" s="61">
        <v>18</v>
      </c>
      <c r="C19" s="57" t="s">
        <v>301</v>
      </c>
    </row>
    <row r="20" spans="2:3" x14ac:dyDescent="0.25">
      <c r="B20" s="62">
        <v>19</v>
      </c>
      <c r="C20" s="57" t="s">
        <v>337</v>
      </c>
    </row>
    <row r="21" spans="2:3" x14ac:dyDescent="0.25">
      <c r="B21" s="57">
        <v>20</v>
      </c>
      <c r="C21" s="57" t="s">
        <v>302</v>
      </c>
    </row>
    <row r="22" spans="2:3" x14ac:dyDescent="0.25">
      <c r="B22" s="62">
        <v>21</v>
      </c>
      <c r="C22" s="57" t="s">
        <v>301</v>
      </c>
    </row>
    <row r="23" spans="2:3" s="72" customFormat="1" ht="29.25" customHeight="1" x14ac:dyDescent="0.25">
      <c r="B23" s="71">
        <v>22</v>
      </c>
      <c r="C23" s="59" t="s">
        <v>329</v>
      </c>
    </row>
    <row r="24" spans="2:3" s="72" customFormat="1" ht="30.75" customHeight="1" x14ac:dyDescent="0.25">
      <c r="B24" s="73">
        <v>23</v>
      </c>
      <c r="C24" s="59" t="s">
        <v>330</v>
      </c>
    </row>
    <row r="25" spans="2:3" x14ac:dyDescent="0.25">
      <c r="B25" s="57">
        <v>24</v>
      </c>
      <c r="C25" s="57" t="s">
        <v>333</v>
      </c>
    </row>
    <row r="26" spans="2:3" x14ac:dyDescent="0.25">
      <c r="B26" s="62">
        <v>25</v>
      </c>
      <c r="C26" s="57" t="s">
        <v>331</v>
      </c>
    </row>
    <row r="27" spans="2:3" x14ac:dyDescent="0.25">
      <c r="B27" s="73">
        <v>26</v>
      </c>
      <c r="C27" s="57" t="s">
        <v>332</v>
      </c>
    </row>
    <row r="28" spans="2:3" x14ac:dyDescent="0.25">
      <c r="B28" s="62">
        <v>27</v>
      </c>
      <c r="C28" s="57" t="s">
        <v>334</v>
      </c>
    </row>
    <row r="29" spans="2:3" ht="60" x14ac:dyDescent="0.25">
      <c r="B29" s="76">
        <v>28</v>
      </c>
      <c r="C29" s="58" t="s">
        <v>335</v>
      </c>
    </row>
    <row r="30" spans="2:3" x14ac:dyDescent="0.25">
      <c r="B30" s="73">
        <v>29</v>
      </c>
      <c r="C30" s="57" t="s">
        <v>336</v>
      </c>
    </row>
    <row r="31" spans="2:3" ht="30" x14ac:dyDescent="0.25">
      <c r="B31" s="73">
        <v>30</v>
      </c>
      <c r="C31" s="58" t="s">
        <v>338</v>
      </c>
    </row>
    <row r="32" spans="2:3" x14ac:dyDescent="0.25">
      <c r="B32" s="73">
        <v>31</v>
      </c>
      <c r="C32" s="57" t="s">
        <v>339</v>
      </c>
    </row>
    <row r="33" spans="2:4" x14ac:dyDescent="0.25">
      <c r="B33" s="73">
        <v>32</v>
      </c>
      <c r="C33" s="57" t="s">
        <v>340</v>
      </c>
    </row>
    <row r="34" spans="2:4" ht="36.75" customHeight="1" x14ac:dyDescent="0.25">
      <c r="B34" s="73">
        <v>33</v>
      </c>
      <c r="C34" s="63" t="s">
        <v>341</v>
      </c>
    </row>
    <row r="35" spans="2:4" x14ac:dyDescent="0.25">
      <c r="B35" s="71">
        <v>34</v>
      </c>
      <c r="C35" s="57" t="s">
        <v>349</v>
      </c>
    </row>
    <row r="36" spans="2:4" ht="60" x14ac:dyDescent="0.25">
      <c r="B36" s="71">
        <v>35</v>
      </c>
      <c r="C36" s="58" t="s">
        <v>352</v>
      </c>
    </row>
    <row r="37" spans="2:4" x14ac:dyDescent="0.25">
      <c r="B37" s="57">
        <v>36</v>
      </c>
      <c r="C37" s="58" t="s">
        <v>363</v>
      </c>
    </row>
    <row r="38" spans="2:4" x14ac:dyDescent="0.25">
      <c r="B38" s="57">
        <f t="shared" ref="B38:B44" si="0">B37+1</f>
        <v>37</v>
      </c>
      <c r="C38" s="57" t="s">
        <v>359</v>
      </c>
    </row>
    <row r="39" spans="2:4" x14ac:dyDescent="0.25">
      <c r="B39" s="57">
        <f t="shared" si="0"/>
        <v>38</v>
      </c>
      <c r="C39" s="57" t="s">
        <v>360</v>
      </c>
    </row>
    <row r="40" spans="2:4" x14ac:dyDescent="0.25">
      <c r="B40" s="57">
        <f t="shared" si="0"/>
        <v>39</v>
      </c>
      <c r="C40" s="57" t="s">
        <v>361</v>
      </c>
    </row>
    <row r="41" spans="2:4" x14ac:dyDescent="0.25">
      <c r="B41" s="57">
        <f t="shared" si="0"/>
        <v>40</v>
      </c>
      <c r="C41" s="57" t="s">
        <v>362</v>
      </c>
    </row>
    <row r="42" spans="2:4" ht="30.75" thickBot="1" x14ac:dyDescent="0.3">
      <c r="B42" s="80">
        <f t="shared" si="0"/>
        <v>41</v>
      </c>
      <c r="C42" s="81" t="s">
        <v>364</v>
      </c>
    </row>
    <row r="43" spans="2:4" ht="30" x14ac:dyDescent="0.25">
      <c r="B43" s="84">
        <f t="shared" si="0"/>
        <v>42</v>
      </c>
      <c r="C43" s="89" t="s">
        <v>369</v>
      </c>
      <c r="D43" t="s">
        <v>370</v>
      </c>
    </row>
    <row r="44" spans="2:4" ht="15.75" thickBot="1" x14ac:dyDescent="0.3">
      <c r="B44" s="86">
        <f t="shared" si="0"/>
        <v>43</v>
      </c>
      <c r="C44" s="88" t="s">
        <v>365</v>
      </c>
    </row>
    <row r="45" spans="2:4" ht="15.75" thickBot="1" x14ac:dyDescent="0.3">
      <c r="B45" s="82">
        <f t="shared" ref="B45:B54" si="1">B44+1</f>
        <v>44</v>
      </c>
      <c r="C45" s="83" t="s">
        <v>366</v>
      </c>
    </row>
    <row r="46" spans="2:4" ht="30" x14ac:dyDescent="0.25">
      <c r="B46" s="84">
        <f t="shared" si="1"/>
        <v>45</v>
      </c>
      <c r="C46" s="85" t="s">
        <v>367</v>
      </c>
    </row>
    <row r="47" spans="2:4" ht="15.75" thickBot="1" x14ac:dyDescent="0.3">
      <c r="B47" s="86">
        <f t="shared" si="1"/>
        <v>46</v>
      </c>
      <c r="C47" s="87" t="s">
        <v>368</v>
      </c>
    </row>
    <row r="48" spans="2:4" x14ac:dyDescent="0.25">
      <c r="B48" s="90">
        <f t="shared" si="1"/>
        <v>47</v>
      </c>
      <c r="C48" s="91" t="s">
        <v>371</v>
      </c>
    </row>
    <row r="49" spans="2:6" x14ac:dyDescent="0.25">
      <c r="B49" s="90">
        <f t="shared" si="1"/>
        <v>48</v>
      </c>
      <c r="C49" s="91" t="s">
        <v>372</v>
      </c>
    </row>
    <row r="50" spans="2:6" x14ac:dyDescent="0.25">
      <c r="B50" s="90">
        <f t="shared" si="1"/>
        <v>49</v>
      </c>
      <c r="C50" s="91" t="s">
        <v>374</v>
      </c>
      <c r="D50" t="s">
        <v>373</v>
      </c>
    </row>
    <row r="51" spans="2:6" ht="30" x14ac:dyDescent="0.25">
      <c r="B51" s="92">
        <f t="shared" si="1"/>
        <v>50</v>
      </c>
      <c r="C51" s="93" t="s">
        <v>375</v>
      </c>
    </row>
    <row r="52" spans="2:6" x14ac:dyDescent="0.25">
      <c r="B52" s="92">
        <f t="shared" si="1"/>
        <v>51</v>
      </c>
      <c r="C52" s="94" t="s">
        <v>378</v>
      </c>
      <c r="D52" t="s">
        <v>379</v>
      </c>
    </row>
    <row r="53" spans="2:6" x14ac:dyDescent="0.25">
      <c r="B53" s="92">
        <f t="shared" si="1"/>
        <v>52</v>
      </c>
      <c r="C53" s="94" t="s">
        <v>381</v>
      </c>
      <c r="D53" t="s">
        <v>382</v>
      </c>
    </row>
    <row r="54" spans="2:6" ht="45" x14ac:dyDescent="0.25">
      <c r="B54" s="92">
        <f t="shared" si="1"/>
        <v>53</v>
      </c>
      <c r="C54" s="63" t="s">
        <v>386</v>
      </c>
      <c r="D54" t="s">
        <v>385</v>
      </c>
    </row>
    <row r="55" spans="2:6" ht="30" x14ac:dyDescent="0.25">
      <c r="B55">
        <v>54</v>
      </c>
      <c r="C55" s="96" t="s">
        <v>387</v>
      </c>
      <c r="D55" s="284" t="s">
        <v>388</v>
      </c>
      <c r="E55" s="285"/>
      <c r="F55" s="285"/>
    </row>
  </sheetData>
  <mergeCells count="1">
    <mergeCell ref="D55:F5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40625" defaultRowHeight="15" x14ac:dyDescent="0.25"/>
  <cols>
    <col min="1" max="1" width="9.140625" style="53"/>
    <col min="2" max="2" width="12.28515625" style="53" customWidth="1"/>
    <col min="3" max="16384" width="9.140625" style="53"/>
  </cols>
  <sheetData>
    <row r="2" spans="1:12" x14ac:dyDescent="0.25">
      <c r="B2" s="65" t="s">
        <v>303</v>
      </c>
      <c r="C2" s="286"/>
      <c r="D2" s="286"/>
    </row>
    <row r="3" spans="1:12" x14ac:dyDescent="0.25">
      <c r="D3" s="66"/>
      <c r="E3" s="66"/>
      <c r="F3" s="66"/>
      <c r="G3" s="66"/>
      <c r="H3" s="66"/>
      <c r="I3" s="66"/>
    </row>
    <row r="4" spans="1:12" x14ac:dyDescent="0.25">
      <c r="A4" s="65" t="s">
        <v>65</v>
      </c>
      <c r="B4" s="67" t="s">
        <v>304</v>
      </c>
      <c r="C4" s="287" t="s">
        <v>305</v>
      </c>
      <c r="D4" s="287"/>
      <c r="E4" s="287"/>
      <c r="F4" s="67"/>
      <c r="G4" s="288" t="s">
        <v>306</v>
      </c>
      <c r="H4" s="288"/>
      <c r="I4" s="288"/>
      <c r="J4" s="289" t="s">
        <v>307</v>
      </c>
      <c r="K4" s="289"/>
      <c r="L4" s="289"/>
    </row>
    <row r="5" spans="1:12" x14ac:dyDescent="0.25">
      <c r="A5" s="65"/>
      <c r="B5" s="67"/>
      <c r="C5" s="67" t="s">
        <v>308</v>
      </c>
      <c r="D5" s="67" t="s">
        <v>309</v>
      </c>
      <c r="E5" s="67" t="s">
        <v>310</v>
      </c>
      <c r="F5" s="67"/>
      <c r="G5" s="67" t="s">
        <v>308</v>
      </c>
      <c r="H5" s="67" t="s">
        <v>309</v>
      </c>
      <c r="I5" s="67" t="s">
        <v>310</v>
      </c>
      <c r="J5" s="67" t="s">
        <v>308</v>
      </c>
      <c r="K5" s="67" t="s">
        <v>309</v>
      </c>
      <c r="L5" s="67" t="s">
        <v>310</v>
      </c>
    </row>
    <row r="6" spans="1:12" x14ac:dyDescent="0.25">
      <c r="B6" s="54" t="s">
        <v>311</v>
      </c>
      <c r="C6" s="54"/>
      <c r="D6" s="54"/>
      <c r="E6" s="54">
        <f>C6*D6</f>
        <v>0</v>
      </c>
      <c r="F6" s="54" t="s">
        <v>328</v>
      </c>
      <c r="G6" s="54"/>
      <c r="H6" s="54"/>
      <c r="I6" s="54">
        <f>G6*H6</f>
        <v>0</v>
      </c>
      <c r="J6" s="54"/>
      <c r="K6" s="54"/>
      <c r="L6" s="54">
        <f>J6*K6</f>
        <v>0</v>
      </c>
    </row>
    <row r="7" spans="1:12" x14ac:dyDescent="0.25">
      <c r="B7" s="54"/>
      <c r="C7" s="54"/>
      <c r="D7" s="54"/>
      <c r="E7" s="54">
        <f t="shared" ref="E7:E41" si="0">C7*D7</f>
        <v>0</v>
      </c>
      <c r="F7" s="54" t="s">
        <v>328</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312</v>
      </c>
      <c r="G9" s="54"/>
      <c r="H9" s="54"/>
      <c r="I9" s="54">
        <f t="shared" si="1"/>
        <v>0</v>
      </c>
      <c r="J9" s="54"/>
      <c r="K9" s="54"/>
      <c r="L9" s="54">
        <f t="shared" si="2"/>
        <v>0</v>
      </c>
    </row>
    <row r="10" spans="1:12" x14ac:dyDescent="0.25">
      <c r="B10" s="54" t="s">
        <v>313</v>
      </c>
      <c r="C10" s="54"/>
      <c r="D10" s="54"/>
      <c r="E10" s="54">
        <f t="shared" si="0"/>
        <v>0</v>
      </c>
      <c r="F10" s="54" t="s">
        <v>312</v>
      </c>
      <c r="G10" s="54"/>
      <c r="H10" s="54"/>
      <c r="I10" s="54">
        <f t="shared" si="1"/>
        <v>0</v>
      </c>
      <c r="J10" s="54"/>
      <c r="K10" s="54"/>
      <c r="L10" s="54">
        <f t="shared" si="2"/>
        <v>0</v>
      </c>
    </row>
    <row r="11" spans="1:12" x14ac:dyDescent="0.25">
      <c r="B11" s="54"/>
      <c r="C11" s="54"/>
      <c r="D11" s="54"/>
      <c r="E11" s="54">
        <f t="shared" si="0"/>
        <v>0</v>
      </c>
      <c r="F11" s="54" t="s">
        <v>314</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315</v>
      </c>
      <c r="C14" s="54"/>
      <c r="D14" s="54"/>
      <c r="E14" s="54">
        <f t="shared" si="0"/>
        <v>0</v>
      </c>
      <c r="F14" s="54" t="s">
        <v>312</v>
      </c>
      <c r="G14" s="54"/>
      <c r="H14" s="54"/>
      <c r="I14" s="54">
        <f t="shared" si="1"/>
        <v>0</v>
      </c>
      <c r="J14" s="54"/>
      <c r="K14" s="54"/>
      <c r="L14" s="54">
        <f t="shared" si="2"/>
        <v>0</v>
      </c>
    </row>
    <row r="15" spans="1:12" x14ac:dyDescent="0.25">
      <c r="B15" s="54"/>
      <c r="C15" s="54"/>
      <c r="D15" s="54"/>
      <c r="E15" s="54">
        <f t="shared" si="0"/>
        <v>0</v>
      </c>
      <c r="F15" s="54" t="s">
        <v>314</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316</v>
      </c>
      <c r="C18" s="54"/>
      <c r="D18" s="54"/>
      <c r="E18" s="54">
        <f t="shared" si="0"/>
        <v>0</v>
      </c>
      <c r="F18" s="54" t="s">
        <v>312</v>
      </c>
      <c r="G18" s="54"/>
      <c r="H18" s="54"/>
      <c r="I18" s="54">
        <f t="shared" si="1"/>
        <v>0</v>
      </c>
      <c r="J18" s="54"/>
      <c r="K18" s="54"/>
      <c r="L18" s="54">
        <f t="shared" si="2"/>
        <v>0</v>
      </c>
    </row>
    <row r="19" spans="2:12" x14ac:dyDescent="0.25">
      <c r="B19" s="54"/>
      <c r="C19" s="54"/>
      <c r="D19" s="54"/>
      <c r="E19" s="54">
        <f t="shared" si="0"/>
        <v>0</v>
      </c>
      <c r="F19" s="54" t="s">
        <v>314</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317</v>
      </c>
      <c r="C21" s="54"/>
      <c r="D21" s="54"/>
      <c r="E21" s="54">
        <f t="shared" si="0"/>
        <v>0</v>
      </c>
      <c r="F21" s="54" t="s">
        <v>312</v>
      </c>
      <c r="G21" s="54"/>
      <c r="H21" s="54"/>
      <c r="I21" s="54">
        <f t="shared" si="1"/>
        <v>0</v>
      </c>
      <c r="J21" s="54"/>
      <c r="K21" s="54"/>
      <c r="L21" s="54">
        <f t="shared" si="2"/>
        <v>0</v>
      </c>
    </row>
    <row r="22" spans="2:12" x14ac:dyDescent="0.25">
      <c r="B22" s="54"/>
      <c r="C22" s="54"/>
      <c r="D22" s="54"/>
      <c r="E22" s="54">
        <f t="shared" si="0"/>
        <v>0</v>
      </c>
      <c r="F22" s="54" t="s">
        <v>314</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318</v>
      </c>
      <c r="C24" s="54"/>
      <c r="D24" s="54"/>
      <c r="E24" s="54">
        <f t="shared" si="0"/>
        <v>0</v>
      </c>
      <c r="F24" s="54" t="s">
        <v>319</v>
      </c>
      <c r="G24" s="54"/>
      <c r="H24" s="54"/>
      <c r="I24" s="54">
        <f t="shared" si="1"/>
        <v>0</v>
      </c>
      <c r="J24" s="54"/>
      <c r="K24" s="54"/>
      <c r="L24" s="54">
        <f t="shared" si="2"/>
        <v>0</v>
      </c>
    </row>
    <row r="25" spans="2:12" x14ac:dyDescent="0.25">
      <c r="B25" s="54"/>
      <c r="C25" s="54"/>
      <c r="D25" s="54"/>
      <c r="E25" s="54">
        <f>C25*D25</f>
        <v>0</v>
      </c>
      <c r="F25" s="54" t="s">
        <v>319</v>
      </c>
      <c r="G25" s="54"/>
      <c r="H25" s="54"/>
      <c r="I25" s="54">
        <f>G25*H25</f>
        <v>0</v>
      </c>
      <c r="J25" s="54"/>
      <c r="K25" s="54"/>
      <c r="L25" s="54">
        <f>J25*K25</f>
        <v>0</v>
      </c>
    </row>
    <row r="26" spans="2:12" x14ac:dyDescent="0.25">
      <c r="B26" s="54"/>
      <c r="C26" s="54"/>
      <c r="D26" s="54"/>
      <c r="E26" s="54">
        <f>C26*D26</f>
        <v>0</v>
      </c>
      <c r="F26" s="54" t="s">
        <v>319</v>
      </c>
      <c r="G26" s="54"/>
      <c r="H26" s="54"/>
      <c r="I26" s="54">
        <f>G26*H26</f>
        <v>0</v>
      </c>
      <c r="J26" s="54"/>
      <c r="K26" s="54"/>
      <c r="L26" s="54">
        <f>J26*K26</f>
        <v>0</v>
      </c>
    </row>
    <row r="27" spans="2:12" x14ac:dyDescent="0.25">
      <c r="B27" s="54"/>
      <c r="C27" s="54"/>
      <c r="D27" s="54"/>
      <c r="E27" s="54">
        <f>C27*D27</f>
        <v>0</v>
      </c>
      <c r="F27" s="54" t="s">
        <v>319</v>
      </c>
      <c r="G27" s="54"/>
      <c r="H27" s="54"/>
      <c r="I27" s="54">
        <f>G27*H27</f>
        <v>0</v>
      </c>
      <c r="J27" s="54"/>
      <c r="K27" s="54"/>
      <c r="L27" s="54">
        <f>J27*K27</f>
        <v>0</v>
      </c>
    </row>
    <row r="28" spans="2:12" x14ac:dyDescent="0.25">
      <c r="B28" s="54" t="s">
        <v>320</v>
      </c>
      <c r="C28" s="54"/>
      <c r="D28" s="54"/>
      <c r="E28" s="54">
        <f t="shared" si="0"/>
        <v>0</v>
      </c>
      <c r="F28" s="54" t="s">
        <v>319</v>
      </c>
      <c r="G28" s="54"/>
      <c r="H28" s="54"/>
      <c r="I28" s="54">
        <f t="shared" si="1"/>
        <v>0</v>
      </c>
      <c r="J28" s="54"/>
      <c r="K28" s="54"/>
      <c r="L28" s="54">
        <f t="shared" si="2"/>
        <v>0</v>
      </c>
    </row>
    <row r="29" spans="2:12" x14ac:dyDescent="0.25">
      <c r="B29" s="54" t="s">
        <v>321</v>
      </c>
      <c r="C29" s="54"/>
      <c r="D29" s="54"/>
      <c r="E29" s="54">
        <f t="shared" si="0"/>
        <v>0</v>
      </c>
      <c r="F29" s="54" t="s">
        <v>319</v>
      </c>
      <c r="G29" s="54"/>
      <c r="H29" s="54"/>
      <c r="I29" s="54">
        <f t="shared" si="1"/>
        <v>0</v>
      </c>
      <c r="J29" s="54"/>
      <c r="K29" s="54"/>
      <c r="L29" s="54">
        <f t="shared" si="2"/>
        <v>0</v>
      </c>
    </row>
    <row r="30" spans="2:12" x14ac:dyDescent="0.25">
      <c r="B30" s="54" t="s">
        <v>325</v>
      </c>
      <c r="C30" s="54"/>
      <c r="D30" s="54"/>
      <c r="E30" s="54">
        <f t="shared" si="0"/>
        <v>0</v>
      </c>
      <c r="F30" s="54"/>
      <c r="G30" s="54"/>
      <c r="H30" s="54"/>
      <c r="I30" s="54">
        <f t="shared" si="1"/>
        <v>0</v>
      </c>
      <c r="J30" s="54"/>
      <c r="K30" s="54"/>
      <c r="L30" s="54">
        <f t="shared" si="2"/>
        <v>0</v>
      </c>
    </row>
    <row r="31" spans="2:12" x14ac:dyDescent="0.25">
      <c r="B31" s="54"/>
      <c r="C31" s="54"/>
      <c r="D31" s="54"/>
      <c r="E31" s="54">
        <f>C31*D31</f>
        <v>0</v>
      </c>
      <c r="F31" s="54"/>
      <c r="G31" s="54"/>
      <c r="H31" s="54"/>
      <c r="I31" s="54">
        <f>G31*H31</f>
        <v>0</v>
      </c>
      <c r="J31" s="54"/>
      <c r="K31" s="54"/>
      <c r="L31" s="54">
        <f>J31*K31</f>
        <v>0</v>
      </c>
    </row>
    <row r="32" spans="2:12" x14ac:dyDescent="0.25">
      <c r="B32" s="54"/>
      <c r="C32" s="54"/>
      <c r="D32" s="54"/>
      <c r="E32" s="54">
        <f>C32*D32</f>
        <v>0</v>
      </c>
      <c r="F32" s="54"/>
      <c r="G32" s="54"/>
      <c r="H32" s="54"/>
      <c r="I32" s="54">
        <f>G32*H32</f>
        <v>0</v>
      </c>
      <c r="J32" s="54"/>
      <c r="K32" s="54"/>
      <c r="L32" s="54">
        <f>J32*K32</f>
        <v>0</v>
      </c>
    </row>
    <row r="33" spans="2:12" x14ac:dyDescent="0.25">
      <c r="B33" s="54" t="s">
        <v>322</v>
      </c>
      <c r="C33" s="54"/>
      <c r="D33" s="54"/>
      <c r="E33" s="54">
        <f t="shared" si="0"/>
        <v>0</v>
      </c>
      <c r="F33" s="54"/>
      <c r="G33" s="54"/>
      <c r="H33" s="54"/>
      <c r="I33" s="54">
        <f t="shared" si="1"/>
        <v>0</v>
      </c>
      <c r="J33" s="54"/>
      <c r="K33" s="54"/>
      <c r="L33" s="54">
        <f t="shared" si="2"/>
        <v>0</v>
      </c>
    </row>
    <row r="34" spans="2:12" x14ac:dyDescent="0.25">
      <c r="B34" s="54" t="s">
        <v>326</v>
      </c>
      <c r="C34" s="54"/>
      <c r="D34" s="54"/>
      <c r="E34" s="54">
        <f t="shared" si="0"/>
        <v>0</v>
      </c>
      <c r="F34" s="54"/>
      <c r="G34" s="54"/>
      <c r="H34" s="54"/>
      <c r="I34" s="54">
        <f t="shared" si="1"/>
        <v>0</v>
      </c>
      <c r="J34" s="54"/>
      <c r="K34" s="54"/>
      <c r="L34" s="54">
        <f t="shared" si="2"/>
        <v>0</v>
      </c>
    </row>
    <row r="35" spans="2:12" x14ac:dyDescent="0.25">
      <c r="B35" s="54" t="s">
        <v>323</v>
      </c>
      <c r="C35" s="54"/>
      <c r="D35" s="54"/>
      <c r="E35" s="54">
        <f t="shared" si="0"/>
        <v>0</v>
      </c>
      <c r="F35" s="54"/>
      <c r="G35" s="54"/>
      <c r="H35" s="54"/>
      <c r="I35" s="54">
        <f t="shared" si="1"/>
        <v>0</v>
      </c>
      <c r="J35" s="54"/>
      <c r="K35" s="54"/>
      <c r="L35" s="54">
        <f t="shared" si="2"/>
        <v>0</v>
      </c>
    </row>
    <row r="36" spans="2:12" x14ac:dyDescent="0.25">
      <c r="B36" s="54" t="s">
        <v>324</v>
      </c>
      <c r="C36" s="54"/>
      <c r="D36" s="54"/>
      <c r="E36" s="54">
        <f t="shared" si="0"/>
        <v>0</v>
      </c>
      <c r="F36" s="54"/>
      <c r="G36" s="54"/>
      <c r="H36" s="54"/>
      <c r="I36" s="54">
        <f t="shared" ref="I36:I41" si="3">G36*H36</f>
        <v>0</v>
      </c>
      <c r="J36" s="54"/>
      <c r="K36" s="54"/>
      <c r="L36" s="54">
        <f t="shared" ref="L36:L41" si="4">J36*K36</f>
        <v>0</v>
      </c>
    </row>
    <row r="37" spans="2:12" x14ac:dyDescent="0.25">
      <c r="B37" s="54"/>
      <c r="C37" s="54"/>
      <c r="D37" s="54"/>
      <c r="E37" s="54">
        <f>C37*D37</f>
        <v>0</v>
      </c>
      <c r="F37" s="54"/>
      <c r="G37" s="54"/>
      <c r="H37" s="54"/>
      <c r="I37" s="54">
        <f t="shared" si="3"/>
        <v>0</v>
      </c>
      <c r="J37" s="54"/>
      <c r="K37" s="54"/>
      <c r="L37" s="54">
        <f t="shared" si="4"/>
        <v>0</v>
      </c>
    </row>
    <row r="38" spans="2:12" x14ac:dyDescent="0.25">
      <c r="B38" s="54" t="s">
        <v>327</v>
      </c>
      <c r="C38" s="54"/>
      <c r="D38" s="54"/>
      <c r="E38" s="54">
        <f>C38*D38</f>
        <v>0</v>
      </c>
      <c r="F38" s="54"/>
      <c r="G38" s="54"/>
      <c r="H38" s="54"/>
      <c r="I38" s="54">
        <f t="shared" si="3"/>
        <v>0</v>
      </c>
      <c r="J38" s="54"/>
      <c r="K38" s="54"/>
      <c r="L38" s="54">
        <f t="shared" si="4"/>
        <v>0</v>
      </c>
    </row>
    <row r="39" spans="2:12" x14ac:dyDescent="0.25">
      <c r="B39" s="54"/>
      <c r="C39" s="54"/>
      <c r="D39" s="54"/>
      <c r="E39" s="54">
        <f t="shared" si="0"/>
        <v>0</v>
      </c>
      <c r="F39" s="54"/>
      <c r="G39" s="54"/>
      <c r="H39" s="54"/>
      <c r="I39" s="54">
        <f t="shared" si="3"/>
        <v>0</v>
      </c>
      <c r="J39" s="54"/>
      <c r="K39" s="54"/>
      <c r="L39" s="54">
        <f t="shared" si="4"/>
        <v>0</v>
      </c>
    </row>
    <row r="40" spans="2:12" x14ac:dyDescent="0.25">
      <c r="B40" s="54"/>
      <c r="C40" s="54"/>
      <c r="D40" s="54"/>
      <c r="E40" s="54">
        <f t="shared" si="0"/>
        <v>0</v>
      </c>
      <c r="F40" s="54"/>
      <c r="G40" s="54"/>
      <c r="H40" s="54"/>
      <c r="I40" s="54">
        <f t="shared" si="3"/>
        <v>0</v>
      </c>
      <c r="J40" s="54"/>
      <c r="K40" s="54"/>
      <c r="L40" s="54">
        <f t="shared" si="4"/>
        <v>0</v>
      </c>
    </row>
    <row r="41" spans="2:12" x14ac:dyDescent="0.25">
      <c r="B41" s="54"/>
      <c r="C41" s="54"/>
      <c r="D41" s="54"/>
      <c r="E41" s="54">
        <f t="shared" si="0"/>
        <v>0</v>
      </c>
      <c r="F41" s="54"/>
      <c r="G41" s="54"/>
      <c r="H41" s="54"/>
      <c r="I41" s="54">
        <f t="shared" si="3"/>
        <v>0</v>
      </c>
      <c r="J41" s="54"/>
      <c r="K41" s="54"/>
      <c r="L41" s="54">
        <f t="shared" si="4"/>
        <v>0</v>
      </c>
    </row>
    <row r="42" spans="2:12" x14ac:dyDescent="0.25">
      <c r="B42" s="54" t="s">
        <v>152</v>
      </c>
      <c r="C42" s="54"/>
      <c r="D42" s="54">
        <f>E42*10.764</f>
        <v>0</v>
      </c>
      <c r="E42" s="70">
        <f>SUM(E6:E41)</f>
        <v>0</v>
      </c>
      <c r="F42" s="54"/>
      <c r="G42" s="54"/>
      <c r="H42" s="54">
        <f>I42*10.764</f>
        <v>0</v>
      </c>
      <c r="I42" s="69">
        <f>SUM(I6:I41)</f>
        <v>0</v>
      </c>
      <c r="J42" s="54"/>
      <c r="K42" s="54">
        <f>L42*10.764</f>
        <v>0</v>
      </c>
      <c r="L42" s="68">
        <f>SUM(L6:L41)</f>
        <v>0</v>
      </c>
    </row>
    <row r="44" spans="2:12" x14ac:dyDescent="0.25">
      <c r="D44" s="53">
        <f>D42+H42</f>
        <v>0</v>
      </c>
      <c r="E44" s="5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SACHIN</cp:lastModifiedBy>
  <cp:lastPrinted>2025-08-23T07:32:23Z</cp:lastPrinted>
  <dcterms:created xsi:type="dcterms:W3CDTF">2019-07-16T09:29:46Z</dcterms:created>
  <dcterms:modified xsi:type="dcterms:W3CDTF">2025-08-23T07:33:26Z</dcterms:modified>
</cp:coreProperties>
</file>