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SACHIN\Downloads\"/>
    </mc:Choice>
  </mc:AlternateContent>
  <xr:revisionPtr revIDLastSave="0" documentId="13_ncr:1_{352AD016-33B8-46B0-A32E-450CD94788DC}" xr6:coauthVersionLast="47" xr6:coauthVersionMax="47" xr10:uidLastSave="{00000000-0000-0000-0000-000000000000}"/>
  <bookViews>
    <workbookView xWindow="-120" yWindow="-120" windowWidth="20730" windowHeight="11160" xr2:uid="{00000000-000D-0000-FFFF-FFFF00000000}"/>
  </bookViews>
  <sheets>
    <sheet name="Report" sheetId="1" r:id="rId1"/>
    <sheet name="C%" sheetId="4" r:id="rId2"/>
  </sheets>
  <definedNames>
    <definedName name="_xlnm.Print_Area" localSheetId="0">Report!$A$1:$H$336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I28" i="1"/>
  <c r="G151" i="1" l="1"/>
  <c r="I145" i="1"/>
  <c r="I144" i="1"/>
  <c r="G146" i="1"/>
  <c r="I133" i="1"/>
  <c r="J101" i="1" l="1"/>
  <c r="J100" i="1"/>
  <c r="J99" i="1"/>
  <c r="J98" i="1"/>
  <c r="J87" i="1"/>
  <c r="J86" i="1"/>
  <c r="J85" i="1"/>
  <c r="J84" i="1"/>
  <c r="G41" i="1"/>
  <c r="E169" i="1"/>
  <c r="D169" i="1"/>
  <c r="E168" i="1"/>
  <c r="D168" i="1"/>
  <c r="E167" i="1"/>
  <c r="D167" i="1"/>
  <c r="E166" i="1"/>
  <c r="D166" i="1"/>
  <c r="G164" i="1"/>
  <c r="G163" i="1"/>
  <c r="G162" i="1"/>
  <c r="G161" i="1"/>
  <c r="E164" i="1"/>
  <c r="D164" i="1"/>
  <c r="E163" i="1"/>
  <c r="D163" i="1"/>
  <c r="E162" i="1"/>
  <c r="D162" i="1"/>
  <c r="E161" i="1"/>
  <c r="D161" i="1"/>
  <c r="A167" i="1"/>
  <c r="A168" i="1" s="1"/>
  <c r="A169" i="1" s="1"/>
  <c r="E157" i="1"/>
  <c r="D157" i="1"/>
  <c r="E156" i="1"/>
  <c r="D156" i="1"/>
  <c r="E155" i="1"/>
  <c r="D155" i="1"/>
  <c r="E154" i="1"/>
  <c r="D154" i="1"/>
  <c r="G152" i="1"/>
  <c r="G150" i="1"/>
  <c r="G149" i="1"/>
  <c r="E152" i="1"/>
  <c r="D152" i="1"/>
  <c r="E151" i="1"/>
  <c r="D151" i="1"/>
  <c r="E150" i="1"/>
  <c r="D150" i="1"/>
  <c r="E149" i="1"/>
  <c r="D149" i="1"/>
  <c r="E146" i="1"/>
  <c r="D146" i="1"/>
  <c r="E145" i="1"/>
  <c r="D145" i="1"/>
  <c r="E144" i="1"/>
  <c r="D144" i="1"/>
  <c r="D136" i="1"/>
  <c r="F136" i="1" s="1"/>
  <c r="H136" i="1" s="1"/>
  <c r="D135" i="1"/>
  <c r="D134" i="1"/>
  <c r="D133" i="1"/>
  <c r="D132" i="1"/>
  <c r="I129" i="1"/>
  <c r="H91" i="1"/>
  <c r="H77" i="1"/>
  <c r="C117" i="1" l="1"/>
  <c r="F169" i="1"/>
  <c r="H169" i="1" s="1"/>
  <c r="C122" i="1"/>
  <c r="F166" i="1"/>
  <c r="H166" i="1" s="1"/>
  <c r="F168" i="1"/>
  <c r="H168" i="1" s="1"/>
  <c r="F167" i="1"/>
  <c r="H167" i="1" s="1"/>
  <c r="C121" i="1"/>
  <c r="C123" i="1" s="1"/>
  <c r="F99" i="1"/>
  <c r="J93" i="1"/>
  <c r="J96" i="1"/>
  <c r="J97" i="1" s="1"/>
  <c r="J102" i="1" s="1"/>
  <c r="J94" i="1"/>
  <c r="F102" i="1"/>
  <c r="F100" i="1"/>
  <c r="F98" i="1"/>
  <c r="F96" i="1"/>
  <c r="J95" i="1"/>
  <c r="F103" i="1"/>
  <c r="F101" i="1"/>
  <c r="F97" i="1"/>
  <c r="J81" i="1"/>
  <c r="E80" i="1" s="1"/>
  <c r="F80" i="1" s="1"/>
  <c r="J82" i="1"/>
  <c r="J83" i="1" s="1"/>
  <c r="J88" i="1" s="1"/>
  <c r="J80" i="1"/>
  <c r="F88" i="1"/>
  <c r="F84" i="1"/>
  <c r="F89" i="1"/>
  <c r="F87" i="1"/>
  <c r="F85" i="1"/>
  <c r="F83" i="1"/>
  <c r="J79" i="1"/>
  <c r="F86" i="1"/>
  <c r="F82" i="1"/>
  <c r="F179" i="1"/>
  <c r="A175" i="1"/>
  <c r="A176" i="1" s="1"/>
  <c r="A177" i="1" s="1"/>
  <c r="A178" i="1" s="1"/>
  <c r="A179" i="1" s="1"/>
  <c r="A180" i="1" s="1"/>
  <c r="A181" i="1" s="1"/>
  <c r="A182" i="1" s="1"/>
  <c r="A183" i="1" s="1"/>
  <c r="A162" i="1"/>
  <c r="A163" i="1" s="1"/>
  <c r="A164" i="1" s="1"/>
  <c r="A155" i="1"/>
  <c r="A156" i="1" s="1"/>
  <c r="A157" i="1" s="1"/>
  <c r="A150" i="1"/>
  <c r="A151" i="1" s="1"/>
  <c r="A152" i="1" s="1"/>
  <c r="A145" i="1"/>
  <c r="A146" i="1" s="1"/>
  <c r="A133" i="1"/>
  <c r="A134" i="1" s="1"/>
  <c r="A135" i="1" s="1"/>
  <c r="A136" i="1" s="1"/>
  <c r="F164" i="1"/>
  <c r="H164" i="1" s="1"/>
  <c r="J164" i="1" s="1"/>
  <c r="F163" i="1"/>
  <c r="H163" i="1" s="1"/>
  <c r="J163" i="1" s="1"/>
  <c r="F162" i="1"/>
  <c r="H162" i="1" s="1"/>
  <c r="J162" i="1" s="1"/>
  <c r="F161" i="1"/>
  <c r="F157" i="1"/>
  <c r="H157" i="1" s="1"/>
  <c r="F156" i="1"/>
  <c r="H156" i="1" s="1"/>
  <c r="F155" i="1"/>
  <c r="H155" i="1" s="1"/>
  <c r="F154" i="1"/>
  <c r="H154" i="1" s="1"/>
  <c r="F152" i="1"/>
  <c r="H152" i="1" s="1"/>
  <c r="K152" i="1" s="1"/>
  <c r="F151" i="1"/>
  <c r="H151" i="1" s="1"/>
  <c r="K151" i="1" s="1"/>
  <c r="F150" i="1"/>
  <c r="H150" i="1" s="1"/>
  <c r="K150" i="1" s="1"/>
  <c r="F149" i="1"/>
  <c r="H149" i="1" s="1"/>
  <c r="K149" i="1" s="1"/>
  <c r="F133" i="1"/>
  <c r="H133" i="1" s="1"/>
  <c r="F134" i="1"/>
  <c r="F135" i="1"/>
  <c r="H135" i="1" s="1"/>
  <c r="F132" i="1"/>
  <c r="F146" i="1"/>
  <c r="H146" i="1" s="1"/>
  <c r="F145" i="1"/>
  <c r="H145" i="1" s="1"/>
  <c r="F144" i="1"/>
  <c r="E117" i="1" l="1"/>
  <c r="E118" i="1" s="1"/>
  <c r="J103" i="1"/>
  <c r="J89" i="1"/>
  <c r="E81" i="1" s="1"/>
  <c r="J149" i="1"/>
  <c r="J152" i="1"/>
  <c r="H132" i="1"/>
  <c r="H161" i="1"/>
  <c r="E122" i="1"/>
  <c r="H144" i="1"/>
  <c r="G121" i="1" s="1"/>
  <c r="E121" i="1"/>
  <c r="C118" i="1"/>
  <c r="C124" i="1" s="1"/>
  <c r="E94" i="1" l="1"/>
  <c r="F94" i="1" s="1"/>
  <c r="E95" i="1"/>
  <c r="G94" i="1" s="1"/>
  <c r="F81" i="1"/>
  <c r="G80" i="1"/>
  <c r="I76" i="1" s="1"/>
  <c r="C78" i="1" s="1"/>
  <c r="G122" i="1"/>
  <c r="J161" i="1"/>
  <c r="E123" i="1"/>
  <c r="E124" i="1" s="1"/>
  <c r="C8" i="1"/>
  <c r="I90" i="1" l="1"/>
  <c r="C92" i="1" s="1"/>
  <c r="F95" i="1"/>
  <c r="J73" i="1"/>
  <c r="J72" i="1"/>
  <c r="J71" i="1"/>
  <c r="J70" i="1"/>
  <c r="H63" i="1"/>
  <c r="J67" i="1" l="1"/>
  <c r="J65" i="1"/>
  <c r="F70" i="1"/>
  <c r="F75" i="1"/>
  <c r="F69" i="1"/>
  <c r="J68" i="1"/>
  <c r="J69" i="1" s="1"/>
  <c r="J74" i="1" s="1"/>
  <c r="F71" i="1"/>
  <c r="F74" i="1"/>
  <c r="F68" i="1"/>
  <c r="F72" i="1"/>
  <c r="F66" i="1"/>
  <c r="F73" i="1"/>
  <c r="J66" i="1"/>
  <c r="J75" i="1" l="1"/>
  <c r="F67" i="1" l="1"/>
  <c r="G66" i="1"/>
  <c r="I62" i="1" s="1"/>
  <c r="C64" i="1" s="1"/>
  <c r="H134" i="1"/>
  <c r="G117" i="1" s="1"/>
  <c r="G118" i="1" l="1"/>
  <c r="G42" i="1"/>
  <c r="G123" i="1" l="1"/>
  <c r="G124" i="1" s="1"/>
  <c r="G5" i="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18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Windows User</author>
  </authors>
  <commentList>
    <comment ref="A9" authorId="0" shapeId="0" xr:uid="{00000000-0006-0000-0000-000001000000}">
      <text>
        <r>
          <rPr>
            <b/>
            <sz val="9"/>
            <color indexed="81"/>
            <rFont val="Tahoma"/>
            <family val="2"/>
          </rPr>
          <t>SACHIN:</t>
        </r>
        <r>
          <rPr>
            <sz val="9"/>
            <color indexed="81"/>
            <rFont val="Tahoma"/>
            <family val="2"/>
          </rPr>
          <t xml:space="preserve">
As per CC</t>
        </r>
      </text>
    </comment>
    <comment ref="C9" authorId="0" shapeId="0" xr:uid="{00000000-0006-0000-0000-000002000000}">
      <text>
        <r>
          <rPr>
            <b/>
            <sz val="9"/>
            <color indexed="81"/>
            <rFont val="Tahoma"/>
            <family val="2"/>
          </rPr>
          <t>Take address from CC</t>
        </r>
      </text>
    </comment>
    <comment ref="C21" authorId="0" shapeId="0" xr:uid="{00000000-0006-0000-0000-000003000000}">
      <text>
        <r>
          <rPr>
            <b/>
            <sz val="9"/>
            <color indexed="81"/>
            <rFont val="Tahoma"/>
            <family val="2"/>
          </rPr>
          <t>Builder's office address from RERA</t>
        </r>
        <r>
          <rPr>
            <sz val="9"/>
            <color indexed="81"/>
            <rFont val="Tahoma"/>
            <family val="2"/>
          </rPr>
          <t xml:space="preserve">
</t>
        </r>
      </text>
    </comment>
    <comment ref="C24" authorId="0" shapeId="0" xr:uid="{00000000-0006-0000-0000-000004000000}">
      <text>
        <r>
          <rPr>
            <b/>
            <sz val="9"/>
            <color indexed="81"/>
            <rFont val="Tahoma"/>
            <family val="2"/>
          </rPr>
          <t>Provided during initiation</t>
        </r>
        <r>
          <rPr>
            <sz val="9"/>
            <color indexed="81"/>
            <rFont val="Tahoma"/>
            <family val="2"/>
          </rPr>
          <t xml:space="preserve">
</t>
        </r>
      </text>
    </comment>
    <comment ref="C25" authorId="1" shapeId="0" xr:uid="{00000000-0006-0000-0000-000005000000}">
      <text>
        <r>
          <rPr>
            <b/>
            <sz val="11"/>
            <color indexed="81"/>
            <rFont val="Tahoma"/>
            <family val="2"/>
          </rPr>
          <t xml:space="preserve">Authority
</t>
        </r>
      </text>
    </comment>
    <comment ref="C26" authorId="0" shapeId="0" xr:uid="{00000000-0006-0000-0000-000006000000}">
      <text>
        <r>
          <rPr>
            <b/>
            <sz val="9"/>
            <color indexed="81"/>
            <rFont val="Tahoma"/>
            <family val="2"/>
          </rPr>
          <t>Apartments or 
Apartments + Shops</t>
        </r>
      </text>
    </comment>
    <comment ref="G28" authorId="0" shapeId="0" xr:uid="{00000000-0006-0000-0000-000007000000}">
      <text>
        <r>
          <rPr>
            <b/>
            <sz val="9"/>
            <color indexed="81"/>
            <rFont val="Tahoma"/>
            <family val="2"/>
          </rPr>
          <t>15% of Total No of Flats</t>
        </r>
        <r>
          <rPr>
            <sz val="9"/>
            <color indexed="81"/>
            <rFont val="Tahoma"/>
            <family val="2"/>
          </rPr>
          <t xml:space="preserve">
</t>
        </r>
      </text>
    </comment>
    <comment ref="E32" authorId="0" shapeId="0" xr:uid="{00000000-0006-0000-0000-000008000000}">
      <text>
        <r>
          <rPr>
            <b/>
            <sz val="9"/>
            <color indexed="81"/>
            <rFont val="Tahoma"/>
            <family val="2"/>
          </rPr>
          <t>If Sale deed is provided</t>
        </r>
        <r>
          <rPr>
            <sz val="9"/>
            <color indexed="81"/>
            <rFont val="Tahoma"/>
            <family val="2"/>
          </rPr>
          <t xml:space="preserve">
</t>
        </r>
      </text>
    </comment>
    <comment ref="F32" authorId="0" shapeId="0" xr:uid="{00000000-0006-0000-0000-000009000000}">
      <text>
        <r>
          <rPr>
            <b/>
            <sz val="9"/>
            <color indexed="81"/>
            <rFont val="Tahoma"/>
            <family val="2"/>
          </rPr>
          <t>If Sale deed is provided</t>
        </r>
        <r>
          <rPr>
            <sz val="9"/>
            <color indexed="81"/>
            <rFont val="Tahoma"/>
            <family val="2"/>
          </rPr>
          <t xml:space="preserve">
</t>
        </r>
      </text>
    </comment>
    <comment ref="G32" authorId="0" shapeId="0" xr:uid="{00000000-0006-0000-0000-00000A000000}">
      <text>
        <r>
          <rPr>
            <b/>
            <sz val="9"/>
            <color indexed="81"/>
            <rFont val="Tahoma"/>
            <family val="2"/>
          </rPr>
          <t>If Sale deed is provided</t>
        </r>
        <r>
          <rPr>
            <sz val="9"/>
            <color indexed="81"/>
            <rFont val="Tahoma"/>
            <family val="2"/>
          </rPr>
          <t xml:space="preserve">
</t>
        </r>
      </text>
    </comment>
    <comment ref="H32" authorId="0" shapeId="0" xr:uid="{00000000-0006-0000-0000-00000B000000}">
      <text>
        <r>
          <rPr>
            <b/>
            <sz val="9"/>
            <color indexed="81"/>
            <rFont val="Tahoma"/>
            <family val="2"/>
          </rPr>
          <t>If Sale deed is provided</t>
        </r>
        <r>
          <rPr>
            <sz val="9"/>
            <color indexed="81"/>
            <rFont val="Tahoma"/>
            <family val="2"/>
          </rPr>
          <t xml:space="preserve">
</t>
        </r>
      </text>
    </comment>
    <comment ref="C60" authorId="0" shapeId="0" xr:uid="{00000000-0006-0000-0000-00000C000000}">
      <text>
        <r>
          <rPr>
            <b/>
            <sz val="9"/>
            <color indexed="81"/>
            <rFont val="Tahoma"/>
            <family val="2"/>
          </rPr>
          <t>RERA Start date</t>
        </r>
      </text>
    </comment>
    <comment ref="H106" authorId="0" shapeId="0" xr:uid="{00000000-0006-0000-0000-00000D000000}">
      <text>
        <r>
          <rPr>
            <b/>
            <sz val="9"/>
            <color indexed="81"/>
            <rFont val="Tahoma"/>
            <family val="2"/>
          </rPr>
          <t>if multiple buildings are in project and are connected internally</t>
        </r>
      </text>
    </comment>
    <comment ref="C108" authorId="0" shapeId="0" xr:uid="{00000000-0006-0000-0000-00000E000000}">
      <text>
        <r>
          <rPr>
            <b/>
            <sz val="9"/>
            <color indexed="81"/>
            <rFont val="Tahoma"/>
            <family val="2"/>
          </rPr>
          <t>AAC Block or Brick</t>
        </r>
      </text>
    </comment>
    <comment ref="H110" authorId="0" shapeId="0" xr:uid="{00000000-0006-0000-0000-00000F00000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<sst xmlns="http://schemas.openxmlformats.org/spreadsheetml/2006/main" count="456" uniqueCount="296">
  <si>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</si>
  <si>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</si>
  <si>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</si>
  <si>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</si>
  <si>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</si>
  <si>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</si>
  <si>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</si>
  <si>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</si>
  <si>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</si>
  <si>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</si>
  <si>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</si>
  <si>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</si>
  <si>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</si>
  <si>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</si>
  <si>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</si>
  <si>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</si>
  <si>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</si>
  <si>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</si>
  <si>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</si>
  <si>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</si>
  <si>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</si>
  <si>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</si>
  <si>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</si>
  <si>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</si>
  <si>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</si>
  <si>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</si>
  <si>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</si>
  <si>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</si>
  <si>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</si>
  <si>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</si>
  <si>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</si>
  <si>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</si>
  <si>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</si>
  <si>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</si>
  <si>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</si>
  <si>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</si>
  <si>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</si>
  <si>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</si>
  <si>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</si>
  <si>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</si>
  <si>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</si>
  <si>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</si>
  <si>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</si>
  <si>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</si>
  <si>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</si>
  <si>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</si>
  <si>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</si>
  <si>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</si>
  <si>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</si>
  <si>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</si>
  <si>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</si>
  <si>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</si>
  <si>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</si>
  <si>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</si>
  <si>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</si>
  <si>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</si>
  <si>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</si>
  <si>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</si>
  <si>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</si>
  <si>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</si>
  <si>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</si>
  <si>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</si>
  <si>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</si>
  <si>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</si>
  <si>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</si>
  <si>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</si>
  <si>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</si>
  <si>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</si>
  <si>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</si>
  <si>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</si>
  <si>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</si>
  <si>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</si>
  <si>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</si>
  <si>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</si>
  <si>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</si>
  <si>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</si>
  <si>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</si>
  <si>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</si>
  <si>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</si>
  <si>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</si>
  <si>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</si>
  <si>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</si>
  <si>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</si>
  <si>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</si>
  <si>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</si>
  <si>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</si>
  <si>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</si>
  <si>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</si>
  <si>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</si>
  <si>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</si>
  <si>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</si>
  <si>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</si>
  <si>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</si>
  <si>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</si>
  <si>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</si>
  <si>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</si>
  <si>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</si>
  <si>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</si>
  <si>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</si>
  <si>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</si>
  <si>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</si>
  <si>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</si>
  <si>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</si>
  <si>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</si>
  <si>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</si>
  <si>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</si>
  <si>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</si>
  <si>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</si>
  <si>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</si>
  <si>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</si>
  <si>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</si>
  <si>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</si>
  <si>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</si>
  <si>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</si>
  <si>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</si>
  <si>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</si>
  <si>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</si>
  <si>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1,00,000/-</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</si>
  <si>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</si>
  <si>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</si>
  <si>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</si>
  <si>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</si>
  <si>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</si>
  <si>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</si>
  <si>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</si>
  <si>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</si>
  <si>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44 meter per sec</t>
  </si>
  <si>
    <t>Alluvial Soil</t>
  </si>
  <si>
    <t>Total Permissible Builtup area of the project (Sq.Mt)</t>
  </si>
  <si>
    <t>Plot area mentioned in the sale deed (As per 7/12)</t>
  </si>
  <si>
    <t>Plot area mentioned in the approved drg. on which FSI/FAR calculations computed (Net Plot Area)</t>
  </si>
  <si>
    <t>Stage of construction</t>
  </si>
  <si>
    <t>Building No.1</t>
  </si>
  <si>
    <t>Taluka</t>
  </si>
  <si>
    <t>District</t>
  </si>
  <si>
    <t>Pincode</t>
  </si>
  <si>
    <t>Geo Link</t>
  </si>
  <si>
    <t xml:space="preserve">Stage of construction: </t>
  </si>
  <si>
    <t>All work Completed. OC Received.</t>
  </si>
  <si>
    <t>Project Progress %</t>
  </si>
  <si>
    <t>AAC Block/ Brick</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</si>
  <si>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</si>
  <si>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</si>
  <si>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</si>
  <si>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</si>
  <si>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</si>
  <si>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</si>
  <si>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</si>
  <si>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</si>
  <si>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</si>
  <si>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</si>
  <si>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</si>
  <si>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</si>
  <si>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</si>
  <si>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</si>
  <si>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</si>
  <si>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</si>
  <si>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</si>
  <si>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</si>
  <si>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</si>
  <si>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</si>
  <si>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</si>
  <si>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</si>
  <si>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</si>
  <si>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</si>
  <si>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</si>
  <si>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</si>
  <si>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</si>
  <si>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</si>
  <si>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</si>
  <si>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</si>
  <si>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</si>
  <si>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</si>
  <si>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</si>
  <si>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</si>
  <si>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</si>
  <si>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</si>
  <si>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</si>
  <si>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</si>
  <si>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</si>
  <si>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</si>
  <si>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</si>
  <si>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</si>
  <si>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</si>
  <si>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</si>
  <si>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</si>
  <si>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</si>
  <si>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</si>
  <si>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</si>
  <si>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</si>
  <si>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</si>
  <si>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</si>
  <si>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</si>
  <si>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</si>
  <si>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</si>
  <si>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</si>
  <si>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</si>
  <si>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</si>
  <si>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</si>
  <si>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</si>
  <si>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</si>
  <si>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</si>
  <si>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Total</t>
  </si>
  <si>
    <t>Residential Area Details :</t>
  </si>
  <si>
    <t>Grand Total</t>
  </si>
  <si>
    <t>Approved No. of Floor</t>
  </si>
  <si>
    <t>Proposed No. of Floor</t>
  </si>
  <si>
    <t>Flat No.
(Approved
Plan)</t>
  </si>
  <si>
    <t>Flat No. (Sale Plan)</t>
  </si>
  <si>
    <t>Carpet area</t>
  </si>
  <si>
    <t>Gross Carpet area</t>
  </si>
  <si>
    <t>Attached Terrace area</t>
  </si>
  <si>
    <t>Attached Loft area</t>
  </si>
  <si>
    <t>Shop</t>
  </si>
  <si>
    <t xml:space="preserve">Details of Residential &amp; Commercials in Building   </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</si>
  <si>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</si>
  <si>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</si>
  <si>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</si>
  <si>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</si>
  <si>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</si>
  <si>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</si>
  <si>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</si>
  <si>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</si>
  <si>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</si>
  <si>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</si>
  <si>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</si>
  <si>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</si>
  <si>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</si>
  <si>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</si>
  <si>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</si>
  <si>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</si>
  <si>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</si>
  <si>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</si>
  <si>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</si>
  <si>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</si>
  <si>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Fia Vatika</t>
  </si>
  <si>
    <t>Mahindra Rural Housing Finance - Virar</t>
  </si>
  <si>
    <t>Plot No</t>
  </si>
  <si>
    <t>52, S.No. 826</t>
  </si>
  <si>
    <t>Mahim</t>
  </si>
  <si>
    <t>Sundram School Road</t>
  </si>
  <si>
    <t>Palghar West</t>
  </si>
  <si>
    <t>P99000080188</t>
  </si>
  <si>
    <t>Skyline infra Valencia Apartment</t>
  </si>
  <si>
    <t>19.6841366,72.7545463</t>
  </si>
  <si>
    <t>Fia Developers Pvt. Ltd.</t>
  </si>
  <si>
    <t xml:space="preserve">Unit No. 6B, Block No. 6, Shiv Krupa Complex, G Wing, Old Nagardas Road, Andheri, Mumbai City, 400059.
</t>
  </si>
  <si>
    <t>Collector Office Palghar</t>
  </si>
  <si>
    <t>Apartments + Shops</t>
  </si>
  <si>
    <t>Building No. 1 (Type A, B &amp; C)</t>
  </si>
  <si>
    <t>Type A = Ground Floor 
Type B = G + 1st to 7th Floor
Type C = G + 1st to 7th Floor</t>
  </si>
  <si>
    <t>Type A</t>
  </si>
  <si>
    <t>Type B</t>
  </si>
  <si>
    <t>Type C</t>
  </si>
  <si>
    <t>Ground Floor For Commercial</t>
  </si>
  <si>
    <t>Ground Floor For Parking, Entrance Lobby, Driver Room &amp; Meter Room</t>
  </si>
  <si>
    <t>1st Floor For Residential &amp; Club House cum Society Ofice</t>
  </si>
  <si>
    <t xml:space="preserve"> - </t>
  </si>
  <si>
    <t>Club House cum Society Office</t>
  </si>
  <si>
    <t>2BHK</t>
  </si>
  <si>
    <t>Open + Dry Balcony Area</t>
  </si>
  <si>
    <t>2nd Floor For Residential</t>
  </si>
  <si>
    <t>3rd to 7th Floor</t>
  </si>
  <si>
    <t>Type A = Ground Floor (Height = 3.90 Mtrs)
Type B = G + 1st to 7th Floor (Height = 23.83 Mtrs)
Type C = G + 1st to 7th Floor (Height = 23.83 Mtrs)</t>
  </si>
  <si>
    <t>Ground Floor For Parking &amp; Entrance Lobby</t>
  </si>
  <si>
    <t xml:space="preserve">1st Floor For Residential </t>
  </si>
  <si>
    <t>2nd to 7th Floor</t>
  </si>
  <si>
    <r>
      <t>Remark (</t>
    </r>
    <r>
      <rPr>
        <sz val="10"/>
        <rFont val="Times New Roman"/>
        <family val="1"/>
      </rPr>
      <t>Flat configuration /Bungalows, etc.)</t>
    </r>
  </si>
  <si>
    <t>We considered Gross carpet area = Net carpet + Open Balcony + Dry Balcony Area.</t>
  </si>
  <si>
    <t>Flats = 55, Shops = 5</t>
  </si>
  <si>
    <t>Mr. Dhawal Savla 9004511677</t>
  </si>
  <si>
    <t>Open Plot</t>
  </si>
  <si>
    <t>13.72 M Wide Road</t>
  </si>
  <si>
    <t>Sundaram School Road</t>
  </si>
  <si>
    <t>Adj. Plot No. 51</t>
  </si>
  <si>
    <t>Plot No. 52, Survey No. 826</t>
  </si>
  <si>
    <t>RPPLG/B/2024/APL/00333</t>
  </si>
  <si>
    <t>RPPLG/B/2024/APL/00333
Building No. 1 (Type A) = Ground Floor 
Building No. 1 (Type B) = G + 1st to 7th Floor
Building No. 1 (Type C) = G + 1st to 7th Floor</t>
  </si>
  <si>
    <t>Construction/Building Permission
Valid Upto</t>
  </si>
  <si>
    <t>Building No. 1 (Type C) = Gr + 1st + 7th Floor</t>
  </si>
  <si>
    <t>Building No. 1 (Type B) = Gr + 1st + 7th Floor</t>
  </si>
  <si>
    <t>Building No. 1 (Type A) = Ground Floor</t>
  </si>
  <si>
    <t>Bank Name - ICICI Bank
IFSC Code - ICIC0001206</t>
  </si>
  <si>
    <t>Other Plot</t>
  </si>
  <si>
    <t>Adj. Plot No. 53, 54 &amp; 55</t>
  </si>
  <si>
    <t>Open Plot/ Skyline Leela</t>
  </si>
  <si>
    <t>Yes, Approx 147ft</t>
  </si>
  <si>
    <t>1. 0.15Km from JDS Pal English High School
2.  0.45Km from Sundaram Central High School
3. 2.50Km from Sharda Hospital
4. 2.90Km from Dhada Hospital
5. 1.70Km from Prahlad Super Market
6. 2.10Km from B Mart
7. 0.26Km from Shiv Mandir
8. 0.60Km from Gurudev Mandir
9. 3.10Km from Palghar Bus Stand.
10. 3.60Km from Palghar Railway Station</t>
  </si>
  <si>
    <t>19.6841854,72.7549084</t>
  </si>
  <si>
    <t>https://maps.app.goo.gl/64KUcrbVwkuq5CPe9</t>
  </si>
  <si>
    <t>As per site person</t>
  </si>
  <si>
    <t>Open Plot/ 
U/C Building</t>
  </si>
  <si>
    <t>Mr. Harshad Pawade</t>
  </si>
  <si>
    <t xml:space="preserve">Type A = Work not yet started.
Type B &amp; C = Construction work is in process at the time of Visit (labour found).
Construction work was not active at the time of Visit. (labour Not found)
All work completed. Wait for OC / OC received.
Work not yet Started.
</t>
  </si>
  <si>
    <t>25/08/2025 @ 03:46 PM</t>
  </si>
  <si>
    <t>As per site visit dated 25/08/2025, we have observed that construction work progress of Building No. 1(Type A) is already given more (i.e Building No. 1 Type A is not yet started), we have confirmed this construction stage with the help of approved layout plan.
Earlier their was error in construction stage of Building No. 1 Type A due to incomplete guidance by site person.
Therefore, we have rectified construction stage of Building No.1 type A in above subsequent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</si>
</sst>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FF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38">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2" fillId="0" borderId="0"/>
    <xf numFmtId="9" fontId="2" fillId="0" borderId="0" applyFont="0" applyFill="0" applyBorder="0" applyAlignment="0" applyProtection="0"/>
    <xf numFmtId="0" fontId="17" fillId="0" borderId="0" applyNumberFormat="0" applyFill="0" applyBorder="0" applyAlignment="0" applyProtection="0"/>
  </cellStyleXfs>
  <cellXfs count="262">
    <xf numFmtId="0" fontId="0" fillId="0" borderId="0" xfId="0"/>
    <xf numFmtId="0" fontId="5" fillId="0" borderId="0" xfId="0" applyFont="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1" fontId="5" fillId="3" borderId="4" xfId="0" applyNumberFormat="1" applyFont="1" applyFill="1" applyBorder="1" applyAlignment="1">
      <alignment horizontal="center" vertical="center"/>
    </xf>
    <xf numFmtId="0" fontId="7" fillId="3" borderId="4" xfId="0" applyFont="1" applyFill="1" applyBorder="1" applyAlignment="1">
      <alignment horizontal="center" vertical="center"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3" fillId="4" borderId="14" xfId="1" applyNumberFormat="1" applyFont="1" applyFill="1" applyBorder="1" applyAlignment="1" applyProtection="1">
      <alignment horizontal="left" vertical="center"/>
      <protection hidden="1"/>
    </xf>
    <xf numFmtId="9" fontId="13"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Border="1" applyProtection="1">
      <protection hidden="1"/>
    </xf>
    <xf numFmtId="0" fontId="5" fillId="0" borderId="21" xfId="0" applyFont="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3"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0" xfId="1" applyFont="1" applyBorder="1" applyProtection="1">
      <protection hidden="1"/>
    </xf>
    <xf numFmtId="0" fontId="6" fillId="0" borderId="31"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Protection="1">
      <protection hidden="1"/>
    </xf>
    <xf numFmtId="0" fontId="6" fillId="0" borderId="3" xfId="1" applyFont="1" applyBorder="1" applyProtection="1">
      <protection hidden="1"/>
    </xf>
    <xf numFmtId="0" fontId="6" fillId="3" borderId="4" xfId="1" applyFont="1" applyFill="1" applyBorder="1" applyAlignment="1" applyProtection="1">
      <alignment horizontal="center" vertical="top" wrapText="1"/>
      <protection locked="0"/>
    </xf>
    <xf numFmtId="0" fontId="6" fillId="0" borderId="3" xfId="1" applyFont="1" applyBorder="1"/>
    <xf numFmtId="9" fontId="6" fillId="3" borderId="4" xfId="1" applyNumberFormat="1" applyFont="1" applyFill="1" applyBorder="1" applyAlignment="1" applyProtection="1">
      <alignment horizontal="center" vertical="center" wrapText="1"/>
      <protection hidden="1"/>
    </xf>
    <xf numFmtId="0" fontId="5" fillId="0" borderId="3" xfId="0" applyFont="1" applyBorder="1" applyProtection="1">
      <protection hidden="1"/>
    </xf>
    <xf numFmtId="1" fontId="6" fillId="0" borderId="3" xfId="0" applyNumberFormat="1" applyFont="1" applyBorder="1"/>
    <xf numFmtId="1" fontId="6" fillId="0" borderId="3" xfId="0" applyNumberFormat="1" applyFont="1" applyBorder="1" applyAlignment="1">
      <alignment horizontal="right"/>
    </xf>
    <xf numFmtId="9" fontId="6" fillId="3" borderId="12" xfId="1" applyNumberFormat="1" applyFont="1" applyFill="1" applyBorder="1" applyAlignment="1" applyProtection="1">
      <alignment horizontal="center" vertical="center" wrapText="1"/>
      <protection hidden="1"/>
    </xf>
    <xf numFmtId="0" fontId="5" fillId="0" borderId="2" xfId="0" applyFont="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1" fillId="3" borderId="4" xfId="0" applyFont="1" applyFill="1" applyBorder="1" applyAlignment="1">
      <alignment horizontal="left" vertical="top"/>
    </xf>
    <xf numFmtId="0" fontId="1" fillId="3" borderId="5" xfId="0" applyFont="1" applyFill="1" applyBorder="1" applyAlignment="1">
      <alignment horizontal="left" vertical="top"/>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0" fontId="8" fillId="3" borderId="4" xfId="0" applyFont="1" applyFill="1" applyBorder="1" applyAlignment="1">
      <alignment vertical="center"/>
    </xf>
    <xf numFmtId="0" fontId="6" fillId="0" borderId="4" xfId="0" applyFont="1" applyBorder="1"/>
    <xf numFmtId="0" fontId="7" fillId="2" borderId="29" xfId="0" applyFont="1" applyFill="1" applyBorder="1" applyAlignment="1">
      <alignment horizontal="center" vertical="top" wrapText="1"/>
    </xf>
    <xf numFmtId="0" fontId="7" fillId="2" borderId="14" xfId="0" applyFont="1" applyFill="1" applyBorder="1" applyAlignment="1">
      <alignment horizontal="center" vertical="top" wrapText="1"/>
    </xf>
    <xf numFmtId="9" fontId="7" fillId="2" borderId="20" xfId="0" applyNumberFormat="1" applyFont="1" applyFill="1" applyBorder="1" applyAlignment="1">
      <alignment horizontal="center" vertical="top" wrapText="1"/>
    </xf>
    <xf numFmtId="9" fontId="7" fillId="2" borderId="13" xfId="2" applyFont="1" applyFill="1" applyBorder="1" applyAlignment="1" applyProtection="1">
      <alignment horizontal="center" vertical="top" wrapText="1"/>
      <protection locked="0"/>
    </xf>
    <xf numFmtId="9" fontId="7" fillId="2" borderId="13" xfId="0" applyNumberFormat="1" applyFont="1" applyFill="1" applyBorder="1" applyAlignment="1">
      <alignment horizontal="center" vertical="top" wrapText="1"/>
    </xf>
    <xf numFmtId="0" fontId="11" fillId="0" borderId="0" xfId="0" applyFont="1"/>
    <xf numFmtId="0" fontId="8" fillId="3" borderId="4" xfId="0" applyFont="1" applyFill="1" applyBorder="1" applyAlignment="1">
      <alignment horizontal="center" vertical="center" wrapText="1"/>
    </xf>
    <xf numFmtId="9" fontId="7" fillId="3" borderId="8" xfId="0" applyNumberFormat="1" applyFont="1" applyFill="1" applyBorder="1" applyAlignment="1">
      <alignment horizontal="left" vertical="top" wrapText="1"/>
    </xf>
    <xf numFmtId="0" fontId="8" fillId="3" borderId="4" xfId="1" applyFont="1" applyFill="1" applyBorder="1" applyAlignment="1" applyProtection="1">
      <alignment horizontal="center" wrapText="1"/>
      <protection locked="0"/>
    </xf>
    <xf numFmtId="1" fontId="8" fillId="3" borderId="4" xfId="1" applyNumberFormat="1" applyFont="1" applyFill="1" applyBorder="1" applyAlignment="1" applyProtection="1">
      <alignment horizontal="center" wrapText="1"/>
      <protection locked="0"/>
    </xf>
    <xf numFmtId="0" fontId="8" fillId="3" borderId="12" xfId="1" applyFont="1" applyFill="1" applyBorder="1" applyAlignment="1" applyProtection="1">
      <alignment horizontal="center" wrapText="1"/>
      <protection locked="0"/>
    </xf>
    <xf numFmtId="0" fontId="8" fillId="3" borderId="14" xfId="1" applyFont="1" applyFill="1" applyBorder="1" applyAlignment="1" applyProtection="1">
      <alignment horizontal="center" wrapText="1"/>
      <protection locked="0"/>
    </xf>
    <xf numFmtId="9" fontId="6" fillId="3" borderId="14" xfId="1" applyNumberFormat="1" applyFont="1" applyFill="1" applyBorder="1" applyAlignment="1" applyProtection="1">
      <alignment horizontal="center" vertical="center" wrapText="1"/>
      <protection hidden="1"/>
    </xf>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0" xfId="0" applyFont="1" applyFill="1" applyAlignment="1">
      <alignment horizontal="left" vertical="top" wrapText="1"/>
    </xf>
    <xf numFmtId="0" fontId="7" fillId="3" borderId="19"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9" fillId="3" borderId="4" xfId="0" applyFont="1" applyFill="1" applyBorder="1" applyAlignment="1">
      <alignment horizontal="center"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0" fontId="9" fillId="3" borderId="1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3" borderId="8" xfId="0" applyFont="1" applyFill="1" applyBorder="1" applyAlignment="1">
      <alignment horizontal="center" vertical="center"/>
    </xf>
    <xf numFmtId="1" fontId="5" fillId="5"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6" fillId="3" borderId="4" xfId="0" applyFont="1" applyFill="1" applyBorder="1" applyAlignment="1">
      <alignment horizontal="center"/>
    </xf>
    <xf numFmtId="9" fontId="6" fillId="3" borderId="4" xfId="0" applyNumberFormat="1" applyFont="1" applyFill="1" applyBorder="1" applyAlignment="1">
      <alignment horizontal="center"/>
    </xf>
    <xf numFmtId="0" fontId="1" fillId="3" borderId="4" xfId="1" applyFont="1" applyFill="1" applyBorder="1" applyAlignment="1" applyProtection="1">
      <alignment horizontal="left" vertical="top" wrapText="1"/>
      <protection locked="0"/>
    </xf>
    <xf numFmtId="0" fontId="1" fillId="3" borderId="6" xfId="1" applyFont="1" applyFill="1" applyBorder="1" applyAlignment="1" applyProtection="1">
      <alignment horizontal="left" vertical="top" wrapText="1"/>
      <protection locked="0"/>
    </xf>
    <xf numFmtId="0" fontId="6" fillId="3" borderId="5" xfId="1"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vertical="top" wrapText="1"/>
      <protection locked="0"/>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9" fontId="6" fillId="3" borderId="12" xfId="0" applyNumberFormat="1" applyFont="1" applyFill="1" applyBorder="1" applyAlignment="1">
      <alignment horizontal="center"/>
    </xf>
    <xf numFmtId="0" fontId="7"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7" fillId="2" borderId="4" xfId="1" applyFont="1" applyFill="1" applyBorder="1" applyAlignment="1" applyProtection="1">
      <alignment horizontal="center" vertical="top" wrapText="1"/>
      <protection locked="0"/>
    </xf>
    <xf numFmtId="14" fontId="8" fillId="3" borderId="4"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1" fillId="2" borderId="4" xfId="1" applyFont="1" applyFill="1" applyBorder="1" applyAlignment="1" applyProtection="1">
      <alignment horizontal="left" vertical="top" wrapText="1"/>
      <protection locked="0"/>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2" fillId="2" borderId="29"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22"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19" xfId="0" applyFont="1" applyFill="1" applyBorder="1" applyAlignment="1">
      <alignment horizontal="left" vertical="top"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8" fillId="3" borderId="7" xfId="0" applyFont="1" applyFill="1" applyBorder="1" applyAlignment="1">
      <alignment horizontal="left" vertical="center"/>
    </xf>
    <xf numFmtId="0" fontId="8" fillId="3" borderId="10"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8" fillId="3" borderId="8" xfId="0" applyFont="1" applyFill="1" applyBorder="1" applyAlignment="1">
      <alignment horizontal="left" vertical="center"/>
    </xf>
    <xf numFmtId="164" fontId="8" fillId="3" borderId="4" xfId="1" applyNumberFormat="1" applyFont="1" applyFill="1" applyBorder="1" applyAlignment="1" applyProtection="1">
      <alignment horizontal="left" vertical="center" wrapText="1"/>
      <protection locked="0"/>
    </xf>
    <xf numFmtId="22" fontId="8" fillId="3" borderId="4" xfId="0" applyNumberFormat="1" applyFont="1" applyFill="1" applyBorder="1" applyAlignment="1">
      <alignment horizontal="left" vertical="center" wrapText="1"/>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3" borderId="11" xfId="1" applyFont="1" applyFill="1" applyBorder="1" applyAlignment="1" applyProtection="1">
      <alignment horizontal="center" vertical="top" wrapText="1"/>
      <protection locked="0"/>
    </xf>
    <xf numFmtId="0" fontId="6" fillId="3" borderId="12" xfId="1" applyFont="1" applyFill="1" applyBorder="1" applyAlignment="1" applyProtection="1">
      <alignment horizontal="center" vertical="top" wrapText="1"/>
      <protection locked="0"/>
    </xf>
    <xf numFmtId="0" fontId="9" fillId="3" borderId="4" xfId="0" applyFont="1" applyFill="1" applyBorder="1" applyAlignment="1">
      <alignment horizontal="center" vertical="center"/>
    </xf>
    <xf numFmtId="1" fontId="9" fillId="2" borderId="4" xfId="0" applyNumberFormat="1" applyFont="1" applyFill="1" applyBorder="1" applyAlignment="1">
      <alignment horizontal="center" vertical="center"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12" fillId="2" borderId="7" xfId="0" applyFont="1" applyFill="1" applyBorder="1" applyAlignment="1">
      <alignment vertical="top" wrapText="1"/>
    </xf>
    <xf numFmtId="0" fontId="12" fillId="2" borderId="10" xfId="0" applyFont="1" applyFill="1" applyBorder="1" applyAlignment="1">
      <alignment vertical="top" wrapText="1"/>
    </xf>
    <xf numFmtId="0" fontId="5" fillId="3" borderId="4" xfId="0" applyFont="1" applyFill="1" applyBorder="1" applyAlignment="1">
      <alignment horizontal="left" vertical="center"/>
    </xf>
    <xf numFmtId="2" fontId="8" fillId="3" borderId="4" xfId="0" applyNumberFormat="1" applyFont="1" applyFill="1" applyBorder="1" applyAlignment="1">
      <alignment horizontal="center" vertical="center"/>
    </xf>
    <xf numFmtId="0" fontId="6" fillId="3" borderId="4"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9" fontId="6" fillId="3" borderId="4" xfId="1" applyNumberFormat="1" applyFont="1" applyFill="1" applyBorder="1" applyAlignment="1" applyProtection="1">
      <alignment horizontal="center" vertical="center" wrapText="1"/>
      <protection hidden="1"/>
    </xf>
    <xf numFmtId="9" fontId="6" fillId="3" borderId="6"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6" fillId="3" borderId="32" xfId="1" applyNumberFormat="1" applyFont="1" applyFill="1" applyBorder="1" applyAlignment="1" applyProtection="1">
      <alignment horizontal="center" vertical="center" wrapText="1"/>
      <protection hidden="1"/>
    </xf>
    <xf numFmtId="0" fontId="5" fillId="3" borderId="4" xfId="0" applyFont="1" applyFill="1" applyBorder="1" applyAlignment="1">
      <alignment horizontal="center" vertical="center" wrapText="1"/>
    </xf>
    <xf numFmtId="0" fontId="9" fillId="2" borderId="4" xfId="0" applyFont="1" applyFill="1" applyBorder="1" applyAlignment="1">
      <alignment horizontal="center" wrapText="1"/>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5" fillId="3" borderId="4" xfId="0" applyFont="1" applyFill="1" applyBorder="1" applyAlignment="1">
      <alignment horizontal="left" vertical="top"/>
    </xf>
    <xf numFmtId="0" fontId="8" fillId="3" borderId="4" xfId="0" applyFont="1" applyFill="1" applyBorder="1" applyAlignment="1">
      <alignment horizontal="left" vertical="top"/>
    </xf>
    <xf numFmtId="0" fontId="8" fillId="3" borderId="4" xfId="0" applyFont="1" applyFill="1" applyBorder="1" applyAlignment="1">
      <alignment horizontal="left" vertical="top" wrapText="1"/>
    </xf>
    <xf numFmtId="0" fontId="3" fillId="2" borderId="4" xfId="0" applyFont="1" applyFill="1" applyBorder="1" applyAlignment="1">
      <alignment horizontal="center" vertical="center"/>
    </xf>
    <xf numFmtId="0" fontId="8" fillId="3" borderId="4" xfId="0" applyFont="1" applyFill="1" applyBorder="1" applyAlignment="1">
      <alignment vertical="top" wrapText="1"/>
    </xf>
    <xf numFmtId="0" fontId="10" fillId="3" borderId="4" xfId="0" applyFont="1" applyFill="1" applyBorder="1" applyAlignment="1">
      <alignment vertical="top" wrapText="1"/>
    </xf>
    <xf numFmtId="0" fontId="17" fillId="3" borderId="7" xfId="3" applyFill="1" applyBorder="1" applyAlignment="1">
      <alignment horizontal="center" vertical="top" wrapText="1"/>
    </xf>
    <xf numFmtId="0" fontId="7" fillId="2" borderId="7"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5" fillId="3" borderId="4" xfId="0" applyFont="1" applyFill="1" applyBorder="1" applyAlignment="1">
      <alignment horizontal="left" vertical="top" wrapText="1"/>
    </xf>
    <xf numFmtId="0" fontId="9" fillId="2" borderId="4" xfId="0" applyFont="1" applyFill="1" applyBorder="1" applyAlignment="1">
      <alignment horizontal="left" vertical="top" wrapText="1"/>
    </xf>
    <xf numFmtId="2" fontId="8" fillId="3" borderId="4" xfId="0" applyNumberFormat="1" applyFont="1" applyFill="1" applyBorder="1" applyAlignment="1">
      <alignment horizontal="left" vertical="top"/>
    </xf>
    <xf numFmtId="0" fontId="5" fillId="3" borderId="4" xfId="0" applyFont="1" applyFill="1" applyBorder="1" applyAlignment="1">
      <alignment horizontal="left" vertical="center" wrapText="1"/>
    </xf>
    <xf numFmtId="2" fontId="8" fillId="3" borderId="7" xfId="0" applyNumberFormat="1" applyFont="1" applyFill="1" applyBorder="1" applyAlignment="1">
      <alignment horizontal="center" vertical="center" wrapText="1"/>
    </xf>
    <xf numFmtId="2" fontId="8" fillId="3" borderId="10" xfId="0" applyNumberFormat="1" applyFont="1" applyFill="1" applyBorder="1" applyAlignment="1">
      <alignment horizontal="center" vertical="center" wrapText="1"/>
    </xf>
    <xf numFmtId="0" fontId="9" fillId="2" borderId="4" xfId="0" applyFont="1" applyFill="1" applyBorder="1" applyAlignment="1">
      <alignment horizontal="center" vertical="top" wrapText="1"/>
    </xf>
    <xf numFmtId="0" fontId="1" fillId="2" borderId="33" xfId="1" applyFont="1" applyFill="1" applyBorder="1" applyAlignment="1" applyProtection="1">
      <alignment horizontal="left" vertical="top" wrapText="1"/>
      <protection locked="0"/>
    </xf>
    <xf numFmtId="0" fontId="1" fillId="2" borderId="30" xfId="1" applyFont="1" applyFill="1" applyBorder="1" applyAlignment="1" applyProtection="1">
      <alignment horizontal="left" vertical="top" wrapText="1"/>
      <protection locked="0"/>
    </xf>
    <xf numFmtId="0" fontId="1" fillId="2" borderId="34" xfId="1" applyFont="1" applyFill="1" applyBorder="1" applyAlignment="1" applyProtection="1">
      <alignment horizontal="left" vertical="top" wrapText="1"/>
      <protection locked="0"/>
    </xf>
    <xf numFmtId="0" fontId="1" fillId="2" borderId="35" xfId="1" applyFont="1" applyFill="1" applyBorder="1" applyAlignment="1" applyProtection="1">
      <alignment horizontal="left" vertical="top" wrapText="1"/>
      <protection locked="0"/>
    </xf>
    <xf numFmtId="0" fontId="1" fillId="2" borderId="21" xfId="1" applyFont="1" applyFill="1" applyBorder="1" applyAlignment="1" applyProtection="1">
      <alignment horizontal="left" vertical="top" wrapText="1"/>
      <protection locked="0"/>
    </xf>
    <xf numFmtId="0" fontId="1" fillId="2" borderId="22" xfId="1" applyFont="1" applyFill="1" applyBorder="1" applyAlignment="1" applyProtection="1">
      <alignment horizontal="left" vertical="top" wrapText="1"/>
      <protection locked="0"/>
    </xf>
    <xf numFmtId="0" fontId="9" fillId="2" borderId="8"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6" fillId="3" borderId="36" xfId="1" applyFont="1" applyFill="1" applyBorder="1" applyAlignment="1" applyProtection="1">
      <alignment horizontal="center" vertical="top" wrapText="1"/>
      <protection locked="0"/>
    </xf>
    <xf numFmtId="0" fontId="6" fillId="3" borderId="14" xfId="1" applyFont="1" applyFill="1" applyBorder="1" applyAlignment="1" applyProtection="1">
      <alignment horizontal="center" vertical="top" wrapText="1"/>
      <protection locked="0"/>
    </xf>
    <xf numFmtId="9" fontId="6" fillId="3" borderId="14" xfId="0" applyNumberFormat="1" applyFont="1" applyFill="1" applyBorder="1" applyAlignment="1">
      <alignment horizontal="center"/>
    </xf>
    <xf numFmtId="9" fontId="6" fillId="3" borderId="14" xfId="1" applyNumberFormat="1" applyFont="1" applyFill="1" applyBorder="1" applyAlignment="1" applyProtection="1">
      <alignment horizontal="center" vertical="center" wrapText="1"/>
      <protection hidden="1"/>
    </xf>
    <xf numFmtId="9" fontId="6" fillId="3" borderId="37" xfId="1" applyNumberFormat="1" applyFont="1" applyFill="1" applyBorder="1" applyAlignment="1" applyProtection="1">
      <alignment horizontal="center" vertical="center" wrapText="1"/>
      <protection hidden="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4">
    <cellStyle name="Hyperlink" xfId="3" builtinId="8"/>
    <cellStyle name="Normal" xfId="0" builtinId="0"/>
    <cellStyle name="Normal 3" xfId="1" xr:uid="{00000000-0005-0000-0000-000002000000}"/>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10</xdr:col>
      <xdr:colOff>416615</xdr:colOff>
      <xdr:row>127</xdr:row>
      <xdr:rowOff>155714</xdr:rowOff>
    </xdr:from>
    <xdr:to>
      <xdr:col>14</xdr:col>
      <xdr:colOff>311133</xdr:colOff>
      <xdr:row>138</xdr:row>
      <xdr:rowOff>4721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693840" y="29187914"/>
          <a:ext cx="2332918" cy="1954032"/>
        </a:xfrm>
        <a:prstGeom prst="rect">
          <a:avLst/>
        </a:prstGeom>
      </xdr:spPr>
    </xdr:pic>
    <xdr:clientData/>
  </xdr:twoCellAnchor>
  <xdr:twoCellAnchor editAs="oneCell">
    <xdr:from>
      <xdr:col>12</xdr:col>
      <xdr:colOff>143243</xdr:colOff>
      <xdr:row>142</xdr:row>
      <xdr:rowOff>38524</xdr:rowOff>
    </xdr:from>
    <xdr:to>
      <xdr:col>18</xdr:col>
      <xdr:colOff>105716</xdr:colOff>
      <xdr:row>152</xdr:row>
      <xdr:rowOff>74559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684808" y="32042524"/>
          <a:ext cx="3639951" cy="1692557"/>
        </a:xfrm>
        <a:prstGeom prst="rect">
          <a:avLst/>
        </a:prstGeom>
      </xdr:spPr>
    </xdr:pic>
    <xdr:clientData/>
  </xdr:twoCellAnchor>
  <xdr:twoCellAnchor editAs="oneCell">
    <xdr:from>
      <xdr:col>12</xdr:col>
      <xdr:colOff>137077</xdr:colOff>
      <xdr:row>153</xdr:row>
      <xdr:rowOff>71645</xdr:rowOff>
    </xdr:from>
    <xdr:to>
      <xdr:col>18</xdr:col>
      <xdr:colOff>99550</xdr:colOff>
      <xdr:row>164</xdr:row>
      <xdr:rowOff>117437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9633502" y="33637745"/>
          <a:ext cx="3620073" cy="1826966"/>
        </a:xfrm>
        <a:prstGeom prst="rect">
          <a:avLst/>
        </a:prstGeom>
      </xdr:spPr>
    </xdr:pic>
    <xdr:clientData/>
  </xdr:twoCellAnchor>
  <xdr:twoCellAnchor editAs="oneCell">
    <xdr:from>
      <xdr:col>12</xdr:col>
      <xdr:colOff>151158</xdr:colOff>
      <xdr:row>40</xdr:row>
      <xdr:rowOff>98977</xdr:rowOff>
    </xdr:from>
    <xdr:to>
      <xdr:col>21</xdr:col>
      <xdr:colOff>158749</xdr:colOff>
      <xdr:row>69</xdr:row>
      <xdr:rowOff>162227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9647583" y="12557677"/>
          <a:ext cx="5493991" cy="5289438"/>
        </a:xfrm>
        <a:prstGeom prst="rect">
          <a:avLst/>
        </a:prstGeom>
      </xdr:spPr>
    </xdr:pic>
    <xdr:clientData/>
  </xdr:twoCellAnchor>
  <xdr:twoCellAnchor>
    <xdr:from>
      <xdr:col>0</xdr:col>
      <xdr:colOff>172980</xdr:colOff>
      <xdr:row>237</xdr:row>
      <xdr:rowOff>35042</xdr:rowOff>
    </xdr:from>
    <xdr:to>
      <xdr:col>7</xdr:col>
      <xdr:colOff>739197</xdr:colOff>
      <xdr:row>282</xdr:row>
      <xdr:rowOff>21907</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172980" y="49175759"/>
          <a:ext cx="6480000" cy="7441213"/>
          <a:chOff x="0" y="738564"/>
          <a:chExt cx="6859522" cy="7441212"/>
        </a:xfrm>
      </xdr:grpSpPr>
      <xdr:grpSp>
        <xdr:nvGrpSpPr>
          <xdr:cNvPr id="7" name="Group 6">
            <a:extLst>
              <a:ext uri="{FF2B5EF4-FFF2-40B4-BE49-F238E27FC236}">
                <a16:creationId xmlns:a16="http://schemas.microsoft.com/office/drawing/2014/main" id="{00000000-0008-0000-0000-000007000000}"/>
              </a:ext>
            </a:extLst>
          </xdr:cNvPr>
          <xdr:cNvGrpSpPr/>
        </xdr:nvGrpSpPr>
        <xdr:grpSpPr>
          <a:xfrm>
            <a:off x="0" y="738564"/>
            <a:ext cx="6859522" cy="3071436"/>
            <a:chOff x="0" y="738564"/>
            <a:chExt cx="6859522" cy="3071436"/>
          </a:xfrm>
        </xdr:grpSpPr>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738564"/>
              <a:ext cx="6859522" cy="3071436"/>
            </a:xfrm>
            <a:prstGeom prst="rect">
              <a:avLst/>
            </a:prstGeom>
            <a:ln>
              <a:solidFill>
                <a:schemeClr val="tx1"/>
              </a:solidFill>
            </a:ln>
          </xdr:spPr>
        </xdr:pic>
        <xdr:sp macro="" textlink="">
          <xdr:nvSpPr>
            <xdr:cNvPr id="10" name="Rectangle 9">
              <a:extLst>
                <a:ext uri="{FF2B5EF4-FFF2-40B4-BE49-F238E27FC236}">
                  <a16:creationId xmlns:a16="http://schemas.microsoft.com/office/drawing/2014/main" id="{00000000-0008-0000-0000-00000A000000}"/>
                </a:ext>
              </a:extLst>
            </xdr:cNvPr>
            <xdr:cNvSpPr/>
          </xdr:nvSpPr>
          <xdr:spPr>
            <a:xfrm>
              <a:off x="3498996" y="1607793"/>
              <a:ext cx="914400" cy="11620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1" name="Rectangle 10">
              <a:extLst>
                <a:ext uri="{FF2B5EF4-FFF2-40B4-BE49-F238E27FC236}">
                  <a16:creationId xmlns:a16="http://schemas.microsoft.com/office/drawing/2014/main" id="{00000000-0008-0000-0000-00000B000000}"/>
                </a:ext>
              </a:extLst>
            </xdr:cNvPr>
            <xdr:cNvSpPr/>
          </xdr:nvSpPr>
          <xdr:spPr>
            <a:xfrm>
              <a:off x="2113015" y="1616075"/>
              <a:ext cx="1350909" cy="1162050"/>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2" name="Rectangle 11">
              <a:extLst>
                <a:ext uri="{FF2B5EF4-FFF2-40B4-BE49-F238E27FC236}">
                  <a16:creationId xmlns:a16="http://schemas.microsoft.com/office/drawing/2014/main" id="{00000000-0008-0000-0000-00000C000000}"/>
                </a:ext>
              </a:extLst>
            </xdr:cNvPr>
            <xdr:cNvSpPr/>
          </xdr:nvSpPr>
          <xdr:spPr>
            <a:xfrm>
              <a:off x="807720" y="1616075"/>
              <a:ext cx="1260790" cy="1162050"/>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3" name="TextBox 6">
              <a:extLst>
                <a:ext uri="{FF2B5EF4-FFF2-40B4-BE49-F238E27FC236}">
                  <a16:creationId xmlns:a16="http://schemas.microsoft.com/office/drawing/2014/main" id="{00000000-0008-0000-0000-00000D000000}"/>
                </a:ext>
              </a:extLst>
            </xdr:cNvPr>
            <xdr:cNvSpPr txBox="1"/>
          </xdr:nvSpPr>
          <xdr:spPr>
            <a:xfrm>
              <a:off x="899692" y="2774434"/>
              <a:ext cx="985362"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B050"/>
                  </a:solidFill>
                </a:rPr>
                <a:t>Type C</a:t>
              </a:r>
              <a:endParaRPr lang="en-IN" b="1">
                <a:solidFill>
                  <a:srgbClr val="00B050"/>
                </a:solidFill>
              </a:endParaRPr>
            </a:p>
          </xdr:txBody>
        </xdr:sp>
        <xdr:sp macro="" textlink="">
          <xdr:nvSpPr>
            <xdr:cNvPr id="14" name="TextBox 7">
              <a:extLst>
                <a:ext uri="{FF2B5EF4-FFF2-40B4-BE49-F238E27FC236}">
                  <a16:creationId xmlns:a16="http://schemas.microsoft.com/office/drawing/2014/main" id="{00000000-0008-0000-0000-00000E000000}"/>
                </a:ext>
              </a:extLst>
            </xdr:cNvPr>
            <xdr:cNvSpPr txBox="1"/>
          </xdr:nvSpPr>
          <xdr:spPr>
            <a:xfrm>
              <a:off x="2280400" y="2774434"/>
              <a:ext cx="884739"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70C0"/>
                  </a:solidFill>
                </a:rPr>
                <a:t>Type B</a:t>
              </a:r>
              <a:endParaRPr lang="en-IN" b="1">
                <a:solidFill>
                  <a:srgbClr val="0070C0"/>
                </a:solidFill>
              </a:endParaRPr>
            </a:p>
          </xdr:txBody>
        </xdr:sp>
        <xdr:sp macro="" textlink="">
          <xdr:nvSpPr>
            <xdr:cNvPr id="15" name="TextBox 8">
              <a:extLst>
                <a:ext uri="{FF2B5EF4-FFF2-40B4-BE49-F238E27FC236}">
                  <a16:creationId xmlns:a16="http://schemas.microsoft.com/office/drawing/2014/main" id="{00000000-0008-0000-0000-00000F000000}"/>
                </a:ext>
              </a:extLst>
            </xdr:cNvPr>
            <xdr:cNvSpPr txBox="1"/>
          </xdr:nvSpPr>
          <xdr:spPr>
            <a:xfrm>
              <a:off x="3461611" y="2741304"/>
              <a:ext cx="904704"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Type A</a:t>
              </a:r>
              <a:endParaRPr lang="en-IN" b="1">
                <a:solidFill>
                  <a:srgbClr val="FF0000"/>
                </a:solidFill>
              </a:endParaRPr>
            </a:p>
          </xdr:txBody>
        </xdr:sp>
      </xdr:grpSp>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586549" y="3988776"/>
            <a:ext cx="5686425" cy="4191000"/>
          </a:xfrm>
          <a:prstGeom prst="rect">
            <a:avLst/>
          </a:prstGeom>
          <a:ln>
            <a:solidFill>
              <a:schemeClr val="tx1"/>
            </a:solidFill>
          </a:ln>
        </xdr:spPr>
      </xdr:pic>
    </xdr:grpSp>
    <xdr:clientData/>
  </xdr:twoCellAnchor>
  <xdr:twoCellAnchor>
    <xdr:from>
      <xdr:col>0</xdr:col>
      <xdr:colOff>334617</xdr:colOff>
      <xdr:row>312</xdr:row>
      <xdr:rowOff>40635</xdr:rowOff>
    </xdr:from>
    <xdr:to>
      <xdr:col>7</xdr:col>
      <xdr:colOff>540834</xdr:colOff>
      <xdr:row>334</xdr:row>
      <xdr:rowOff>91572</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7"/>
        <a:srcRect l="10175" t="18750" r="8329" b="11539"/>
        <a:stretch/>
      </xdr:blipFill>
      <xdr:spPr>
        <a:xfrm>
          <a:off x="334617" y="60067185"/>
          <a:ext cx="6092667" cy="3613287"/>
        </a:xfrm>
        <a:prstGeom prst="rect">
          <a:avLst/>
        </a:prstGeom>
        <a:ln>
          <a:solidFill>
            <a:schemeClr val="tx1"/>
          </a:solidFill>
        </a:ln>
      </xdr:spPr>
    </xdr:pic>
    <xdr:clientData/>
  </xdr:twoCellAnchor>
  <xdr:twoCellAnchor>
    <xdr:from>
      <xdr:col>0</xdr:col>
      <xdr:colOff>438150</xdr:colOff>
      <xdr:row>288</xdr:row>
      <xdr:rowOff>142874</xdr:rowOff>
    </xdr:from>
    <xdr:to>
      <xdr:col>7</xdr:col>
      <xdr:colOff>390525</xdr:colOff>
      <xdr:row>311</xdr:row>
      <xdr:rowOff>97938</xdr:rowOff>
    </xdr:to>
    <xdr:grpSp>
      <xdr:nvGrpSpPr>
        <xdr:cNvPr id="35" name="Group 34">
          <a:extLst>
            <a:ext uri="{FF2B5EF4-FFF2-40B4-BE49-F238E27FC236}">
              <a16:creationId xmlns:a16="http://schemas.microsoft.com/office/drawing/2014/main" id="{00000000-0008-0000-0000-000023000000}"/>
            </a:ext>
          </a:extLst>
        </xdr:cNvPr>
        <xdr:cNvGrpSpPr/>
      </xdr:nvGrpSpPr>
      <xdr:grpSpPr>
        <a:xfrm>
          <a:off x="438150" y="57731852"/>
          <a:ext cx="5866158" cy="3765064"/>
          <a:chOff x="438150" y="56283224"/>
          <a:chExt cx="5838825" cy="3679339"/>
        </a:xfrm>
      </xdr:grpSpPr>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a:xfrm>
            <a:off x="438150" y="56283224"/>
            <a:ext cx="5838825" cy="3679339"/>
          </a:xfrm>
          <a:prstGeom prst="rect">
            <a:avLst/>
          </a:prstGeom>
          <a:ln>
            <a:solidFill>
              <a:sysClr val="windowText" lastClr="000000"/>
            </a:solidFill>
          </a:ln>
        </xdr:spPr>
      </xdr:pic>
      <xdr:sp macro="" textlink="">
        <xdr:nvSpPr>
          <xdr:cNvPr id="33" name="Rectangle 32">
            <a:extLst>
              <a:ext uri="{FF2B5EF4-FFF2-40B4-BE49-F238E27FC236}">
                <a16:creationId xmlns:a16="http://schemas.microsoft.com/office/drawing/2014/main" id="{00000000-0008-0000-0000-000021000000}"/>
              </a:ext>
            </a:extLst>
          </xdr:cNvPr>
          <xdr:cNvSpPr/>
        </xdr:nvSpPr>
        <xdr:spPr>
          <a:xfrm rot="852057">
            <a:off x="4196087" y="57519123"/>
            <a:ext cx="677156" cy="125951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4" name="TextBox 16">
            <a:extLst>
              <a:ext uri="{FF2B5EF4-FFF2-40B4-BE49-F238E27FC236}">
                <a16:creationId xmlns:a16="http://schemas.microsoft.com/office/drawing/2014/main" id="{00000000-0008-0000-0000-000022000000}"/>
              </a:ext>
            </a:extLst>
          </xdr:cNvPr>
          <xdr:cNvSpPr txBox="1"/>
        </xdr:nvSpPr>
        <xdr:spPr>
          <a:xfrm>
            <a:off x="4200525" y="56997599"/>
            <a:ext cx="1236557" cy="36565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FIA Vatika</a:t>
            </a:r>
            <a:endParaRPr lang="en-IN" b="1">
              <a:solidFill>
                <a:srgbClr val="FFFF00"/>
              </a:solidFill>
            </a:endParaRPr>
          </a:p>
        </xdr:txBody>
      </xdr:sp>
    </xdr:grpSp>
    <xdr:clientData/>
  </xdr:twoCellAnchor>
  <xdr:oneCellAnchor>
    <xdr:from>
      <xdr:col>8</xdr:col>
      <xdr:colOff>739913</xdr:colOff>
      <xdr:row>192</xdr:row>
      <xdr:rowOff>5521</xdr:rowOff>
    </xdr:from>
    <xdr:ext cx="607089" cy="264560"/>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7785652" y="40463304"/>
          <a:ext cx="6070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cap="none" spc="0">
              <a:ln w="0"/>
              <a:solidFill>
                <a:srgbClr val="FFFF00"/>
              </a:solidFill>
              <a:effectLst>
                <a:outerShdw blurRad="38100" dist="25400" dir="5400000" algn="ctr" rotWithShape="0">
                  <a:srgbClr val="6E747A">
                    <a:alpha val="43000"/>
                  </a:srgbClr>
                </a:outerShdw>
              </a:effectLst>
            </a:rPr>
            <a:t>Wing A</a:t>
          </a:r>
        </a:p>
      </xdr:txBody>
    </xdr:sp>
    <xdr:clientData/>
  </xdr:oneCellAnchor>
  <xdr:twoCellAnchor>
    <xdr:from>
      <xdr:col>0</xdr:col>
      <xdr:colOff>353391</xdr:colOff>
      <xdr:row>184</xdr:row>
      <xdr:rowOff>154608</xdr:rowOff>
    </xdr:from>
    <xdr:to>
      <xdr:col>7</xdr:col>
      <xdr:colOff>587513</xdr:colOff>
      <xdr:row>233</xdr:row>
      <xdr:rowOff>143565</xdr:rowOff>
    </xdr:to>
    <xdr:grpSp>
      <xdr:nvGrpSpPr>
        <xdr:cNvPr id="19" name="Group 18">
          <a:extLst>
            <a:ext uri="{FF2B5EF4-FFF2-40B4-BE49-F238E27FC236}">
              <a16:creationId xmlns:a16="http://schemas.microsoft.com/office/drawing/2014/main" id="{00000000-0008-0000-0000-000013000000}"/>
            </a:ext>
          </a:extLst>
        </xdr:cNvPr>
        <xdr:cNvGrpSpPr/>
      </xdr:nvGrpSpPr>
      <xdr:grpSpPr>
        <a:xfrm>
          <a:off x="353391" y="40515760"/>
          <a:ext cx="6147905" cy="8105914"/>
          <a:chOff x="353391" y="39287173"/>
          <a:chExt cx="6385339" cy="8105914"/>
        </a:xfrm>
      </xdr:grpSpPr>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628973" y="41590201"/>
            <a:ext cx="2877333" cy="2160000"/>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651834" y="41590201"/>
            <a:ext cx="2877333" cy="2160000"/>
          </a:xfrm>
          <a:prstGeom prst="rect">
            <a:avLst/>
          </a:prstGeom>
          <a:ln>
            <a:solidFill>
              <a:schemeClr val="tx1"/>
            </a:solidFill>
          </a:ln>
        </xdr:spPr>
      </xdr:pic>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53391" y="43855651"/>
            <a:ext cx="1618313" cy="2160000"/>
          </a:xfrm>
          <a:prstGeom prst="rect">
            <a:avLst/>
          </a:prstGeom>
          <a:ln>
            <a:solidFill>
              <a:schemeClr val="tx1"/>
            </a:solidFill>
          </a:ln>
        </xdr:spPr>
      </xdr:pic>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463715" y="46121101"/>
            <a:ext cx="1348594" cy="1271986"/>
          </a:xfrm>
          <a:prstGeom prst="rect">
            <a:avLst/>
          </a:prstGeom>
          <a:ln>
            <a:solidFill>
              <a:schemeClr val="tx1"/>
            </a:solidFill>
          </a:ln>
        </xdr:spPr>
      </xdr:pic>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416203" y="46121101"/>
            <a:ext cx="1348594" cy="1271986"/>
          </a:xfrm>
          <a:prstGeom prst="rect">
            <a:avLst/>
          </a:prstGeom>
          <a:ln>
            <a:solidFill>
              <a:schemeClr val="tx1"/>
            </a:solid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939959" y="46121101"/>
            <a:ext cx="1348594" cy="1271986"/>
          </a:xfrm>
          <a:prstGeom prst="rect">
            <a:avLst/>
          </a:prstGeom>
          <a:ln>
            <a:solidFill>
              <a:schemeClr val="tx1"/>
            </a:solidFill>
          </a:ln>
        </xdr:spPr>
      </xdr:pic>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858730" y="43855651"/>
            <a:ext cx="2880000" cy="2160000"/>
          </a:xfrm>
          <a:prstGeom prst="rect">
            <a:avLst/>
          </a:prstGeom>
          <a:ln>
            <a:solidFill>
              <a:schemeClr val="tx1"/>
            </a:solidFill>
          </a:ln>
        </xdr:spPr>
      </xdr:pic>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628973" y="39287173"/>
            <a:ext cx="2880000" cy="2160000"/>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105217" y="43855651"/>
            <a:ext cx="1620000" cy="2160000"/>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651834" y="39287173"/>
            <a:ext cx="2880000" cy="2160000"/>
          </a:xfrm>
          <a:prstGeom prst="rect">
            <a:avLst/>
          </a:prstGeom>
          <a:ln>
            <a:solidFill>
              <a:schemeClr val="tx1"/>
            </a:solidFill>
          </a:ln>
        </xdr:spPr>
      </xdr:pic>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1114886" y="40822216"/>
            <a:ext cx="58541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cap="none" spc="0">
                <a:ln w="0"/>
                <a:solidFill>
                  <a:srgbClr val="FFFF00"/>
                </a:solidFill>
                <a:effectLst>
                  <a:outerShdw blurRad="38100" dist="25400" dir="5400000" algn="ctr" rotWithShape="0">
                    <a:srgbClr val="6E747A">
                      <a:alpha val="43000"/>
                    </a:srgbClr>
                  </a:outerShdw>
                </a:effectLst>
              </a:rPr>
              <a:t>Type A</a:t>
            </a:r>
          </a:p>
        </xdr:txBody>
      </xdr:sp>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4629182" y="40060217"/>
            <a:ext cx="57669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cap="none" spc="0">
                <a:ln w="0"/>
                <a:solidFill>
                  <a:srgbClr val="FFFF00"/>
                </a:solidFill>
                <a:effectLst>
                  <a:outerShdw blurRad="38100" dist="25400" dir="5400000" algn="ctr" rotWithShape="0">
                    <a:srgbClr val="6E747A">
                      <a:alpha val="43000"/>
                    </a:srgbClr>
                  </a:outerShdw>
                </a:effectLst>
              </a:rPr>
              <a:t>Type </a:t>
            </a:r>
            <a:r>
              <a:rPr lang="en-IN" sz="1100" b="0" cap="none" spc="0">
                <a:ln w="0"/>
                <a:solidFill>
                  <a:srgbClr val="FFFF00"/>
                </a:solidFill>
                <a:effectLst>
                  <a:outerShdw blurRad="38100" dist="25400" dir="5400000" algn="ctr" rotWithShape="0">
                    <a:srgbClr val="6E747A">
                      <a:alpha val="43000"/>
                    </a:srgbClr>
                  </a:outerShdw>
                </a:effectLst>
              </a:rPr>
              <a:t>B</a:t>
            </a:r>
          </a:p>
        </xdr:txBody>
      </xdr:sp>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2856174" y="44689434"/>
            <a:ext cx="57458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cap="none" spc="0">
                <a:ln w="0"/>
                <a:solidFill>
                  <a:srgbClr val="FFFF00"/>
                </a:solidFill>
                <a:effectLst>
                  <a:outerShdw blurRad="38100" dist="25400" dir="5400000" algn="ctr" rotWithShape="0">
                    <a:srgbClr val="6E747A">
                      <a:alpha val="43000"/>
                    </a:srgbClr>
                  </a:outerShdw>
                </a:effectLst>
              </a:rPr>
              <a:t>Type C</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331305</xdr:colOff>
      <xdr:row>13</xdr:row>
      <xdr:rowOff>92445</xdr:rowOff>
    </xdr:from>
    <xdr:to>
      <xdr:col>3</xdr:col>
      <xdr:colOff>662609</xdr:colOff>
      <xdr:row>31</xdr:row>
      <xdr:rowOff>92613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331305" y="2577228"/>
          <a:ext cx="4273826" cy="3429168"/>
        </a:xfrm>
        <a:prstGeom prst="rect">
          <a:avLst/>
        </a:prstGeom>
      </xdr:spPr>
    </xdr:pic>
    <xdr:clientData/>
  </xdr:twoCellAnchor>
  <xdr:twoCellAnchor editAs="oneCell">
    <xdr:from>
      <xdr:col>3</xdr:col>
      <xdr:colOff>866775</xdr:colOff>
      <xdr:row>14</xdr:row>
      <xdr:rowOff>5644</xdr:rowOff>
    </xdr:from>
    <xdr:to>
      <xdr:col>10</xdr:col>
      <xdr:colOff>47625</xdr:colOff>
      <xdr:row>26</xdr:row>
      <xdr:rowOff>180562</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4819650" y="2682169"/>
          <a:ext cx="5219700" cy="24609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64KUcrbVwkuq5CPe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36"/>
  <sheetViews>
    <sheetView tabSelected="1" view="pageBreakPreview" topLeftCell="A171" zoomScale="115" zoomScaleNormal="115" zoomScaleSheetLayoutView="115" workbookViewId="0">
      <selection activeCell="C7" sqref="C7:H7"/>
    </sheetView>
  </sheetViews>
  <sheetFormatPr defaultColWidth="9.140625" defaultRowHeight="12.75" x14ac:dyDescent="0.2"/>
  <cols>
    <col min="1" max="2" width="12" style="6" customWidth="1"/>
    <col min="3" max="8" width="12.85546875" style="6" customWidth="1"/>
    <col min="9" max="9" width="13.85546875" style="6" customWidth="1"/>
    <col min="10" max="16384" width="9.140625" style="6"/>
  </cols>
  <sheetData>
    <row r="1" spans="1:20" ht="41.25" customHeight="1" x14ac:dyDescent="0.2">
      <c r="A1" s="216" t="s">
        <v>144</v>
      </c>
      <c r="B1" s="216"/>
      <c r="C1" s="217"/>
      <c r="D1" s="217"/>
      <c r="E1" s="217"/>
      <c r="F1" s="217"/>
      <c r="G1" s="217"/>
      <c r="H1" s="217"/>
    </row>
    <row r="2" spans="1:20" ht="14.25" x14ac:dyDescent="0.2">
      <c r="A2" s="223" t="s">
        <v>85</v>
      </c>
      <c r="B2" s="223"/>
      <c r="C2" s="223"/>
      <c r="D2" s="223"/>
      <c r="E2" s="223"/>
      <c r="F2" s="223"/>
      <c r="G2" s="223"/>
      <c r="H2" s="223"/>
    </row>
    <row r="3" spans="1:20" ht="25.5" x14ac:dyDescent="0.2">
      <c r="A3" s="12" t="s">
        <v>102</v>
      </c>
      <c r="B3" s="12"/>
      <c r="C3" s="156" t="s">
        <v>108</v>
      </c>
      <c r="D3" s="157"/>
      <c r="E3" s="158"/>
      <c r="F3" s="11" t="s">
        <v>103</v>
      </c>
      <c r="G3" s="160">
        <v>45889</v>
      </c>
      <c r="H3" s="160"/>
    </row>
    <row r="4" spans="1:20" ht="25.5" x14ac:dyDescent="0.2">
      <c r="A4" s="12" t="s">
        <v>106</v>
      </c>
      <c r="B4" s="12"/>
      <c r="C4" s="154" t="s">
        <v>236</v>
      </c>
      <c r="D4" s="159"/>
      <c r="E4" s="155"/>
      <c r="F4" s="11" t="s">
        <v>104</v>
      </c>
      <c r="G4" s="161" t="s">
        <v>294</v>
      </c>
      <c r="H4" s="161"/>
    </row>
    <row r="5" spans="1:20" ht="25.5" x14ac:dyDescent="0.2">
      <c r="A5" s="227" t="s">
        <v>107</v>
      </c>
      <c r="B5" s="228"/>
      <c r="C5" s="156" t="s">
        <v>226</v>
      </c>
      <c r="D5" s="157"/>
      <c r="E5" s="158"/>
      <c r="F5" s="11" t="s">
        <v>105</v>
      </c>
      <c r="G5" s="160" t="str">
        <f ca="1">TEXT(TODAY(),"DD/MM/YYYY")</f>
        <v>25/08/2025</v>
      </c>
      <c r="H5" s="160"/>
    </row>
    <row r="6" spans="1:20" ht="14.25" x14ac:dyDescent="0.2">
      <c r="A6" s="223" t="s">
        <v>101</v>
      </c>
      <c r="B6" s="223"/>
      <c r="C6" s="223"/>
      <c r="D6" s="223"/>
      <c r="E6" s="223"/>
      <c r="F6" s="223"/>
      <c r="G6" s="223"/>
      <c r="H6" s="223"/>
    </row>
    <row r="7" spans="1:20" ht="14.25" x14ac:dyDescent="0.2">
      <c r="A7" s="166" t="s">
        <v>0</v>
      </c>
      <c r="B7" s="167"/>
      <c r="C7" s="225" t="s">
        <v>235</v>
      </c>
      <c r="D7" s="225"/>
      <c r="E7" s="225"/>
      <c r="F7" s="225"/>
      <c r="G7" s="225"/>
      <c r="H7" s="225"/>
    </row>
    <row r="8" spans="1:20" ht="25.5" customHeight="1" x14ac:dyDescent="0.2">
      <c r="A8" s="166" t="s">
        <v>1</v>
      </c>
      <c r="B8" s="167"/>
      <c r="C8" s="218" t="str">
        <f>CONCATENATE((IF(OR(C7="",C7="NA"),"",C7)),", ",(IF(OR(A9="",A9="NA"),"",A9)),".",(IF(OR(C9="",C9="NA"),"",C9)),", near ",(IF(OR(C17="",C17="NA"),"",C17)),", ",(IF(OR(C11="",C11="NA"),"",C11)),", ",(IF(OR(C10="",C10="NA"),"",C10)),", ",(IF(OR(C12="",C12="NA"),"",C12)),", ",(IF(OR(C13="",C13="NA"),"",C13)),", ",(IF(OR(C14="",C14="NA"),"",C14))," - ",(IF(OR(C15="",C15="NA"),"",C15)),".")</f>
        <v>Fia Vatika, Plot No.52, S.No. 826, near Skyline infra Valencia Apartment, Sundram School Road, Mahim, Palghar West, Palghar, Palghar - 401404.</v>
      </c>
      <c r="D8" s="218"/>
      <c r="E8" s="218"/>
      <c r="F8" s="218"/>
      <c r="G8" s="218"/>
      <c r="H8" s="218"/>
      <c r="P8" s="54" t="s">
        <v>148</v>
      </c>
      <c r="Q8" s="54" t="s">
        <v>149</v>
      </c>
      <c r="R8" s="54" t="s">
        <v>150</v>
      </c>
      <c r="S8" s="54" t="s">
        <v>151</v>
      </c>
      <c r="T8" s="54" t="s">
        <v>152</v>
      </c>
    </row>
    <row r="9" spans="1:20" ht="15" x14ac:dyDescent="0.2">
      <c r="A9" s="166" t="s">
        <v>237</v>
      </c>
      <c r="B9" s="167"/>
      <c r="C9" s="218" t="s">
        <v>238</v>
      </c>
      <c r="D9" s="218"/>
      <c r="E9" s="218"/>
      <c r="F9" s="218"/>
      <c r="G9" s="218"/>
      <c r="H9" s="218"/>
      <c r="P9" s="54" t="s">
        <v>153</v>
      </c>
      <c r="Q9" s="54" t="s">
        <v>154</v>
      </c>
      <c r="R9" s="54" t="s">
        <v>155</v>
      </c>
      <c r="S9" s="54" t="s">
        <v>156</v>
      </c>
      <c r="T9" s="54" t="s">
        <v>157</v>
      </c>
    </row>
    <row r="10" spans="1:20" ht="15" x14ac:dyDescent="0.2">
      <c r="A10" s="166" t="s">
        <v>6</v>
      </c>
      <c r="B10" s="167"/>
      <c r="C10" s="219" t="s">
        <v>239</v>
      </c>
      <c r="D10" s="219"/>
      <c r="E10" s="219"/>
      <c r="F10" s="219"/>
      <c r="G10" s="219"/>
      <c r="H10" s="219"/>
      <c r="P10" s="54" t="s">
        <v>158</v>
      </c>
      <c r="Q10" s="54" t="s">
        <v>159</v>
      </c>
      <c r="R10" s="54" t="s">
        <v>160</v>
      </c>
      <c r="S10" s="54" t="s">
        <v>161</v>
      </c>
      <c r="T10" s="54" t="s">
        <v>162</v>
      </c>
    </row>
    <row r="11" spans="1:20" ht="15" x14ac:dyDescent="0.2">
      <c r="A11" s="166" t="s">
        <v>146</v>
      </c>
      <c r="B11" s="167"/>
      <c r="C11" s="219" t="s">
        <v>240</v>
      </c>
      <c r="D11" s="219"/>
      <c r="E11" s="219"/>
      <c r="F11" s="219"/>
      <c r="G11" s="219"/>
      <c r="H11" s="219"/>
      <c r="P11" s="54" t="s">
        <v>163</v>
      </c>
      <c r="Q11" s="54" t="s">
        <v>164</v>
      </c>
      <c r="R11" s="54" t="s">
        <v>165</v>
      </c>
      <c r="S11" s="54" t="s">
        <v>166</v>
      </c>
      <c r="T11" s="54" t="s">
        <v>167</v>
      </c>
    </row>
    <row r="12" spans="1:20" ht="15" x14ac:dyDescent="0.2">
      <c r="A12" s="166" t="s">
        <v>147</v>
      </c>
      <c r="B12" s="167"/>
      <c r="C12" s="219" t="s">
        <v>241</v>
      </c>
      <c r="D12" s="219"/>
      <c r="E12" s="219"/>
      <c r="F12" s="219"/>
      <c r="G12" s="219"/>
      <c r="H12" s="219"/>
      <c r="P12" s="54" t="s">
        <v>168</v>
      </c>
      <c r="Q12" s="54" t="s">
        <v>169</v>
      </c>
      <c r="R12" s="54" t="s">
        <v>150</v>
      </c>
      <c r="S12" s="54" t="s">
        <v>170</v>
      </c>
      <c r="T12" s="54" t="s">
        <v>171</v>
      </c>
    </row>
    <row r="13" spans="1:20" ht="15" x14ac:dyDescent="0.2">
      <c r="A13" s="166" t="s">
        <v>133</v>
      </c>
      <c r="B13" s="167"/>
      <c r="C13" s="219" t="s">
        <v>149</v>
      </c>
      <c r="D13" s="219"/>
      <c r="E13" s="219"/>
      <c r="F13" s="219"/>
      <c r="G13" s="219"/>
      <c r="H13" s="219"/>
      <c r="P13" s="54" t="s">
        <v>172</v>
      </c>
      <c r="Q13" s="54" t="s">
        <v>149</v>
      </c>
      <c r="R13" s="54"/>
      <c r="S13" s="54" t="s">
        <v>173</v>
      </c>
      <c r="T13" s="54" t="s">
        <v>174</v>
      </c>
    </row>
    <row r="14" spans="1:20" ht="15" x14ac:dyDescent="0.2">
      <c r="A14" s="166" t="s">
        <v>134</v>
      </c>
      <c r="B14" s="167"/>
      <c r="C14" s="219" t="s">
        <v>149</v>
      </c>
      <c r="D14" s="219"/>
      <c r="E14" s="219"/>
      <c r="F14" s="219"/>
      <c r="G14" s="219"/>
      <c r="H14" s="219"/>
      <c r="P14" s="54" t="s">
        <v>175</v>
      </c>
      <c r="Q14" s="54" t="s">
        <v>176</v>
      </c>
      <c r="R14" s="54"/>
      <c r="S14" s="54" t="s">
        <v>177</v>
      </c>
      <c r="T14" s="54" t="s">
        <v>178</v>
      </c>
    </row>
    <row r="15" spans="1:20" ht="15" x14ac:dyDescent="0.2">
      <c r="A15" s="166" t="s">
        <v>135</v>
      </c>
      <c r="B15" s="167"/>
      <c r="C15" s="220">
        <v>401404</v>
      </c>
      <c r="D15" s="220"/>
      <c r="E15" s="220"/>
      <c r="F15" s="220"/>
      <c r="G15" s="220"/>
      <c r="H15" s="220"/>
      <c r="P15" s="54" t="s">
        <v>179</v>
      </c>
      <c r="Q15" s="54" t="s">
        <v>180</v>
      </c>
      <c r="R15" s="54"/>
      <c r="S15" s="54" t="s">
        <v>181</v>
      </c>
      <c r="T15" s="54" t="s">
        <v>182</v>
      </c>
    </row>
    <row r="16" spans="1:20" ht="15" x14ac:dyDescent="0.2">
      <c r="A16" s="166" t="s">
        <v>48</v>
      </c>
      <c r="B16" s="167"/>
      <c r="C16" s="218" t="s">
        <v>242</v>
      </c>
      <c r="D16" s="218"/>
      <c r="E16" s="218"/>
      <c r="F16" s="218"/>
      <c r="G16" s="218"/>
      <c r="H16" s="218"/>
      <c r="P16" s="54"/>
      <c r="Q16" s="54"/>
      <c r="R16" s="54"/>
      <c r="S16" s="54" t="s">
        <v>183</v>
      </c>
      <c r="T16" s="54" t="s">
        <v>184</v>
      </c>
    </row>
    <row r="17" spans="1:20" ht="15" x14ac:dyDescent="0.2">
      <c r="A17" s="166" t="s">
        <v>90</v>
      </c>
      <c r="B17" s="167"/>
      <c r="C17" s="222" t="s">
        <v>243</v>
      </c>
      <c r="D17" s="222"/>
      <c r="E17" s="222"/>
      <c r="F17" s="222"/>
      <c r="G17" s="222"/>
      <c r="H17" s="222"/>
      <c r="P17" s="54"/>
      <c r="Q17" s="54"/>
      <c r="R17" s="54"/>
      <c r="S17" s="54" t="s">
        <v>185</v>
      </c>
      <c r="T17" s="54" t="s">
        <v>186</v>
      </c>
    </row>
    <row r="18" spans="1:20" ht="15" x14ac:dyDescent="0.2">
      <c r="A18" s="166" t="s">
        <v>89</v>
      </c>
      <c r="B18" s="167"/>
      <c r="C18" s="176" t="s">
        <v>145</v>
      </c>
      <c r="D18" s="177"/>
      <c r="E18" s="178"/>
      <c r="F18" s="176" t="s">
        <v>288</v>
      </c>
      <c r="G18" s="177"/>
      <c r="H18" s="178"/>
      <c r="I18" s="6" t="s">
        <v>244</v>
      </c>
      <c r="P18" s="54"/>
      <c r="Q18" s="54"/>
      <c r="R18" s="54"/>
      <c r="S18" s="54" t="s">
        <v>187</v>
      </c>
      <c r="T18" s="54" t="s">
        <v>188</v>
      </c>
    </row>
    <row r="19" spans="1:20" ht="15" x14ac:dyDescent="0.2">
      <c r="A19" s="166" t="s">
        <v>136</v>
      </c>
      <c r="B19" s="167"/>
      <c r="C19" s="226" t="s">
        <v>289</v>
      </c>
      <c r="D19" s="177"/>
      <c r="E19" s="177"/>
      <c r="F19" s="177"/>
      <c r="G19" s="177"/>
      <c r="H19" s="178"/>
      <c r="P19" s="54"/>
      <c r="Q19" s="54"/>
      <c r="R19" s="54"/>
      <c r="S19" s="54" t="s">
        <v>189</v>
      </c>
      <c r="T19" s="54" t="s">
        <v>190</v>
      </c>
    </row>
    <row r="20" spans="1:20" ht="15" x14ac:dyDescent="0.2">
      <c r="A20" s="166" t="s">
        <v>2</v>
      </c>
      <c r="B20" s="167"/>
      <c r="C20" s="218" t="s">
        <v>245</v>
      </c>
      <c r="D20" s="218"/>
      <c r="E20" s="218"/>
      <c r="F20" s="218"/>
      <c r="G20" s="218"/>
      <c r="H20" s="218"/>
      <c r="P20" s="54"/>
      <c r="Q20" s="54"/>
      <c r="R20" s="54"/>
      <c r="S20" s="54" t="s">
        <v>191</v>
      </c>
      <c r="T20" s="54" t="s">
        <v>192</v>
      </c>
    </row>
    <row r="21" spans="1:20" ht="27" customHeight="1" x14ac:dyDescent="0.2">
      <c r="A21" s="166" t="s">
        <v>3</v>
      </c>
      <c r="B21" s="167"/>
      <c r="C21" s="224" t="s">
        <v>246</v>
      </c>
      <c r="D21" s="224"/>
      <c r="E21" s="224"/>
      <c r="F21" s="224"/>
      <c r="G21" s="224"/>
      <c r="H21" s="224"/>
      <c r="P21" s="54"/>
      <c r="Q21" s="54"/>
      <c r="R21" s="54"/>
      <c r="S21" s="54" t="s">
        <v>193</v>
      </c>
      <c r="T21" s="54" t="s">
        <v>194</v>
      </c>
    </row>
    <row r="22" spans="1:20" ht="15" customHeight="1" x14ac:dyDescent="0.2">
      <c r="A22" s="166" t="s">
        <v>109</v>
      </c>
      <c r="B22" s="167"/>
      <c r="C22" s="220" t="s">
        <v>52</v>
      </c>
      <c r="D22" s="220"/>
      <c r="E22" s="220"/>
      <c r="F22" s="220"/>
      <c r="G22" s="220"/>
      <c r="H22" s="220"/>
      <c r="P22" s="54"/>
      <c r="Q22" s="54"/>
      <c r="R22" s="54"/>
      <c r="S22" s="54" t="s">
        <v>195</v>
      </c>
      <c r="T22" s="54" t="s">
        <v>196</v>
      </c>
    </row>
    <row r="23" spans="1:20" ht="25.5" customHeight="1" x14ac:dyDescent="0.2">
      <c r="A23" s="166" t="s">
        <v>4</v>
      </c>
      <c r="B23" s="167"/>
      <c r="C23" s="218" t="s">
        <v>282</v>
      </c>
      <c r="D23" s="219"/>
      <c r="E23" s="219"/>
      <c r="F23" s="219"/>
      <c r="G23" s="219"/>
      <c r="H23" s="219"/>
    </row>
    <row r="24" spans="1:20" x14ac:dyDescent="0.2">
      <c r="A24" s="166" t="s">
        <v>5</v>
      </c>
      <c r="B24" s="167"/>
      <c r="C24" s="219" t="s">
        <v>270</v>
      </c>
      <c r="D24" s="219"/>
      <c r="E24" s="219"/>
      <c r="F24" s="219"/>
      <c r="G24" s="219"/>
      <c r="H24" s="219"/>
    </row>
    <row r="25" spans="1:20" ht="27.75" customHeight="1" x14ac:dyDescent="0.2">
      <c r="A25" s="166" t="s">
        <v>87</v>
      </c>
      <c r="B25" s="167"/>
      <c r="C25" s="219" t="s">
        <v>247</v>
      </c>
      <c r="D25" s="219"/>
      <c r="E25" s="219"/>
      <c r="F25" s="219"/>
      <c r="G25" s="219"/>
      <c r="H25" s="219"/>
    </row>
    <row r="26" spans="1:20" ht="45.75" customHeight="1" x14ac:dyDescent="0.2">
      <c r="A26" s="168" t="s">
        <v>88</v>
      </c>
      <c r="B26" s="169"/>
      <c r="C26" s="221" t="s">
        <v>248</v>
      </c>
      <c r="D26" s="221"/>
      <c r="E26" s="221"/>
      <c r="F26" s="221"/>
      <c r="G26" s="221"/>
      <c r="H26" s="221"/>
    </row>
    <row r="27" spans="1:20" ht="38.25" x14ac:dyDescent="0.2">
      <c r="A27" s="166" t="s">
        <v>92</v>
      </c>
      <c r="B27" s="167"/>
      <c r="C27" s="229" t="s">
        <v>249</v>
      </c>
      <c r="D27" s="229"/>
      <c r="E27" s="229"/>
      <c r="F27" s="13" t="s">
        <v>7</v>
      </c>
      <c r="G27" s="221" t="s">
        <v>91</v>
      </c>
      <c r="H27" s="221"/>
    </row>
    <row r="28" spans="1:20" ht="25.5" x14ac:dyDescent="0.2">
      <c r="A28" s="166" t="s">
        <v>8</v>
      </c>
      <c r="B28" s="167"/>
      <c r="C28" s="221" t="s">
        <v>269</v>
      </c>
      <c r="D28" s="221"/>
      <c r="E28" s="221"/>
      <c r="F28" s="13" t="s">
        <v>125</v>
      </c>
      <c r="G28" s="231">
        <f>8.25</f>
        <v>8.25</v>
      </c>
      <c r="H28" s="231"/>
      <c r="I28" s="6">
        <f>55*0.15</f>
        <v>8.25</v>
      </c>
    </row>
    <row r="29" spans="1:20" ht="39.75" customHeight="1" x14ac:dyDescent="0.2">
      <c r="A29" s="166" t="s">
        <v>205</v>
      </c>
      <c r="B29" s="167"/>
      <c r="C29" s="186" t="s">
        <v>250</v>
      </c>
      <c r="D29" s="187"/>
      <c r="E29" s="188"/>
      <c r="F29" s="188"/>
      <c r="G29" s="188"/>
      <c r="H29" s="189"/>
    </row>
    <row r="30" spans="1:20" ht="39.75" customHeight="1" x14ac:dyDescent="0.2">
      <c r="A30" s="166" t="s">
        <v>206</v>
      </c>
      <c r="B30" s="167"/>
      <c r="C30" s="186" t="s">
        <v>250</v>
      </c>
      <c r="D30" s="187"/>
      <c r="E30" s="188"/>
      <c r="F30" s="188"/>
      <c r="G30" s="188"/>
      <c r="H30" s="189"/>
      <c r="J30" s="6" t="s">
        <v>290</v>
      </c>
    </row>
    <row r="31" spans="1:20" ht="12.75" customHeight="1" x14ac:dyDescent="0.2">
      <c r="A31" s="170" t="s">
        <v>9</v>
      </c>
      <c r="B31" s="171"/>
      <c r="C31" s="162" t="s">
        <v>93</v>
      </c>
      <c r="D31" s="163"/>
      <c r="E31" s="14" t="s">
        <v>12</v>
      </c>
      <c r="F31" s="14" t="s">
        <v>13</v>
      </c>
      <c r="G31" s="14" t="s">
        <v>14</v>
      </c>
      <c r="H31" s="14" t="s">
        <v>15</v>
      </c>
    </row>
    <row r="32" spans="1:20" ht="12.75" customHeight="1" x14ac:dyDescent="0.2">
      <c r="A32" s="172"/>
      <c r="B32" s="173"/>
      <c r="C32" s="164" t="s">
        <v>10</v>
      </c>
      <c r="D32" s="165"/>
      <c r="E32" s="15" t="s">
        <v>226</v>
      </c>
      <c r="F32" s="15" t="s">
        <v>226</v>
      </c>
      <c r="G32" s="15" t="s">
        <v>226</v>
      </c>
      <c r="H32" s="15" t="s">
        <v>226</v>
      </c>
    </row>
    <row r="33" spans="1:9" ht="25.5" x14ac:dyDescent="0.2">
      <c r="A33" s="172"/>
      <c r="B33" s="173"/>
      <c r="C33" s="164" t="s">
        <v>86</v>
      </c>
      <c r="D33" s="165"/>
      <c r="E33" s="16" t="s">
        <v>283</v>
      </c>
      <c r="F33" s="15" t="s">
        <v>272</v>
      </c>
      <c r="G33" s="15" t="s">
        <v>284</v>
      </c>
      <c r="H33" s="15" t="s">
        <v>274</v>
      </c>
    </row>
    <row r="34" spans="1:9" ht="27.75" customHeight="1" x14ac:dyDescent="0.2">
      <c r="A34" s="174"/>
      <c r="B34" s="175"/>
      <c r="C34" s="164" t="s">
        <v>11</v>
      </c>
      <c r="D34" s="165"/>
      <c r="E34" s="15" t="s">
        <v>271</v>
      </c>
      <c r="F34" s="15" t="s">
        <v>273</v>
      </c>
      <c r="G34" s="15" t="s">
        <v>291</v>
      </c>
      <c r="H34" s="15" t="s">
        <v>285</v>
      </c>
    </row>
    <row r="35" spans="1:9" ht="29.25" customHeight="1" x14ac:dyDescent="0.2">
      <c r="A35" s="166" t="s">
        <v>16</v>
      </c>
      <c r="B35" s="167"/>
      <c r="C35" s="232" t="s">
        <v>275</v>
      </c>
      <c r="D35" s="232"/>
      <c r="E35" s="232"/>
      <c r="F35" s="232"/>
      <c r="G35" s="232"/>
      <c r="H35" s="232"/>
    </row>
    <row r="36" spans="1:9" ht="38.25" customHeight="1" x14ac:dyDescent="0.2">
      <c r="A36" s="166" t="s">
        <v>129</v>
      </c>
      <c r="B36" s="167"/>
      <c r="C36" s="233">
        <v>1276</v>
      </c>
      <c r="D36" s="234"/>
      <c r="E36" s="230" t="s">
        <v>130</v>
      </c>
      <c r="F36" s="230"/>
      <c r="G36" s="233">
        <v>1276</v>
      </c>
      <c r="H36" s="234"/>
    </row>
    <row r="37" spans="1:9" x14ac:dyDescent="0.2">
      <c r="A37" s="166" t="s">
        <v>17</v>
      </c>
      <c r="B37" s="167"/>
      <c r="C37" s="78" t="s">
        <v>286</v>
      </c>
      <c r="D37" s="78"/>
      <c r="E37" s="78"/>
      <c r="F37" s="78"/>
      <c r="G37" s="78"/>
      <c r="H37" s="78"/>
    </row>
    <row r="38" spans="1:9" ht="133.5" customHeight="1" x14ac:dyDescent="0.2">
      <c r="A38" s="166" t="s">
        <v>124</v>
      </c>
      <c r="B38" s="167"/>
      <c r="C38" s="222" t="s">
        <v>287</v>
      </c>
      <c r="D38" s="222"/>
      <c r="E38" s="221"/>
      <c r="F38" s="221"/>
      <c r="G38" s="221"/>
      <c r="H38" s="221"/>
      <c r="I38" s="61"/>
    </row>
    <row r="39" spans="1:9" x14ac:dyDescent="0.2">
      <c r="A39" s="235" t="s">
        <v>94</v>
      </c>
      <c r="B39" s="235"/>
      <c r="C39" s="235"/>
      <c r="D39" s="235"/>
      <c r="E39" s="235"/>
      <c r="F39" s="235"/>
      <c r="G39" s="235"/>
      <c r="H39" s="235"/>
    </row>
    <row r="40" spans="1:9" ht="12.75" customHeight="1" x14ac:dyDescent="0.2">
      <c r="A40" s="190" t="s">
        <v>19</v>
      </c>
      <c r="B40" s="191"/>
      <c r="C40" s="204" t="s">
        <v>95</v>
      </c>
      <c r="D40" s="204"/>
      <c r="E40" s="204"/>
      <c r="F40" s="204"/>
      <c r="G40" s="205">
        <v>1276</v>
      </c>
      <c r="H40" s="205"/>
    </row>
    <row r="41" spans="1:9" x14ac:dyDescent="0.2">
      <c r="A41" s="192"/>
      <c r="B41" s="193"/>
      <c r="C41" s="204" t="s">
        <v>96</v>
      </c>
      <c r="D41" s="204"/>
      <c r="E41" s="204"/>
      <c r="F41" s="204"/>
      <c r="G41" s="205">
        <f>1403.6/G40</f>
        <v>1.0999999999999999</v>
      </c>
      <c r="H41" s="205"/>
    </row>
    <row r="42" spans="1:9" x14ac:dyDescent="0.2">
      <c r="A42" s="192"/>
      <c r="B42" s="193"/>
      <c r="C42" s="204" t="s">
        <v>97</v>
      </c>
      <c r="D42" s="204"/>
      <c r="E42" s="204"/>
      <c r="F42" s="204"/>
      <c r="G42" s="205">
        <f>G45/G40-G41</f>
        <v>1.152907523510972</v>
      </c>
      <c r="H42" s="205"/>
    </row>
    <row r="43" spans="1:9" x14ac:dyDescent="0.2">
      <c r="A43" s="192"/>
      <c r="B43" s="193"/>
      <c r="C43" s="204" t="s">
        <v>98</v>
      </c>
      <c r="D43" s="204"/>
      <c r="E43" s="204"/>
      <c r="F43" s="204"/>
      <c r="G43" s="205">
        <f>G41+G42</f>
        <v>2.2529075235109719</v>
      </c>
      <c r="H43" s="205"/>
    </row>
    <row r="44" spans="1:9" x14ac:dyDescent="0.2">
      <c r="A44" s="192"/>
      <c r="B44" s="193"/>
      <c r="C44" s="78" t="s">
        <v>128</v>
      </c>
      <c r="D44" s="78"/>
      <c r="E44" s="78"/>
      <c r="F44" s="78"/>
      <c r="G44" s="205">
        <v>3217.36</v>
      </c>
      <c r="H44" s="205"/>
    </row>
    <row r="45" spans="1:9" x14ac:dyDescent="0.2">
      <c r="A45" s="194"/>
      <c r="B45" s="195"/>
      <c r="C45" s="204" t="s">
        <v>99</v>
      </c>
      <c r="D45" s="204"/>
      <c r="E45" s="204"/>
      <c r="F45" s="204"/>
      <c r="G45" s="205">
        <v>2874.71</v>
      </c>
      <c r="H45" s="205"/>
    </row>
    <row r="46" spans="1:9" ht="32.25" customHeight="1" x14ac:dyDescent="0.2">
      <c r="A46" s="166" t="s">
        <v>100</v>
      </c>
      <c r="B46" s="167"/>
      <c r="C46" s="132" t="s">
        <v>276</v>
      </c>
      <c r="D46" s="133"/>
      <c r="E46" s="133"/>
      <c r="F46" s="134"/>
      <c r="G46" s="14" t="s">
        <v>224</v>
      </c>
      <c r="H46" s="60">
        <v>45672</v>
      </c>
    </row>
    <row r="47" spans="1:9" ht="42" customHeight="1" x14ac:dyDescent="0.2">
      <c r="A47" s="166" t="s">
        <v>20</v>
      </c>
      <c r="B47" s="167"/>
      <c r="C47" s="186" t="s">
        <v>263</v>
      </c>
      <c r="D47" s="187"/>
      <c r="E47" s="188"/>
      <c r="F47" s="188"/>
      <c r="G47" s="188"/>
      <c r="H47" s="189"/>
    </row>
    <row r="48" spans="1:9" ht="56.25" customHeight="1" x14ac:dyDescent="0.2">
      <c r="A48" s="168" t="s">
        <v>278</v>
      </c>
      <c r="B48" s="169"/>
      <c r="C48" s="135" t="s">
        <v>277</v>
      </c>
      <c r="D48" s="136"/>
      <c r="E48" s="136"/>
      <c r="F48" s="137"/>
      <c r="G48" s="14" t="s">
        <v>224</v>
      </c>
      <c r="H48" s="60">
        <v>45672</v>
      </c>
    </row>
    <row r="49" spans="1:12" x14ac:dyDescent="0.2">
      <c r="A49" s="196" t="s">
        <v>21</v>
      </c>
      <c r="B49" s="197"/>
      <c r="C49" s="139" t="s">
        <v>110</v>
      </c>
      <c r="D49" s="141"/>
      <c r="E49" s="78" t="s">
        <v>226</v>
      </c>
      <c r="F49" s="78"/>
      <c r="G49" s="78"/>
      <c r="H49" s="78"/>
    </row>
    <row r="50" spans="1:12" x14ac:dyDescent="0.2">
      <c r="A50" s="198"/>
      <c r="B50" s="199"/>
      <c r="C50" s="139" t="s">
        <v>111</v>
      </c>
      <c r="D50" s="141"/>
      <c r="E50" s="154" t="s">
        <v>226</v>
      </c>
      <c r="F50" s="155"/>
      <c r="G50" s="14" t="s">
        <v>224</v>
      </c>
      <c r="H50" s="62" t="s">
        <v>226</v>
      </c>
      <c r="J50" s="6" t="s">
        <v>233</v>
      </c>
    </row>
    <row r="51" spans="1:12" x14ac:dyDescent="0.2">
      <c r="A51" s="200"/>
      <c r="B51" s="201"/>
      <c r="C51" s="139" t="s">
        <v>234</v>
      </c>
      <c r="D51" s="85"/>
      <c r="E51" s="77" t="s">
        <v>226</v>
      </c>
      <c r="F51" s="78"/>
      <c r="G51" s="78"/>
      <c r="H51" s="78"/>
      <c r="I51" s="77" t="s">
        <v>232</v>
      </c>
      <c r="J51" s="78"/>
      <c r="K51" s="78"/>
      <c r="L51" s="78"/>
    </row>
    <row r="52" spans="1:12" x14ac:dyDescent="0.2">
      <c r="A52" s="79" t="s">
        <v>225</v>
      </c>
      <c r="B52" s="81"/>
      <c r="C52" s="139"/>
      <c r="D52" s="140"/>
      <c r="E52" s="140"/>
      <c r="F52" s="140"/>
      <c r="G52" s="140"/>
      <c r="H52" s="141"/>
    </row>
    <row r="53" spans="1:12" ht="36" hidden="1" customHeight="1" x14ac:dyDescent="0.2">
      <c r="A53" s="202" t="s">
        <v>227</v>
      </c>
      <c r="B53" s="203"/>
      <c r="C53" s="132"/>
      <c r="D53" s="133"/>
      <c r="E53" s="133"/>
      <c r="F53" s="134"/>
      <c r="G53" s="59" t="s">
        <v>224</v>
      </c>
      <c r="H53" s="60"/>
    </row>
    <row r="54" spans="1:12" hidden="1" x14ac:dyDescent="0.2">
      <c r="A54" s="142" t="s">
        <v>228</v>
      </c>
      <c r="B54" s="143"/>
      <c r="C54" s="132"/>
      <c r="D54" s="133"/>
      <c r="E54" s="133"/>
      <c r="F54" s="134"/>
      <c r="G54" s="59" t="s">
        <v>224</v>
      </c>
      <c r="H54" s="60"/>
    </row>
    <row r="55" spans="1:12" ht="34.5" hidden="1" customHeight="1" x14ac:dyDescent="0.2">
      <c r="A55" s="144"/>
      <c r="B55" s="145"/>
      <c r="C55" s="132"/>
      <c r="D55" s="133"/>
      <c r="E55" s="133"/>
      <c r="F55" s="134"/>
      <c r="G55" s="59"/>
      <c r="H55" s="60"/>
    </row>
    <row r="56" spans="1:12" hidden="1" x14ac:dyDescent="0.2">
      <c r="A56" s="142" t="s">
        <v>229</v>
      </c>
      <c r="B56" s="143"/>
      <c r="C56" s="148"/>
      <c r="D56" s="149"/>
      <c r="E56" s="149"/>
      <c r="F56" s="150"/>
      <c r="G56" s="59" t="s">
        <v>224</v>
      </c>
      <c r="H56" s="60"/>
    </row>
    <row r="57" spans="1:12" ht="25.5" hidden="1" customHeight="1" x14ac:dyDescent="0.2">
      <c r="A57" s="146"/>
      <c r="B57" s="147"/>
      <c r="C57" s="151"/>
      <c r="D57" s="152"/>
      <c r="E57" s="152"/>
      <c r="F57" s="153"/>
      <c r="G57" s="59" t="s">
        <v>230</v>
      </c>
      <c r="H57" s="60"/>
    </row>
    <row r="58" spans="1:12" ht="25.5" hidden="1" customHeight="1" x14ac:dyDescent="0.2">
      <c r="A58" s="144"/>
      <c r="B58" s="145"/>
      <c r="C58" s="132" t="s">
        <v>231</v>
      </c>
      <c r="D58" s="133"/>
      <c r="E58" s="133"/>
      <c r="F58" s="134"/>
      <c r="G58" s="59"/>
      <c r="H58" s="60"/>
    </row>
    <row r="59" spans="1:12" x14ac:dyDescent="0.2">
      <c r="A59" s="82" t="s">
        <v>22</v>
      </c>
      <c r="B59" s="82"/>
      <c r="C59" s="82"/>
      <c r="D59" s="82"/>
      <c r="E59" s="82"/>
      <c r="F59" s="82"/>
      <c r="G59" s="82"/>
      <c r="H59" s="82"/>
    </row>
    <row r="60" spans="1:12" ht="12.75" customHeight="1" x14ac:dyDescent="0.2">
      <c r="A60" s="128" t="s">
        <v>23</v>
      </c>
      <c r="B60" s="128"/>
      <c r="C60" s="130">
        <v>45783</v>
      </c>
      <c r="D60" s="131"/>
      <c r="E60" s="128" t="s">
        <v>24</v>
      </c>
      <c r="F60" s="128"/>
      <c r="G60" s="130">
        <v>46752</v>
      </c>
      <c r="H60" s="130"/>
    </row>
    <row r="61" spans="1:12" ht="13.5" thickBot="1" x14ac:dyDescent="0.25">
      <c r="A61" s="129" t="s">
        <v>57</v>
      </c>
      <c r="B61" s="129"/>
      <c r="C61" s="129"/>
      <c r="D61" s="129"/>
      <c r="E61" s="129"/>
      <c r="F61" s="129"/>
      <c r="G61" s="129"/>
      <c r="H61" s="129"/>
    </row>
    <row r="62" spans="1:12" ht="26.25" customHeight="1" x14ac:dyDescent="0.2">
      <c r="A62" s="138" t="s">
        <v>281</v>
      </c>
      <c r="B62" s="138"/>
      <c r="C62" s="138"/>
      <c r="D62" s="138"/>
      <c r="E62" s="41" t="s">
        <v>58</v>
      </c>
      <c r="F62" s="41" t="s">
        <v>59</v>
      </c>
      <c r="G62" s="41" t="s">
        <v>60</v>
      </c>
      <c r="H62" s="41" t="s">
        <v>46</v>
      </c>
      <c r="I62" s="39" t="str">
        <f ca="1">(IF(G66&gt;99%,"All work completed. Please provide OC.",IF(G66&gt;89.8%,"Plinth, RCC, Brick, Plaster, Flooring, Painting work Completed. Finishing work is in process.",IF(G66&lt;94%,(IF(E66=0,"Work not yet Started.",IF(F66=25%,"Piling work in process",IF(F66=50%,"Excavation work in process",IF(F66=100%,"Excavation work Completed. ","0")))&amp;(IF(E67=0%,"",IF(E67=J68,"Footing work is process",IF(E67=J69,"Footing work Completed",IF(E67=J70,"1st Basement Completed",IF(E67=J71,"1st &amp; 2nd Basement Completed",IF(E67=J72,"1st to 3rd Basement Completed",IF(E67=J73,"1st to 4th Basement Completed",IF(E67=J74,"Plinth work is process",IF(E67=J75,"Plinth work completed","0")))))))))))&amp;(IF(E68=(F63+G63+H63),", RCC Slab",IF(E68&gt;0,", RCC upto "&amp;E68&amp;" Slab",""))&amp;(IF(E69=H63,", Brickwork",IF(E69&gt;0,", Brickwork upto "&amp;E69&amp;" Floor",""))&amp;(IF(E70=H63,", Internal Plaster",IF(E70&gt;0,", Internal Plaster upto "&amp;E70&amp;" Floor",""))&amp;(IF(E71=H63,", External Plaster",IF(E71&gt;0,", External Plaster upto "&amp;E71&amp;" Floor",""))&amp;(IF(E72=H63,", Flooring",IF(E72&gt;0,", Flooring upto "&amp;E72&amp;" Floor",""))&amp;(IF(E73=H63,", Painting",IF(E73&gt;0,", Painting upto "&amp;E73&amp;" Floor",""))&amp;(IF(E74&gt;0,", Finishing upto "&amp;E74&amp;" Floor","")&amp;(IF(E68&gt;0.5," Completed",""))))))))))))))</f>
        <v>Work not yet Started.</v>
      </c>
      <c r="J62" s="40"/>
    </row>
    <row r="63" spans="1:12" x14ac:dyDescent="0.2">
      <c r="A63" s="138"/>
      <c r="B63" s="138"/>
      <c r="C63" s="138"/>
      <c r="D63" s="138"/>
      <c r="E63" s="41">
        <v>0</v>
      </c>
      <c r="F63" s="41">
        <v>1</v>
      </c>
      <c r="G63" s="41">
        <v>0</v>
      </c>
      <c r="H63" s="41">
        <f ca="1">--TRIM(RIGHT(SUBSTITUTE(LEFT(A62,_xlfn.AGGREGATE(16,6,FIND({0,1,2,3,4,5,6,7,8,9},A62,ROW(INDIRECT("1:"&amp;LEN(A62)))),1))," ",REPT(" ",LEN(A62))),LEN(A62)))</f>
        <v>1</v>
      </c>
      <c r="I63" s="43"/>
      <c r="J63" s="44"/>
    </row>
    <row r="64" spans="1:12" ht="13.5" customHeight="1" x14ac:dyDescent="0.2">
      <c r="A64" s="56" t="s">
        <v>137</v>
      </c>
      <c r="B64" s="55"/>
      <c r="C64" s="118" t="str">
        <f ca="1">I62</f>
        <v>Work not yet Started.</v>
      </c>
      <c r="D64" s="118"/>
      <c r="E64" s="118"/>
      <c r="F64" s="118"/>
      <c r="G64" s="118"/>
      <c r="H64" s="119"/>
      <c r="I64" s="43" t="s">
        <v>138</v>
      </c>
      <c r="J64" s="44"/>
    </row>
    <row r="65" spans="1:10" ht="15" customHeight="1" x14ac:dyDescent="0.2">
      <c r="A65" s="120" t="s">
        <v>61</v>
      </c>
      <c r="B65" s="121"/>
      <c r="C65" s="116" t="s">
        <v>139</v>
      </c>
      <c r="D65" s="116"/>
      <c r="E65" s="45" t="s">
        <v>62</v>
      </c>
      <c r="F65" s="45" t="s">
        <v>63</v>
      </c>
      <c r="G65" s="206" t="s">
        <v>56</v>
      </c>
      <c r="H65" s="207"/>
      <c r="I65" s="1" t="s">
        <v>64</v>
      </c>
      <c r="J65" s="46">
        <f ca="1">H63*25%</f>
        <v>0.25</v>
      </c>
    </row>
    <row r="66" spans="1:10" ht="15" customHeight="1" x14ac:dyDescent="0.2">
      <c r="A66" s="120" t="s">
        <v>65</v>
      </c>
      <c r="B66" s="121"/>
      <c r="C66" s="117">
        <v>0</v>
      </c>
      <c r="D66" s="117"/>
      <c r="E66" s="72">
        <v>0</v>
      </c>
      <c r="F66" s="47">
        <f ca="1">((100/H63)*E66)/100</f>
        <v>0</v>
      </c>
      <c r="G66" s="208">
        <f ca="1">(((E67/H63*10)+(40/(F63+G63+H63)*E68)+(15/(H63)*E69)+(5/(H63)*E70)+(5/H63*E71)+(10/H63*E72)+(5/H63*E73)+(5/H63*E74)+(5/H63*E75))/100)</f>
        <v>0</v>
      </c>
      <c r="H66" s="209"/>
      <c r="I66" s="1" t="s">
        <v>66</v>
      </c>
      <c r="J66" s="48">
        <f ca="1">H63*50%</f>
        <v>0.5</v>
      </c>
    </row>
    <row r="67" spans="1:10" ht="15" customHeight="1" x14ac:dyDescent="0.2">
      <c r="A67" s="120" t="s">
        <v>67</v>
      </c>
      <c r="B67" s="121"/>
      <c r="C67" s="117">
        <v>0.1</v>
      </c>
      <c r="D67" s="117"/>
      <c r="E67" s="73">
        <v>0</v>
      </c>
      <c r="F67" s="47">
        <f ca="1">((100/H63)*E67)/100</f>
        <v>0</v>
      </c>
      <c r="G67" s="208"/>
      <c r="H67" s="209"/>
      <c r="I67" s="1" t="s">
        <v>68</v>
      </c>
      <c r="J67" s="48">
        <f ca="1">H63</f>
        <v>1</v>
      </c>
    </row>
    <row r="68" spans="1:10" ht="15" customHeight="1" x14ac:dyDescent="0.2">
      <c r="A68" s="120" t="s">
        <v>69</v>
      </c>
      <c r="B68" s="121"/>
      <c r="C68" s="117">
        <v>0.4</v>
      </c>
      <c r="D68" s="117"/>
      <c r="E68" s="73">
        <v>0</v>
      </c>
      <c r="F68" s="47">
        <f ca="1">((100/(F63+G63+H63))*E68)/100</f>
        <v>0</v>
      </c>
      <c r="G68" s="208"/>
      <c r="H68" s="209"/>
      <c r="I68" s="1" t="s">
        <v>70</v>
      </c>
      <c r="J68" s="49">
        <f ca="1">(IF(E63&gt;1,(H63/(E63+2)),H63/4))</f>
        <v>0.25</v>
      </c>
    </row>
    <row r="69" spans="1:10" ht="15" customHeight="1" x14ac:dyDescent="0.2">
      <c r="A69" s="120" t="s">
        <v>71</v>
      </c>
      <c r="B69" s="121"/>
      <c r="C69" s="117">
        <v>0.15</v>
      </c>
      <c r="D69" s="117"/>
      <c r="E69" s="72">
        <v>0</v>
      </c>
      <c r="F69" s="47">
        <f ca="1">((100/H63)*E69)/100</f>
        <v>0</v>
      </c>
      <c r="G69" s="208"/>
      <c r="H69" s="209"/>
      <c r="I69" s="1" t="s">
        <v>72</v>
      </c>
      <c r="J69" s="49">
        <f ca="1">(IF(E63&gt;1,(H63/(E63+2)+J68),H63/4+J68))</f>
        <v>0.5</v>
      </c>
    </row>
    <row r="70" spans="1:10" ht="15" customHeight="1" x14ac:dyDescent="0.2">
      <c r="A70" s="120" t="s">
        <v>73</v>
      </c>
      <c r="B70" s="121"/>
      <c r="C70" s="117">
        <v>0.05</v>
      </c>
      <c r="D70" s="117"/>
      <c r="E70" s="72">
        <v>0</v>
      </c>
      <c r="F70" s="47">
        <f ca="1">((100/H63)*E70)/100</f>
        <v>0</v>
      </c>
      <c r="G70" s="208"/>
      <c r="H70" s="209"/>
      <c r="I70" s="1" t="s">
        <v>74</v>
      </c>
      <c r="J70" s="49">
        <f>(IF(E63&gt;1,(H63/(E63+2)+J69),0))</f>
        <v>0</v>
      </c>
    </row>
    <row r="71" spans="1:10" ht="15" customHeight="1" x14ac:dyDescent="0.2">
      <c r="A71" s="120" t="s">
        <v>75</v>
      </c>
      <c r="B71" s="121"/>
      <c r="C71" s="117">
        <v>0.05</v>
      </c>
      <c r="D71" s="117"/>
      <c r="E71" s="72">
        <v>0</v>
      </c>
      <c r="F71" s="47">
        <f ca="1">((100/(H63))*E71)/100</f>
        <v>0</v>
      </c>
      <c r="G71" s="208"/>
      <c r="H71" s="209"/>
      <c r="I71" s="1" t="s">
        <v>76</v>
      </c>
      <c r="J71" s="49">
        <f>(IF(E63&gt;2,(H63/(E63+2)+J70),0))</f>
        <v>0</v>
      </c>
    </row>
    <row r="72" spans="1:10" ht="15" customHeight="1" x14ac:dyDescent="0.2">
      <c r="A72" s="120" t="s">
        <v>77</v>
      </c>
      <c r="B72" s="121"/>
      <c r="C72" s="117">
        <v>0.1</v>
      </c>
      <c r="D72" s="117"/>
      <c r="E72" s="72">
        <v>0</v>
      </c>
      <c r="F72" s="47">
        <f ca="1">((100/H63)*E72)/100</f>
        <v>0</v>
      </c>
      <c r="G72" s="208"/>
      <c r="H72" s="209"/>
      <c r="I72" s="1" t="s">
        <v>78</v>
      </c>
      <c r="J72" s="50">
        <f>(IF(E63&gt;3,(H63/(E63+2)+J71),0))</f>
        <v>0</v>
      </c>
    </row>
    <row r="73" spans="1:10" ht="15.75" customHeight="1" x14ac:dyDescent="0.2">
      <c r="A73" s="120" t="s">
        <v>79</v>
      </c>
      <c r="B73" s="121"/>
      <c r="C73" s="117">
        <v>0.05</v>
      </c>
      <c r="D73" s="117"/>
      <c r="E73" s="72">
        <v>0</v>
      </c>
      <c r="F73" s="47">
        <f ca="1">((100/H63)*E73)/100</f>
        <v>0</v>
      </c>
      <c r="G73" s="208"/>
      <c r="H73" s="209"/>
      <c r="I73" s="1" t="s">
        <v>80</v>
      </c>
      <c r="J73" s="49">
        <f>(IF(E63&gt;4,(H63/(E63+2)+J72),0))</f>
        <v>0</v>
      </c>
    </row>
    <row r="74" spans="1:10" x14ac:dyDescent="0.2">
      <c r="A74" s="120" t="s">
        <v>81</v>
      </c>
      <c r="B74" s="121"/>
      <c r="C74" s="117">
        <v>0.05</v>
      </c>
      <c r="D74" s="117"/>
      <c r="E74" s="72">
        <v>0</v>
      </c>
      <c r="F74" s="47">
        <f ca="1">((100/(H63))*E74)/100</f>
        <v>0</v>
      </c>
      <c r="G74" s="208"/>
      <c r="H74" s="209"/>
      <c r="I74" s="1" t="s">
        <v>82</v>
      </c>
      <c r="J74" s="49">
        <f ca="1">(IF(E63=1,(H63/(E63+3)+J69),IF(E63=0,(H63/4+J69),IF(E63&gt;1,0))))</f>
        <v>0.75</v>
      </c>
    </row>
    <row r="75" spans="1:10" ht="13.5" thickBot="1" x14ac:dyDescent="0.25">
      <c r="A75" s="182" t="s">
        <v>83</v>
      </c>
      <c r="B75" s="183"/>
      <c r="C75" s="124">
        <v>0.05</v>
      </c>
      <c r="D75" s="124"/>
      <c r="E75" s="74">
        <v>0</v>
      </c>
      <c r="F75" s="51">
        <f ca="1">((100/(H63))*E75)/100</f>
        <v>0</v>
      </c>
      <c r="G75" s="210"/>
      <c r="H75" s="211"/>
      <c r="I75" s="52" t="s">
        <v>84</v>
      </c>
      <c r="J75" s="53">
        <f ca="1">(IF(E63&gt;1.5,(H63/(E63+2)+J69+MAX(0,J70-J69)+MAX(0,J71-J70)+MAX(0,J72-J71)+MAX(0,J73-J72)+MAX(0,J74-J73)),IF(E63=1,(H63/(E63+3)+J74),IF(E63=0,H63/4+J74))))</f>
        <v>1</v>
      </c>
    </row>
    <row r="76" spans="1:10" ht="26.25" customHeight="1" x14ac:dyDescent="0.2">
      <c r="A76" s="236" t="s">
        <v>280</v>
      </c>
      <c r="B76" s="237"/>
      <c r="C76" s="237"/>
      <c r="D76" s="238"/>
      <c r="E76" s="37" t="s">
        <v>58</v>
      </c>
      <c r="F76" s="37" t="s">
        <v>59</v>
      </c>
      <c r="G76" s="37" t="s">
        <v>60</v>
      </c>
      <c r="H76" s="38" t="s">
        <v>46</v>
      </c>
      <c r="I76" s="39" t="str">
        <f ca="1">(IF(G80&gt;99%,"All work completed. Please provide OC.",IF(G80&gt;89.8%,"Plinth, RCC, Brick, Plaster, Flooring, Painting work Completed. Finishing work is in process.",IF(G80&lt;94%,(IF(E80=0,"Work not yet Started.",IF(F80=25%,"Piling work in process",IF(F80=50%,"Excavation work in process",IF(F80=100%,"Excavation work Completed. ","0")))&amp;(IF(E81=0%,"",IF(E81=J82,"Footing work is process",IF(E81=J83,"Footing work Completed",IF(E81=J84,"1st Basement Completed",IF(E81=J85,"1st &amp; 2nd Basement Completed",IF(E81=J86,"1st to 3rd Basement Completed",IF(E81=J87,"1st to 4th Basement Completed",IF(E81=J88,"Plinth work is process",IF(E81=J89,"Plinth work completed","0")))))))))))&amp;(IF(E82=(F77+G77+H77),", RCC Slab",IF(E82&gt;0,", RCC upto "&amp;E82&amp;" Slab",""))&amp;(IF(E83=H77,", Brickwork",IF(E83&gt;0,", Brickwork upto "&amp;E83&amp;" Floor",""))&amp;(IF(E84=H77,", Internal Plaster",IF(E84&gt;0,", Internal Plaster upto "&amp;E84&amp;" Floor",""))&amp;(IF(E85=H77,", External Plaster",IF(E85&gt;0,", External Plaster upto "&amp;E85&amp;" Floor",""))&amp;(IF(E86=H77,", Flooring",IF(E86&gt;0,", Flooring upto "&amp;E86&amp;" Floor",""))&amp;(IF(E87=H77,", Painting",IF(E87&gt;0,", Painting upto "&amp;E87&amp;" Floor",""))&amp;(IF(E88&gt;0,", Finishing upto "&amp;E88&amp;" Floor","")&amp;(IF(E82&gt;0.5," Completed",""))))))))))))))</f>
        <v>Excavation work Completed. Plinth work completed</v>
      </c>
      <c r="J76" s="40"/>
    </row>
    <row r="77" spans="1:10" x14ac:dyDescent="0.2">
      <c r="A77" s="239"/>
      <c r="B77" s="240"/>
      <c r="C77" s="240"/>
      <c r="D77" s="241"/>
      <c r="E77" s="41">
        <v>0</v>
      </c>
      <c r="F77" s="41">
        <v>1</v>
      </c>
      <c r="G77" s="41">
        <v>0</v>
      </c>
      <c r="H77" s="42">
        <f ca="1">--TRIM(RIGHT(SUBSTITUTE(LEFT(A76,_xlfn.AGGREGATE(16,6,FIND({0,1,2,3,4,5,6,7,8,9},A76,ROW(INDIRECT("1:"&amp;LEN(A76)))),1))," ",REPT(" ",LEN(A76))),LEN(A76)))</f>
        <v>7</v>
      </c>
      <c r="I77" s="43"/>
      <c r="J77" s="44"/>
    </row>
    <row r="78" spans="1:10" ht="15" customHeight="1" x14ac:dyDescent="0.2">
      <c r="A78" s="56" t="s">
        <v>137</v>
      </c>
      <c r="B78" s="55"/>
      <c r="C78" s="118" t="str">
        <f ca="1">I76</f>
        <v>Excavation work Completed. Plinth work completed</v>
      </c>
      <c r="D78" s="118"/>
      <c r="E78" s="118"/>
      <c r="F78" s="118"/>
      <c r="G78" s="118"/>
      <c r="H78" s="119"/>
      <c r="I78" s="43" t="s">
        <v>138</v>
      </c>
      <c r="J78" s="44"/>
    </row>
    <row r="79" spans="1:10" ht="15" customHeight="1" x14ac:dyDescent="0.2">
      <c r="A79" s="120" t="s">
        <v>61</v>
      </c>
      <c r="B79" s="121"/>
      <c r="C79" s="116" t="s">
        <v>139</v>
      </c>
      <c r="D79" s="116"/>
      <c r="E79" s="45" t="s">
        <v>62</v>
      </c>
      <c r="F79" s="45" t="s">
        <v>63</v>
      </c>
      <c r="G79" s="206" t="s">
        <v>56</v>
      </c>
      <c r="H79" s="207"/>
      <c r="I79" s="1" t="s">
        <v>64</v>
      </c>
      <c r="J79" s="46">
        <f ca="1">H77*25%</f>
        <v>1.75</v>
      </c>
    </row>
    <row r="80" spans="1:10" ht="15" customHeight="1" x14ac:dyDescent="0.2">
      <c r="A80" s="120" t="s">
        <v>65</v>
      </c>
      <c r="B80" s="121"/>
      <c r="C80" s="117">
        <v>0</v>
      </c>
      <c r="D80" s="117"/>
      <c r="E80" s="72">
        <f ca="1">J81</f>
        <v>7</v>
      </c>
      <c r="F80" s="47">
        <f ca="1">((100/H77)*E80)/100</f>
        <v>1</v>
      </c>
      <c r="G80" s="208">
        <f ca="1">(((E81/H77*10)+(40/(F77+G77+H77)*E82)+(15/(H77)*E83)+(5/(H77)*E84)+(5/H77*E85)+(10/H77*E86)+(5/H77*E87)+(5/H77*E88)+(5/H77*E89))/100)</f>
        <v>0.1</v>
      </c>
      <c r="H80" s="209"/>
      <c r="I80" s="1" t="s">
        <v>66</v>
      </c>
      <c r="J80" s="48">
        <f ca="1">H77*50%</f>
        <v>3.5</v>
      </c>
    </row>
    <row r="81" spans="1:10" ht="15" customHeight="1" x14ac:dyDescent="0.2">
      <c r="A81" s="120" t="s">
        <v>67</v>
      </c>
      <c r="B81" s="121"/>
      <c r="C81" s="117">
        <v>0.1</v>
      </c>
      <c r="D81" s="117"/>
      <c r="E81" s="73">
        <f ca="1">J89</f>
        <v>7</v>
      </c>
      <c r="F81" s="47">
        <f ca="1">((100/H77)*E81)/100</f>
        <v>1</v>
      </c>
      <c r="G81" s="208"/>
      <c r="H81" s="209"/>
      <c r="I81" s="1" t="s">
        <v>68</v>
      </c>
      <c r="J81" s="48">
        <f ca="1">H77</f>
        <v>7</v>
      </c>
    </row>
    <row r="82" spans="1:10" ht="15" customHeight="1" x14ac:dyDescent="0.2">
      <c r="A82" s="120" t="s">
        <v>69</v>
      </c>
      <c r="B82" s="121"/>
      <c r="C82" s="117">
        <v>0.4</v>
      </c>
      <c r="D82" s="117"/>
      <c r="E82" s="73">
        <v>0</v>
      </c>
      <c r="F82" s="47">
        <f ca="1">((100/(F77+G77+H77))*E82)/100</f>
        <v>0</v>
      </c>
      <c r="G82" s="208"/>
      <c r="H82" s="209"/>
      <c r="I82" s="1" t="s">
        <v>70</v>
      </c>
      <c r="J82" s="49">
        <f ca="1">(IF(E77&gt;1,(H77/(E77+2)),H77/4))</f>
        <v>1.75</v>
      </c>
    </row>
    <row r="83" spans="1:10" ht="15" customHeight="1" x14ac:dyDescent="0.2">
      <c r="A83" s="120" t="s">
        <v>71</v>
      </c>
      <c r="B83" s="121"/>
      <c r="C83" s="117">
        <v>0.15</v>
      </c>
      <c r="D83" s="117"/>
      <c r="E83" s="72">
        <v>0</v>
      </c>
      <c r="F83" s="47">
        <f ca="1">((100/H77)*E83)/100</f>
        <v>0</v>
      </c>
      <c r="G83" s="208"/>
      <c r="H83" s="209"/>
      <c r="I83" s="1" t="s">
        <v>72</v>
      </c>
      <c r="J83" s="49">
        <f ca="1">(IF(E77&gt;1,(H77/(E77+2)+J82),H77/4+J82))</f>
        <v>3.5</v>
      </c>
    </row>
    <row r="84" spans="1:10" ht="15" customHeight="1" x14ac:dyDescent="0.2">
      <c r="A84" s="120" t="s">
        <v>73</v>
      </c>
      <c r="B84" s="121"/>
      <c r="C84" s="117">
        <v>0.05</v>
      </c>
      <c r="D84" s="117"/>
      <c r="E84" s="72">
        <v>0</v>
      </c>
      <c r="F84" s="47">
        <f ca="1">((100/H77)*E84)/100</f>
        <v>0</v>
      </c>
      <c r="G84" s="208"/>
      <c r="H84" s="209"/>
      <c r="I84" s="1" t="s">
        <v>74</v>
      </c>
      <c r="J84" s="49">
        <f>(IF(E77&gt;1,(H77/(E77+2)+J83),0))</f>
        <v>0</v>
      </c>
    </row>
    <row r="85" spans="1:10" ht="15" customHeight="1" x14ac:dyDescent="0.2">
      <c r="A85" s="120" t="s">
        <v>75</v>
      </c>
      <c r="B85" s="121"/>
      <c r="C85" s="117">
        <v>0.05</v>
      </c>
      <c r="D85" s="117"/>
      <c r="E85" s="72">
        <v>0</v>
      </c>
      <c r="F85" s="47">
        <f ca="1">((100/(H77))*E85)/100</f>
        <v>0</v>
      </c>
      <c r="G85" s="208"/>
      <c r="H85" s="209"/>
      <c r="I85" s="1" t="s">
        <v>76</v>
      </c>
      <c r="J85" s="49">
        <f>(IF(E77&gt;2,(H77/(E77+2)+J84),0))</f>
        <v>0</v>
      </c>
    </row>
    <row r="86" spans="1:10" ht="15" customHeight="1" x14ac:dyDescent="0.2">
      <c r="A86" s="120" t="s">
        <v>77</v>
      </c>
      <c r="B86" s="121"/>
      <c r="C86" s="117">
        <v>0.1</v>
      </c>
      <c r="D86" s="117"/>
      <c r="E86" s="72">
        <v>0</v>
      </c>
      <c r="F86" s="47">
        <f ca="1">((100/H77)*E86)/100</f>
        <v>0</v>
      </c>
      <c r="G86" s="208"/>
      <c r="H86" s="209"/>
      <c r="I86" s="1" t="s">
        <v>78</v>
      </c>
      <c r="J86" s="50">
        <f>(IF(E77&gt;3,(H77/(E77+2)+J85),0))</f>
        <v>0</v>
      </c>
    </row>
    <row r="87" spans="1:10" ht="15.75" customHeight="1" x14ac:dyDescent="0.2">
      <c r="A87" s="120" t="s">
        <v>79</v>
      </c>
      <c r="B87" s="121"/>
      <c r="C87" s="117">
        <v>0.05</v>
      </c>
      <c r="D87" s="117"/>
      <c r="E87" s="72">
        <v>0</v>
      </c>
      <c r="F87" s="47">
        <f ca="1">((100/H77)*E87)/100</f>
        <v>0</v>
      </c>
      <c r="G87" s="208"/>
      <c r="H87" s="209"/>
      <c r="I87" s="1" t="s">
        <v>80</v>
      </c>
      <c r="J87" s="49">
        <f>(IF(E77&gt;4,(H77/(E77+2)+J86),0))</f>
        <v>0</v>
      </c>
    </row>
    <row r="88" spans="1:10" x14ac:dyDescent="0.2">
      <c r="A88" s="120" t="s">
        <v>81</v>
      </c>
      <c r="B88" s="121"/>
      <c r="C88" s="117">
        <v>0.05</v>
      </c>
      <c r="D88" s="117"/>
      <c r="E88" s="72">
        <v>0</v>
      </c>
      <c r="F88" s="47">
        <f ca="1">((100/(H77))*E88)/100</f>
        <v>0</v>
      </c>
      <c r="G88" s="208"/>
      <c r="H88" s="209"/>
      <c r="I88" s="1" t="s">
        <v>82</v>
      </c>
      <c r="J88" s="49">
        <f ca="1">(IF(E77=1,(H77/(E77+3)+J83),IF(E77=0,(H77/4+J83),IF(E77&gt;1,0))))</f>
        <v>5.25</v>
      </c>
    </row>
    <row r="89" spans="1:10" ht="13.5" thickBot="1" x14ac:dyDescent="0.25">
      <c r="A89" s="182" t="s">
        <v>83</v>
      </c>
      <c r="B89" s="183"/>
      <c r="C89" s="124">
        <v>0.05</v>
      </c>
      <c r="D89" s="124"/>
      <c r="E89" s="74">
        <v>0</v>
      </c>
      <c r="F89" s="51">
        <f ca="1">((100/(H77))*E89)/100</f>
        <v>0</v>
      </c>
      <c r="G89" s="210"/>
      <c r="H89" s="211"/>
      <c r="I89" s="52" t="s">
        <v>84</v>
      </c>
      <c r="J89" s="53">
        <f ca="1">(IF(E77&gt;1.5,(H77/(E77+2)+J83+MAX(0,J84-J83)+MAX(0,J85-J84)+MAX(0,J86-J85)+MAX(0,J87-J86)+MAX(0,J88-J87)),IF(E77=1,(H77/(E77+3)+J88),IF(E77=0,H77/4+J88))))</f>
        <v>7</v>
      </c>
    </row>
    <row r="90" spans="1:10" ht="26.25" customHeight="1" x14ac:dyDescent="0.2">
      <c r="A90" s="236" t="s">
        <v>279</v>
      </c>
      <c r="B90" s="237"/>
      <c r="C90" s="237"/>
      <c r="D90" s="238"/>
      <c r="E90" s="37" t="s">
        <v>58</v>
      </c>
      <c r="F90" s="37" t="s">
        <v>59</v>
      </c>
      <c r="G90" s="37" t="s">
        <v>60</v>
      </c>
      <c r="H90" s="38" t="s">
        <v>46</v>
      </c>
      <c r="I90" s="39" t="str">
        <f ca="1">(IF(G94&gt;99%,"All work completed. Please provide OC.",IF(G94&gt;89.8%,"Plinth, RCC, Brick, Plaster, Flooring, Painting work Completed. Finishing work is in process.",IF(G94&lt;94%,(IF(E94=0,"Work not yet Started.",IF(F94=25%,"Piling work in process",IF(F94=50%,"Excavation work in process",IF(F94=100%,"Excavation work Completed. ","0")))&amp;(IF(E95=0%,"",IF(E95=J96,"Footing work is process",IF(E95=J97,"Footing work Completed",IF(E95=J98,"1st Basement Completed",IF(E95=J99,"1st &amp; 2nd Basement Completed",IF(E95=J100,"1st to 3rd Basement Completed",IF(E95=J101,"1st to 4th Basement Completed",IF(E95=J102,"Plinth work is process",IF(E95=J103,"Plinth work completed","0")))))))))))&amp;(IF(E96=(F91+G91+H91),", RCC Slab",IF(E96&gt;0,", RCC upto "&amp;E96&amp;" Slab",""))&amp;(IF(E97=H91,", Brickwork",IF(E97&gt;0,", Brickwork upto "&amp;E97&amp;" Floor",""))&amp;(IF(E98=H91,", Internal Plaster",IF(E98&gt;0,", Internal Plaster upto "&amp;E98&amp;" Floor",""))&amp;(IF(E99=H91,", External Plaster",IF(E99&gt;0,", External Plaster upto "&amp;E99&amp;" Floor",""))&amp;(IF(E100=H91,", Flooring",IF(E100&gt;0,", Flooring upto "&amp;E100&amp;" Floor",""))&amp;(IF(E101=H91,", Painting",IF(E101&gt;0,", Painting upto "&amp;E101&amp;" Floor",""))&amp;(IF(E102&gt;0,", Finishing upto "&amp;E102&amp;" Floor","")&amp;(IF(E96&gt;0.5," Completed",""))))))))))))))</f>
        <v>Excavation work Completed. Plinth work completed</v>
      </c>
      <c r="J90" s="40"/>
    </row>
    <row r="91" spans="1:10" x14ac:dyDescent="0.2">
      <c r="A91" s="239"/>
      <c r="B91" s="240"/>
      <c r="C91" s="240"/>
      <c r="D91" s="241"/>
      <c r="E91" s="41">
        <v>0</v>
      </c>
      <c r="F91" s="41">
        <v>1</v>
      </c>
      <c r="G91" s="41">
        <v>0</v>
      </c>
      <c r="H91" s="42">
        <f ca="1">--TRIM(RIGHT(SUBSTITUTE(LEFT(A90,_xlfn.AGGREGATE(16,6,FIND({0,1,2,3,4,5,6,7,8,9},A90,ROW(INDIRECT("1:"&amp;LEN(A90)))),1))," ",REPT(" ",LEN(A90))),LEN(A90)))</f>
        <v>7</v>
      </c>
      <c r="I91" s="43"/>
      <c r="J91" s="44"/>
    </row>
    <row r="92" spans="1:10" ht="15" customHeight="1" x14ac:dyDescent="0.2">
      <c r="A92" s="56" t="s">
        <v>137</v>
      </c>
      <c r="B92" s="55"/>
      <c r="C92" s="118" t="str">
        <f ca="1">I90</f>
        <v>Excavation work Completed. Plinth work completed</v>
      </c>
      <c r="D92" s="118"/>
      <c r="E92" s="118"/>
      <c r="F92" s="118"/>
      <c r="G92" s="118"/>
      <c r="H92" s="119"/>
      <c r="I92" s="43" t="s">
        <v>138</v>
      </c>
      <c r="J92" s="44"/>
    </row>
    <row r="93" spans="1:10" ht="15" customHeight="1" x14ac:dyDescent="0.2">
      <c r="A93" s="120" t="s">
        <v>61</v>
      </c>
      <c r="B93" s="121"/>
      <c r="C93" s="116" t="s">
        <v>139</v>
      </c>
      <c r="D93" s="116"/>
      <c r="E93" s="45" t="s">
        <v>62</v>
      </c>
      <c r="F93" s="45" t="s">
        <v>63</v>
      </c>
      <c r="G93" s="206" t="s">
        <v>56</v>
      </c>
      <c r="H93" s="207"/>
      <c r="I93" s="1" t="s">
        <v>64</v>
      </c>
      <c r="J93" s="46">
        <f ca="1">H91*25%</f>
        <v>1.75</v>
      </c>
    </row>
    <row r="94" spans="1:10" ht="15" customHeight="1" x14ac:dyDescent="0.2">
      <c r="A94" s="120" t="s">
        <v>65</v>
      </c>
      <c r="B94" s="121"/>
      <c r="C94" s="117">
        <v>0</v>
      </c>
      <c r="D94" s="117"/>
      <c r="E94" s="73">
        <f ca="1">J103</f>
        <v>7</v>
      </c>
      <c r="F94" s="47">
        <f ca="1">((100/H91)*E94)/100</f>
        <v>1</v>
      </c>
      <c r="G94" s="208">
        <f ca="1">(((E95/H91*10)+(40/(F91+G91+H91)*E96)+(15/(H91)*E97)+(5/(H91)*E98)+(5/H91*E99)+(10/H91*E100)+(5/H91*E101)+(5/H91*E102)+(5/H91*E103))/100)</f>
        <v>0.1</v>
      </c>
      <c r="H94" s="209"/>
      <c r="I94" s="1" t="s">
        <v>66</v>
      </c>
      <c r="J94" s="48">
        <f ca="1">H91*50%</f>
        <v>3.5</v>
      </c>
    </row>
    <row r="95" spans="1:10" ht="15" customHeight="1" x14ac:dyDescent="0.2">
      <c r="A95" s="120" t="s">
        <v>67</v>
      </c>
      <c r="B95" s="121"/>
      <c r="C95" s="117">
        <v>0.1</v>
      </c>
      <c r="D95" s="117"/>
      <c r="E95" s="73">
        <f ca="1">J103</f>
        <v>7</v>
      </c>
      <c r="F95" s="47">
        <f ca="1">((100/H91)*E95)/100</f>
        <v>1</v>
      </c>
      <c r="G95" s="208"/>
      <c r="H95" s="209"/>
      <c r="I95" s="1" t="s">
        <v>68</v>
      </c>
      <c r="J95" s="48">
        <f ca="1">H91</f>
        <v>7</v>
      </c>
    </row>
    <row r="96" spans="1:10" ht="15" customHeight="1" x14ac:dyDescent="0.2">
      <c r="A96" s="120" t="s">
        <v>69</v>
      </c>
      <c r="B96" s="121"/>
      <c r="C96" s="117">
        <v>0.4</v>
      </c>
      <c r="D96" s="117"/>
      <c r="E96" s="73">
        <v>0</v>
      </c>
      <c r="F96" s="47">
        <f ca="1">((100/(F91+G91+H91))*E96)/100</f>
        <v>0</v>
      </c>
      <c r="G96" s="208"/>
      <c r="H96" s="209"/>
      <c r="I96" s="1" t="s">
        <v>70</v>
      </c>
      <c r="J96" s="49">
        <f ca="1">(IF(E91&gt;1,(H91/(E91+2)),H91/4))</f>
        <v>1.75</v>
      </c>
    </row>
    <row r="97" spans="1:10" ht="15" customHeight="1" x14ac:dyDescent="0.2">
      <c r="A97" s="120" t="s">
        <v>71</v>
      </c>
      <c r="B97" s="121"/>
      <c r="C97" s="117">
        <v>0.15</v>
      </c>
      <c r="D97" s="117"/>
      <c r="E97" s="72">
        <v>0</v>
      </c>
      <c r="F97" s="47">
        <f ca="1">((100/H91)*E97)/100</f>
        <v>0</v>
      </c>
      <c r="G97" s="208"/>
      <c r="H97" s="209"/>
      <c r="I97" s="1" t="s">
        <v>72</v>
      </c>
      <c r="J97" s="49">
        <f ca="1">(IF(E91&gt;1,(H91/(E91+2)+J96),H91/4+J96))</f>
        <v>3.5</v>
      </c>
    </row>
    <row r="98" spans="1:10" ht="15" customHeight="1" x14ac:dyDescent="0.2">
      <c r="A98" s="120" t="s">
        <v>73</v>
      </c>
      <c r="B98" s="121"/>
      <c r="C98" s="117">
        <v>0.05</v>
      </c>
      <c r="D98" s="117"/>
      <c r="E98" s="72">
        <v>0</v>
      </c>
      <c r="F98" s="47">
        <f ca="1">((100/H91)*E98)/100</f>
        <v>0</v>
      </c>
      <c r="G98" s="208"/>
      <c r="H98" s="209"/>
      <c r="I98" s="1" t="s">
        <v>74</v>
      </c>
      <c r="J98" s="49">
        <f>(IF(E91&gt;1,(H91/(E91+2)+J97),0))</f>
        <v>0</v>
      </c>
    </row>
    <row r="99" spans="1:10" ht="15" customHeight="1" x14ac:dyDescent="0.2">
      <c r="A99" s="120" t="s">
        <v>75</v>
      </c>
      <c r="B99" s="121"/>
      <c r="C99" s="117">
        <v>0.05</v>
      </c>
      <c r="D99" s="117"/>
      <c r="E99" s="72">
        <v>0</v>
      </c>
      <c r="F99" s="47">
        <f ca="1">((100/(H91))*E99)/100</f>
        <v>0</v>
      </c>
      <c r="G99" s="208"/>
      <c r="H99" s="209"/>
      <c r="I99" s="1" t="s">
        <v>76</v>
      </c>
      <c r="J99" s="49">
        <f>(IF(E91&gt;2,(H91/(E91+2)+J98),0))</f>
        <v>0</v>
      </c>
    </row>
    <row r="100" spans="1:10" ht="15" customHeight="1" x14ac:dyDescent="0.2">
      <c r="A100" s="120" t="s">
        <v>77</v>
      </c>
      <c r="B100" s="121"/>
      <c r="C100" s="117">
        <v>0.1</v>
      </c>
      <c r="D100" s="117"/>
      <c r="E100" s="72">
        <v>0</v>
      </c>
      <c r="F100" s="47">
        <f ca="1">((100/H91)*E100)/100</f>
        <v>0</v>
      </c>
      <c r="G100" s="208"/>
      <c r="H100" s="209"/>
      <c r="I100" s="1" t="s">
        <v>78</v>
      </c>
      <c r="J100" s="50">
        <f>(IF(E91&gt;3,(H91/(E91+2)+J99),0))</f>
        <v>0</v>
      </c>
    </row>
    <row r="101" spans="1:10" ht="15.75" customHeight="1" x14ac:dyDescent="0.2">
      <c r="A101" s="120" t="s">
        <v>79</v>
      </c>
      <c r="B101" s="121"/>
      <c r="C101" s="117">
        <v>0.05</v>
      </c>
      <c r="D101" s="117"/>
      <c r="E101" s="72">
        <v>0</v>
      </c>
      <c r="F101" s="47">
        <f ca="1">((100/H91)*E101)/100</f>
        <v>0</v>
      </c>
      <c r="G101" s="208"/>
      <c r="H101" s="209"/>
      <c r="I101" s="1" t="s">
        <v>80</v>
      </c>
      <c r="J101" s="49">
        <f>(IF(E91&gt;4,(H91/(E91+2)+J100),0))</f>
        <v>0</v>
      </c>
    </row>
    <row r="102" spans="1:10" x14ac:dyDescent="0.2">
      <c r="A102" s="120" t="s">
        <v>81</v>
      </c>
      <c r="B102" s="121"/>
      <c r="C102" s="117">
        <v>0.05</v>
      </c>
      <c r="D102" s="117"/>
      <c r="E102" s="72">
        <v>0</v>
      </c>
      <c r="F102" s="47">
        <f ca="1">((100/(H91))*E102)/100</f>
        <v>0</v>
      </c>
      <c r="G102" s="208"/>
      <c r="H102" s="209"/>
      <c r="I102" s="1" t="s">
        <v>82</v>
      </c>
      <c r="J102" s="49">
        <f ca="1">(IF(E91=1,(H91/(E91+3)+J97),IF(E91=0,(H91/4+J97),IF(E91&gt;1,0))))</f>
        <v>5.25</v>
      </c>
    </row>
    <row r="103" spans="1:10" ht="13.5" thickBot="1" x14ac:dyDescent="0.25">
      <c r="A103" s="245" t="s">
        <v>83</v>
      </c>
      <c r="B103" s="246"/>
      <c r="C103" s="247">
        <v>0.05</v>
      </c>
      <c r="D103" s="247"/>
      <c r="E103" s="75">
        <v>0</v>
      </c>
      <c r="F103" s="76">
        <f ca="1">((100/(H91))*E103)/100</f>
        <v>0</v>
      </c>
      <c r="G103" s="248"/>
      <c r="H103" s="249"/>
      <c r="I103" s="52" t="s">
        <v>84</v>
      </c>
      <c r="J103" s="53">
        <f ca="1">(IF(E91&gt;1.5,(H91/(E91+2)+J97+MAX(0,J98-J97)+MAX(0,J99-J98)+MAX(0,J100-J99)+MAX(0,J101-J100)+MAX(0,J102-J101)),IF(E91=1,(H91/(E91+3)+J102),IF(E91=0,H91/4+J102))))</f>
        <v>7</v>
      </c>
    </row>
    <row r="104" spans="1:10" x14ac:dyDescent="0.2">
      <c r="A104" s="82" t="s">
        <v>25</v>
      </c>
      <c r="B104" s="82"/>
      <c r="C104" s="78" t="s">
        <v>113</v>
      </c>
      <c r="D104" s="78"/>
      <c r="E104" s="78"/>
      <c r="F104" s="78"/>
      <c r="G104" s="78"/>
      <c r="H104" s="78"/>
    </row>
    <row r="105" spans="1:10" x14ac:dyDescent="0.2">
      <c r="A105" s="82" t="s">
        <v>26</v>
      </c>
      <c r="B105" s="82"/>
      <c r="C105" s="82"/>
      <c r="D105" s="82"/>
      <c r="E105" s="82"/>
      <c r="F105" s="82"/>
      <c r="G105" s="82"/>
      <c r="H105" s="82"/>
    </row>
    <row r="106" spans="1:10" x14ac:dyDescent="0.2">
      <c r="A106" s="184" t="s">
        <v>27</v>
      </c>
      <c r="B106" s="184"/>
      <c r="C106" s="125" t="s">
        <v>50</v>
      </c>
      <c r="D106" s="125"/>
      <c r="E106" s="212" t="s">
        <v>28</v>
      </c>
      <c r="F106" s="212"/>
      <c r="G106" s="15" t="s">
        <v>18</v>
      </c>
      <c r="H106" s="70" t="s">
        <v>51</v>
      </c>
    </row>
    <row r="107" spans="1:10" x14ac:dyDescent="0.2">
      <c r="A107" s="184" t="s">
        <v>29</v>
      </c>
      <c r="B107" s="184"/>
      <c r="C107" s="125" t="s">
        <v>49</v>
      </c>
      <c r="D107" s="125"/>
      <c r="E107" s="212" t="s">
        <v>30</v>
      </c>
      <c r="F107" s="212"/>
      <c r="G107" s="15" t="s">
        <v>18</v>
      </c>
      <c r="H107" s="70" t="s">
        <v>52</v>
      </c>
    </row>
    <row r="108" spans="1:10" x14ac:dyDescent="0.2">
      <c r="A108" s="184" t="s">
        <v>31</v>
      </c>
      <c r="B108" s="184"/>
      <c r="C108" s="125" t="s">
        <v>140</v>
      </c>
      <c r="D108" s="125"/>
      <c r="E108" s="212" t="s">
        <v>32</v>
      </c>
      <c r="F108" s="212"/>
      <c r="G108" s="15" t="s">
        <v>18</v>
      </c>
      <c r="H108" s="70" t="s">
        <v>51</v>
      </c>
    </row>
    <row r="109" spans="1:10" x14ac:dyDescent="0.2">
      <c r="A109" s="184" t="s">
        <v>33</v>
      </c>
      <c r="B109" s="184"/>
      <c r="C109" s="125" t="s">
        <v>122</v>
      </c>
      <c r="D109" s="125"/>
      <c r="E109" s="212" t="s">
        <v>34</v>
      </c>
      <c r="F109" s="212"/>
      <c r="G109" s="15" t="s">
        <v>18</v>
      </c>
      <c r="H109" s="70" t="s">
        <v>51</v>
      </c>
    </row>
    <row r="110" spans="1:10" x14ac:dyDescent="0.2">
      <c r="A110" s="184" t="s">
        <v>35</v>
      </c>
      <c r="B110" s="184"/>
      <c r="C110" s="125" t="s">
        <v>127</v>
      </c>
      <c r="D110" s="125"/>
      <c r="E110" s="212" t="s">
        <v>36</v>
      </c>
      <c r="F110" s="212"/>
      <c r="G110" s="15" t="s">
        <v>18</v>
      </c>
      <c r="H110" s="70" t="s">
        <v>52</v>
      </c>
    </row>
    <row r="111" spans="1:10" ht="38.25" customHeight="1" x14ac:dyDescent="0.2">
      <c r="A111" s="214" t="s">
        <v>37</v>
      </c>
      <c r="B111" s="215"/>
      <c r="C111" s="126" t="s">
        <v>141</v>
      </c>
      <c r="D111" s="127"/>
      <c r="E111" s="212" t="s">
        <v>38</v>
      </c>
      <c r="F111" s="212"/>
      <c r="G111" s="15" t="s">
        <v>18</v>
      </c>
      <c r="H111" s="70" t="s">
        <v>52</v>
      </c>
    </row>
    <row r="112" spans="1:10" x14ac:dyDescent="0.2">
      <c r="A112" s="214" t="s">
        <v>39</v>
      </c>
      <c r="B112" s="215"/>
      <c r="C112" s="126" t="s">
        <v>123</v>
      </c>
      <c r="D112" s="127"/>
      <c r="E112" s="212" t="s">
        <v>40</v>
      </c>
      <c r="F112" s="212"/>
      <c r="G112" s="15" t="s">
        <v>18</v>
      </c>
      <c r="H112" s="70" t="s">
        <v>52</v>
      </c>
    </row>
    <row r="113" spans="1:9" x14ac:dyDescent="0.2">
      <c r="A113" s="114" t="s">
        <v>41</v>
      </c>
      <c r="B113" s="115"/>
      <c r="C113" s="126" t="s">
        <v>126</v>
      </c>
      <c r="D113" s="127"/>
      <c r="E113" s="82" t="s">
        <v>42</v>
      </c>
      <c r="F113" s="82"/>
      <c r="G113" s="83" t="s">
        <v>52</v>
      </c>
      <c r="H113" s="83"/>
    </row>
    <row r="114" spans="1:9" ht="25.5" customHeight="1" x14ac:dyDescent="0.2">
      <c r="A114" s="114" t="s">
        <v>43</v>
      </c>
      <c r="B114" s="115"/>
      <c r="C114" s="243" t="s">
        <v>54</v>
      </c>
      <c r="D114" s="244"/>
      <c r="E114" s="82" t="s">
        <v>44</v>
      </c>
      <c r="F114" s="82"/>
      <c r="G114" s="212" t="s">
        <v>53</v>
      </c>
      <c r="H114" s="212"/>
    </row>
    <row r="115" spans="1:9" x14ac:dyDescent="0.2">
      <c r="A115" s="179" t="s">
        <v>197</v>
      </c>
      <c r="B115" s="180"/>
      <c r="C115" s="180"/>
      <c r="D115" s="180"/>
      <c r="E115" s="180"/>
      <c r="F115" s="180"/>
      <c r="G115" s="180"/>
      <c r="H115" s="181"/>
    </row>
    <row r="116" spans="1:9" x14ac:dyDescent="0.2">
      <c r="A116" s="82" t="s">
        <v>198</v>
      </c>
      <c r="B116" s="82"/>
      <c r="C116" s="114" t="s">
        <v>199</v>
      </c>
      <c r="D116" s="115"/>
      <c r="E116" s="82" t="s">
        <v>200</v>
      </c>
      <c r="F116" s="82"/>
      <c r="G116" s="82" t="s">
        <v>201</v>
      </c>
      <c r="H116" s="82"/>
    </row>
    <row r="117" spans="1:9" x14ac:dyDescent="0.2">
      <c r="A117" s="108" t="s">
        <v>251</v>
      </c>
      <c r="B117" s="108"/>
      <c r="C117" s="110">
        <f>COUNT(D132:D136)</f>
        <v>5</v>
      </c>
      <c r="D117" s="111"/>
      <c r="E117" s="110">
        <f>SUM(F132:F136)</f>
        <v>1421.1709199999998</v>
      </c>
      <c r="F117" s="111"/>
      <c r="G117" s="110">
        <f>SUM(H132:H136)</f>
        <v>2131.7563799999998</v>
      </c>
      <c r="H117" s="111"/>
    </row>
    <row r="118" spans="1:9" x14ac:dyDescent="0.2">
      <c r="A118" s="82" t="s">
        <v>202</v>
      </c>
      <c r="B118" s="82"/>
      <c r="C118" s="112">
        <f>SUM(C117)</f>
        <v>5</v>
      </c>
      <c r="D118" s="113"/>
      <c r="E118" s="122">
        <f>SUM(E117)</f>
        <v>1421.1709199999998</v>
      </c>
      <c r="F118" s="123"/>
      <c r="G118" s="122">
        <f>SUM(G117)</f>
        <v>2131.7563799999998</v>
      </c>
      <c r="H118" s="123"/>
    </row>
    <row r="119" spans="1:9" x14ac:dyDescent="0.2">
      <c r="A119" s="82" t="s">
        <v>203</v>
      </c>
      <c r="B119" s="82"/>
      <c r="C119" s="82"/>
      <c r="D119" s="82"/>
      <c r="E119" s="82"/>
      <c r="F119" s="82"/>
      <c r="G119" s="82"/>
      <c r="H119" s="82"/>
      <c r="I119" s="69"/>
    </row>
    <row r="120" spans="1:9" x14ac:dyDescent="0.2">
      <c r="A120" s="82" t="s">
        <v>198</v>
      </c>
      <c r="B120" s="82"/>
      <c r="C120" s="114" t="s">
        <v>199</v>
      </c>
      <c r="D120" s="115"/>
      <c r="E120" s="82" t="s">
        <v>200</v>
      </c>
      <c r="F120" s="82"/>
      <c r="G120" s="82" t="s">
        <v>201</v>
      </c>
      <c r="H120" s="82"/>
    </row>
    <row r="121" spans="1:9" x14ac:dyDescent="0.2">
      <c r="A121" s="108" t="s">
        <v>252</v>
      </c>
      <c r="B121" s="108"/>
      <c r="C121" s="110">
        <f>COUNT(D144:D146)+COUNT(D149:D152)+COUNT(D154:D157)*5</f>
        <v>27</v>
      </c>
      <c r="D121" s="110"/>
      <c r="E121" s="110">
        <f t="shared" ref="E121" si="0">SUM(F144:F146)+SUM(F149:F152)+SUM(F154:F157)*5</f>
        <v>12292.165079999999</v>
      </c>
      <c r="F121" s="110"/>
      <c r="G121" s="110">
        <f>SUM(H144:H146)+SUM(H149:H152)+SUM(H154:H157)*5</f>
        <v>17925.251525999996</v>
      </c>
      <c r="H121" s="110"/>
    </row>
    <row r="122" spans="1:9" x14ac:dyDescent="0.2">
      <c r="A122" s="108" t="s">
        <v>253</v>
      </c>
      <c r="B122" s="108"/>
      <c r="C122" s="110">
        <f>COUNT(D161:D164)+COUNT(D166:D169)*6</f>
        <v>28</v>
      </c>
      <c r="D122" s="110"/>
      <c r="E122" s="110">
        <f t="shared" ref="E122" si="1">SUM(F161:F164)+SUM(F166:F169)*6</f>
        <v>10071.98244</v>
      </c>
      <c r="F122" s="110"/>
      <c r="G122" s="110">
        <f>SUM(H161:H164)+SUM(H166:H169)*6</f>
        <v>14657.462585999996</v>
      </c>
      <c r="H122" s="110"/>
    </row>
    <row r="123" spans="1:9" ht="15.75" customHeight="1" x14ac:dyDescent="0.2">
      <c r="A123" s="82" t="s">
        <v>202</v>
      </c>
      <c r="B123" s="82"/>
      <c r="C123" s="112">
        <f>SUM(C121:C122)</f>
        <v>55</v>
      </c>
      <c r="D123" s="113"/>
      <c r="E123" s="122">
        <f>SUM(E121:E122)</f>
        <v>22364.147519999999</v>
      </c>
      <c r="F123" s="123"/>
      <c r="G123" s="122">
        <f>SUM(G121:G122)</f>
        <v>32582.714111999994</v>
      </c>
      <c r="H123" s="123"/>
      <c r="I123" s="69"/>
    </row>
    <row r="124" spans="1:9" x14ac:dyDescent="0.2">
      <c r="A124" s="82" t="s">
        <v>204</v>
      </c>
      <c r="B124" s="82"/>
      <c r="C124" s="114">
        <f>C118+C123</f>
        <v>60</v>
      </c>
      <c r="D124" s="115"/>
      <c r="E124" s="185">
        <f>E118+E123</f>
        <v>23785.318439999999</v>
      </c>
      <c r="F124" s="185"/>
      <c r="G124" s="185">
        <f>G118+G123</f>
        <v>34714.470491999993</v>
      </c>
      <c r="H124" s="185"/>
      <c r="I124" s="69"/>
    </row>
    <row r="125" spans="1:9" x14ac:dyDescent="0.2">
      <c r="A125" s="82" t="s">
        <v>45</v>
      </c>
      <c r="B125" s="82"/>
      <c r="C125" s="82"/>
      <c r="D125" s="82"/>
      <c r="E125" s="82"/>
      <c r="F125" s="82"/>
      <c r="G125" s="82"/>
      <c r="H125" s="82"/>
    </row>
    <row r="126" spans="1:9" x14ac:dyDescent="0.2">
      <c r="A126" s="82" t="s">
        <v>214</v>
      </c>
      <c r="B126" s="82"/>
      <c r="C126" s="82"/>
      <c r="D126" s="82"/>
      <c r="E126" s="82"/>
      <c r="F126" s="82"/>
      <c r="G126" s="82"/>
      <c r="H126" s="82"/>
    </row>
    <row r="127" spans="1:9" ht="38.25" x14ac:dyDescent="0.2">
      <c r="A127" s="105" t="s">
        <v>215</v>
      </c>
      <c r="B127" s="105" t="s">
        <v>216</v>
      </c>
      <c r="C127" s="105" t="s">
        <v>267</v>
      </c>
      <c r="D127" s="105" t="s">
        <v>209</v>
      </c>
      <c r="E127" s="105" t="s">
        <v>212</v>
      </c>
      <c r="F127" s="105" t="s">
        <v>210</v>
      </c>
      <c r="G127" s="65" t="s">
        <v>211</v>
      </c>
      <c r="H127" s="65" t="s">
        <v>142</v>
      </c>
    </row>
    <row r="128" spans="1:9" x14ac:dyDescent="0.2">
      <c r="A128" s="106"/>
      <c r="B128" s="106"/>
      <c r="C128" s="106"/>
      <c r="D128" s="106"/>
      <c r="E128" s="106"/>
      <c r="F128" s="106"/>
      <c r="G128" s="68"/>
      <c r="H128" s="67">
        <v>0.5</v>
      </c>
    </row>
    <row r="129" spans="1:9" x14ac:dyDescent="0.2">
      <c r="A129" s="95" t="s">
        <v>132</v>
      </c>
      <c r="B129" s="95"/>
      <c r="C129" s="95"/>
      <c r="D129" s="95"/>
      <c r="E129" s="95"/>
      <c r="F129" s="95"/>
      <c r="G129" s="95"/>
      <c r="H129" s="95"/>
      <c r="I129" s="63">
        <f>10.764</f>
        <v>10.763999999999999</v>
      </c>
    </row>
    <row r="130" spans="1:9" x14ac:dyDescent="0.2">
      <c r="A130" s="95" t="s">
        <v>251</v>
      </c>
      <c r="B130" s="95"/>
      <c r="C130" s="95"/>
      <c r="D130" s="95"/>
      <c r="E130" s="95"/>
      <c r="F130" s="95"/>
      <c r="G130" s="95"/>
      <c r="H130" s="95"/>
    </row>
    <row r="131" spans="1:9" x14ac:dyDescent="0.2">
      <c r="A131" s="95" t="s">
        <v>254</v>
      </c>
      <c r="B131" s="95"/>
      <c r="C131" s="95"/>
      <c r="D131" s="95"/>
      <c r="E131" s="95"/>
      <c r="F131" s="95"/>
      <c r="G131" s="95"/>
      <c r="H131" s="95"/>
    </row>
    <row r="132" spans="1:9" x14ac:dyDescent="0.2">
      <c r="A132" s="84">
        <v>1</v>
      </c>
      <c r="B132" s="85"/>
      <c r="C132" s="16" t="s">
        <v>213</v>
      </c>
      <c r="D132" s="17">
        <f>(27.9)*(10.764)</f>
        <v>300.31559999999996</v>
      </c>
      <c r="E132" s="17">
        <v>0</v>
      </c>
      <c r="F132" s="17">
        <f>D132+(IF(E132&lt;201,E132,IF(E132&lt;301,E132/2,E132/3)))</f>
        <v>300.31559999999996</v>
      </c>
      <c r="G132" s="17">
        <v>0</v>
      </c>
      <c r="H132" s="17">
        <f t="shared" ref="H132:H135" si="2">F132*(($H$128)+1)+(IF(G132&lt;101,G132,IF(G132&lt;201,G132/2,IF(G132&lt;=301,G132/3,G132/4))))</f>
        <v>450.47339999999997</v>
      </c>
    </row>
    <row r="133" spans="1:9" x14ac:dyDescent="0.2">
      <c r="A133" s="84">
        <f>A132+1</f>
        <v>2</v>
      </c>
      <c r="B133" s="85"/>
      <c r="C133" s="16" t="s">
        <v>213</v>
      </c>
      <c r="D133" s="17">
        <f>(25.41)*(10.764)</f>
        <v>273.51324</v>
      </c>
      <c r="E133" s="17">
        <v>0</v>
      </c>
      <c r="F133" s="17">
        <f t="shared" ref="F133:F135" si="3">D133+(IF(E133&lt;201,E133,IF(E133&lt;301,E133/2,E133/3)))</f>
        <v>273.51324</v>
      </c>
      <c r="G133" s="17">
        <v>0</v>
      </c>
      <c r="H133" s="17">
        <f t="shared" si="2"/>
        <v>410.26985999999999</v>
      </c>
      <c r="I133" s="6">
        <f>9.14*2.74</f>
        <v>25.043600000000005</v>
      </c>
    </row>
    <row r="134" spans="1:9" x14ac:dyDescent="0.2">
      <c r="A134" s="84">
        <f t="shared" ref="A134:A136" si="4">A133+1</f>
        <v>3</v>
      </c>
      <c r="B134" s="85"/>
      <c r="C134" s="16" t="s">
        <v>213</v>
      </c>
      <c r="D134" s="17">
        <f>(25.41)*(10.764)</f>
        <v>273.51324</v>
      </c>
      <c r="E134" s="17">
        <v>0</v>
      </c>
      <c r="F134" s="17">
        <f t="shared" si="3"/>
        <v>273.51324</v>
      </c>
      <c r="G134" s="17">
        <v>0</v>
      </c>
      <c r="H134" s="17">
        <f t="shared" si="2"/>
        <v>410.26985999999999</v>
      </c>
    </row>
    <row r="135" spans="1:9" x14ac:dyDescent="0.2">
      <c r="A135" s="84">
        <f t="shared" si="4"/>
        <v>4</v>
      </c>
      <c r="B135" s="85"/>
      <c r="C135" s="16" t="s">
        <v>213</v>
      </c>
      <c r="D135" s="17">
        <f>(25.41)*(10.764)</f>
        <v>273.51324</v>
      </c>
      <c r="E135" s="17">
        <v>0</v>
      </c>
      <c r="F135" s="17">
        <f t="shared" si="3"/>
        <v>273.51324</v>
      </c>
      <c r="G135" s="17">
        <v>0</v>
      </c>
      <c r="H135" s="17">
        <f t="shared" si="2"/>
        <v>410.26985999999999</v>
      </c>
    </row>
    <row r="136" spans="1:9" x14ac:dyDescent="0.2">
      <c r="A136" s="84">
        <f t="shared" si="4"/>
        <v>5</v>
      </c>
      <c r="B136" s="85"/>
      <c r="C136" s="16" t="s">
        <v>213</v>
      </c>
      <c r="D136" s="17">
        <f>(27.9)*(10.764)</f>
        <v>300.31559999999996</v>
      </c>
      <c r="E136" s="17">
        <v>0</v>
      </c>
      <c r="F136" s="17">
        <f t="shared" ref="F136" si="5">D136+(IF(E136&lt;201,E136,IF(E136&lt;301,E136/2,E136/3)))</f>
        <v>300.31559999999996</v>
      </c>
      <c r="G136" s="17">
        <v>0</v>
      </c>
      <c r="H136" s="17">
        <f t="shared" ref="H136" si="6">F136*(($H$128)+1)+(IF(G136&lt;101,G136,IF(G136&lt;201,G136/2,IF(G136&lt;=301,G136/3,G136/4))))</f>
        <v>450.47339999999997</v>
      </c>
    </row>
    <row r="137" spans="1:9" x14ac:dyDescent="0.2">
      <c r="A137" s="84"/>
      <c r="B137" s="109"/>
      <c r="C137" s="109"/>
      <c r="D137" s="109"/>
      <c r="E137" s="109"/>
      <c r="F137" s="109"/>
      <c r="G137" s="109"/>
      <c r="H137" s="85"/>
    </row>
    <row r="138" spans="1:9" ht="38.25" x14ac:dyDescent="0.2">
      <c r="A138" s="105" t="s">
        <v>207</v>
      </c>
      <c r="B138" s="105" t="s">
        <v>208</v>
      </c>
      <c r="C138" s="105" t="s">
        <v>267</v>
      </c>
      <c r="D138" s="105" t="s">
        <v>209</v>
      </c>
      <c r="E138" s="105" t="s">
        <v>260</v>
      </c>
      <c r="F138" s="105" t="s">
        <v>210</v>
      </c>
      <c r="G138" s="64" t="s">
        <v>211</v>
      </c>
      <c r="H138" s="65" t="s">
        <v>142</v>
      </c>
    </row>
    <row r="139" spans="1:9" x14ac:dyDescent="0.2">
      <c r="A139" s="106"/>
      <c r="B139" s="106"/>
      <c r="C139" s="106"/>
      <c r="D139" s="106"/>
      <c r="E139" s="106"/>
      <c r="F139" s="106"/>
      <c r="G139" s="66"/>
      <c r="H139" s="67">
        <v>0.45</v>
      </c>
    </row>
    <row r="140" spans="1:9" x14ac:dyDescent="0.2">
      <c r="A140" s="95" t="s">
        <v>132</v>
      </c>
      <c r="B140" s="95"/>
      <c r="C140" s="95"/>
      <c r="D140" s="95"/>
      <c r="E140" s="95"/>
      <c r="F140" s="95"/>
      <c r="G140" s="95"/>
      <c r="H140" s="107"/>
    </row>
    <row r="141" spans="1:9" x14ac:dyDescent="0.2">
      <c r="A141" s="95" t="s">
        <v>252</v>
      </c>
      <c r="B141" s="95"/>
      <c r="C141" s="95"/>
      <c r="D141" s="95"/>
      <c r="E141" s="95"/>
      <c r="F141" s="95"/>
      <c r="G141" s="95"/>
      <c r="H141" s="95"/>
    </row>
    <row r="142" spans="1:9" x14ac:dyDescent="0.2">
      <c r="A142" s="95" t="s">
        <v>255</v>
      </c>
      <c r="B142" s="95"/>
      <c r="C142" s="95"/>
      <c r="D142" s="95"/>
      <c r="E142" s="95"/>
      <c r="F142" s="95"/>
      <c r="G142" s="95"/>
      <c r="H142" s="95"/>
    </row>
    <row r="143" spans="1:9" x14ac:dyDescent="0.2">
      <c r="A143" s="95" t="s">
        <v>256</v>
      </c>
      <c r="B143" s="95"/>
      <c r="C143" s="95"/>
      <c r="D143" s="95"/>
      <c r="E143" s="95"/>
      <c r="F143" s="95"/>
      <c r="G143" s="95"/>
      <c r="H143" s="95"/>
    </row>
    <row r="144" spans="1:9" x14ac:dyDescent="0.2">
      <c r="A144" s="84">
        <v>1</v>
      </c>
      <c r="B144" s="85"/>
      <c r="C144" s="16" t="s">
        <v>55</v>
      </c>
      <c r="D144" s="17">
        <f>(32.29)*(10.764)</f>
        <v>347.56955999999997</v>
      </c>
      <c r="E144" s="17">
        <f>(2.43)*(10.764)</f>
        <v>26.15652</v>
      </c>
      <c r="F144" s="17">
        <f>D144+E144</f>
        <v>373.72607999999997</v>
      </c>
      <c r="G144" s="17">
        <v>0</v>
      </c>
      <c r="H144" s="17">
        <f>F144*(($H$139)+1)+(IF(G144&lt;101,G144,IF(G144&lt;201,G144/2,IF(G144&lt;=301,G144/3,G144/4))))</f>
        <v>541.90281599999992</v>
      </c>
      <c r="I144" s="6">
        <f>2.74*4.11+2.13*2.13+2.74*3.05+1.68*1.22+1.37*0.61+0.76*0.61+1.68*1.22+2.25*0.91</f>
        <v>31.601300000000002</v>
      </c>
    </row>
    <row r="145" spans="1:11" x14ac:dyDescent="0.2">
      <c r="A145" s="84">
        <f>A144+1</f>
        <v>2</v>
      </c>
      <c r="B145" s="85"/>
      <c r="C145" s="16" t="s">
        <v>259</v>
      </c>
      <c r="D145" s="17">
        <f>(45.93)*(10.764)</f>
        <v>494.39051999999998</v>
      </c>
      <c r="E145" s="17">
        <f>(2.74+1.97)*(10.764)</f>
        <v>50.698439999999998</v>
      </c>
      <c r="F145" s="17">
        <f t="shared" ref="F145:F146" si="7">D145+E145</f>
        <v>545.08895999999993</v>
      </c>
      <c r="G145" s="17">
        <v>0</v>
      </c>
      <c r="H145" s="17">
        <f t="shared" ref="H145:H146" si="8">F145*(($H$139)+1)+(IF(G145&lt;101,G145,IF(G145&lt;201,G145/2,IF(G145&lt;=301,G145/3,G145/4))))</f>
        <v>790.37899199999993</v>
      </c>
      <c r="I145" s="6">
        <f>2.74*4.11+2.28*2.28+2.74*3.28+3.5*2.89+1.83*1.22*2+1.98*0.9+3.6*0.91</f>
        <v>45.085200000000007</v>
      </c>
    </row>
    <row r="146" spans="1:11" x14ac:dyDescent="0.2">
      <c r="A146" s="84">
        <f t="shared" ref="A146" si="9">A145+1</f>
        <v>3</v>
      </c>
      <c r="B146" s="85"/>
      <c r="C146" s="16" t="s">
        <v>55</v>
      </c>
      <c r="D146" s="17">
        <f>(32.29)*(10.764)</f>
        <v>347.56955999999997</v>
      </c>
      <c r="E146" s="17">
        <f>0*(10.764)</f>
        <v>0</v>
      </c>
      <c r="F146" s="17">
        <f t="shared" si="7"/>
        <v>347.56955999999997</v>
      </c>
      <c r="G146" s="17">
        <f>2.74*2*10.764</f>
        <v>58.986719999999998</v>
      </c>
      <c r="H146" s="17">
        <f t="shared" si="8"/>
        <v>562.962582</v>
      </c>
    </row>
    <row r="147" spans="1:11" x14ac:dyDescent="0.2">
      <c r="A147" s="84" t="s">
        <v>257</v>
      </c>
      <c r="B147" s="85"/>
      <c r="C147" s="16" t="s">
        <v>257</v>
      </c>
      <c r="D147" s="84" t="s">
        <v>258</v>
      </c>
      <c r="E147" s="109"/>
      <c r="F147" s="109"/>
      <c r="G147" s="109"/>
      <c r="H147" s="85"/>
    </row>
    <row r="148" spans="1:11" x14ac:dyDescent="0.2">
      <c r="A148" s="95" t="s">
        <v>261</v>
      </c>
      <c r="B148" s="95"/>
      <c r="C148" s="95"/>
      <c r="D148" s="95"/>
      <c r="E148" s="95"/>
      <c r="F148" s="95"/>
      <c r="G148" s="95"/>
      <c r="H148" s="95"/>
    </row>
    <row r="149" spans="1:11" x14ac:dyDescent="0.2">
      <c r="A149" s="84">
        <v>1</v>
      </c>
      <c r="B149" s="85"/>
      <c r="C149" s="16" t="s">
        <v>55</v>
      </c>
      <c r="D149" s="17">
        <f>(32.29)*(10.764)</f>
        <v>347.56955999999997</v>
      </c>
      <c r="E149" s="17">
        <f>(2.43)*(10.764)</f>
        <v>26.15652</v>
      </c>
      <c r="F149" s="17">
        <f>D149+E149</f>
        <v>373.72607999999997</v>
      </c>
      <c r="G149" s="17">
        <f>0*(10.764)</f>
        <v>0</v>
      </c>
      <c r="H149" s="17">
        <f>F149*(($H$139)+1)+(IF(G149&lt;101,G149,IF(G149&lt;201,G149/2,IF(G149&lt;=301,G149/3,G149/4))))</f>
        <v>541.90281599999992</v>
      </c>
      <c r="J149" s="6">
        <f>1712000/H149</f>
        <v>3159.2380579177507</v>
      </c>
      <c r="K149" s="6">
        <f>4000*H149</f>
        <v>2167611.2639999995</v>
      </c>
    </row>
    <row r="150" spans="1:11" x14ac:dyDescent="0.2">
      <c r="A150" s="84">
        <f>A149+1</f>
        <v>2</v>
      </c>
      <c r="B150" s="85"/>
      <c r="C150" s="16" t="s">
        <v>259</v>
      </c>
      <c r="D150" s="17">
        <f>(45.93)*(10.764)</f>
        <v>494.39051999999998</v>
      </c>
      <c r="E150" s="17">
        <f>(2.74+1.97)*(10.764)</f>
        <v>50.698439999999998</v>
      </c>
      <c r="F150" s="17">
        <f t="shared" ref="F150:F152" si="10">D150+E150</f>
        <v>545.08895999999993</v>
      </c>
      <c r="G150" s="17">
        <f>0*(10.764)</f>
        <v>0</v>
      </c>
      <c r="H150" s="17">
        <f t="shared" ref="H150:H152" si="11">F150*(($H$139)+1)+(IF(G150&lt;101,G150,IF(G150&lt;201,G150/2,IF(G150&lt;=301,G150/3,G150/4))))</f>
        <v>790.37899199999993</v>
      </c>
      <c r="K150" s="6">
        <f t="shared" ref="K150:K152" si="12">4000*H150</f>
        <v>3161515.9679999999</v>
      </c>
    </row>
    <row r="151" spans="1:11" x14ac:dyDescent="0.2">
      <c r="A151" s="84">
        <f t="shared" ref="A151:A152" si="13">A150+1</f>
        <v>3</v>
      </c>
      <c r="B151" s="85"/>
      <c r="C151" s="16" t="s">
        <v>259</v>
      </c>
      <c r="D151" s="17">
        <f>(45.93)*(10.764)</f>
        <v>494.39051999999998</v>
      </c>
      <c r="E151" s="17">
        <f>(2.74+1.97)*(10.764)</f>
        <v>50.698439999999998</v>
      </c>
      <c r="F151" s="17">
        <f t="shared" si="10"/>
        <v>545.08895999999993</v>
      </c>
      <c r="G151" s="17">
        <f>(1.8*2.2)*(10.764)</f>
        <v>42.625440000000005</v>
      </c>
      <c r="H151" s="17">
        <f t="shared" si="11"/>
        <v>833.00443199999995</v>
      </c>
      <c r="K151" s="6">
        <f t="shared" si="12"/>
        <v>3332017.7279999997</v>
      </c>
    </row>
    <row r="152" spans="1:11" x14ac:dyDescent="0.2">
      <c r="A152" s="84">
        <f t="shared" si="13"/>
        <v>4</v>
      </c>
      <c r="B152" s="85"/>
      <c r="C152" s="16" t="s">
        <v>55</v>
      </c>
      <c r="D152" s="17">
        <f>(32.29)*(10.764)</f>
        <v>347.56955999999997</v>
      </c>
      <c r="E152" s="17">
        <f>(2.43)*(10.764)</f>
        <v>26.15652</v>
      </c>
      <c r="F152" s="17">
        <f t="shared" si="10"/>
        <v>373.72607999999997</v>
      </c>
      <c r="G152" s="17">
        <f>0*(10.764)</f>
        <v>0</v>
      </c>
      <c r="H152" s="17">
        <f t="shared" si="11"/>
        <v>541.90281599999992</v>
      </c>
      <c r="J152" s="6">
        <f>2200000/H152</f>
        <v>4059.7685323709416</v>
      </c>
      <c r="K152" s="6">
        <f t="shared" si="12"/>
        <v>2167611.2639999995</v>
      </c>
    </row>
    <row r="153" spans="1:11" x14ac:dyDescent="0.2">
      <c r="A153" s="95" t="s">
        <v>262</v>
      </c>
      <c r="B153" s="95"/>
      <c r="C153" s="95"/>
      <c r="D153" s="95"/>
      <c r="E153" s="95"/>
      <c r="F153" s="95"/>
      <c r="G153" s="95"/>
      <c r="H153" s="95"/>
    </row>
    <row r="154" spans="1:11" x14ac:dyDescent="0.2">
      <c r="A154" s="84">
        <v>1</v>
      </c>
      <c r="B154" s="85"/>
      <c r="C154" s="16" t="s">
        <v>55</v>
      </c>
      <c r="D154" s="17">
        <f>(32.29)*(10.764)</f>
        <v>347.56955999999997</v>
      </c>
      <c r="E154" s="17">
        <f>(2.43)*(10.764)</f>
        <v>26.15652</v>
      </c>
      <c r="F154" s="17">
        <f>D154+E154</f>
        <v>373.72607999999997</v>
      </c>
      <c r="G154" s="17">
        <v>0</v>
      </c>
      <c r="H154" s="17">
        <f>F154*(($H$139)+1)+(IF(G154&lt;101,G154,IF(G154&lt;201,G154/2,IF(G154&lt;=301,G154/3,G154/4))))</f>
        <v>541.90281599999992</v>
      </c>
    </row>
    <row r="155" spans="1:11" x14ac:dyDescent="0.2">
      <c r="A155" s="84">
        <f>A154+1</f>
        <v>2</v>
      </c>
      <c r="B155" s="85"/>
      <c r="C155" s="16" t="s">
        <v>259</v>
      </c>
      <c r="D155" s="17">
        <f>(45.93)*(10.764)</f>
        <v>494.39051999999998</v>
      </c>
      <c r="E155" s="17">
        <f>(2.74+1.97)*(10.764)</f>
        <v>50.698439999999998</v>
      </c>
      <c r="F155" s="17">
        <f t="shared" ref="F155:F157" si="14">D155+E155</f>
        <v>545.08895999999993</v>
      </c>
      <c r="G155" s="17">
        <v>0</v>
      </c>
      <c r="H155" s="17">
        <f t="shared" ref="H155:H157" si="15">F155*(($H$139)+1)+(IF(G155&lt;101,G155,IF(G155&lt;201,G155/2,IF(G155&lt;=301,G155/3,G155/4))))</f>
        <v>790.37899199999993</v>
      </c>
    </row>
    <row r="156" spans="1:11" x14ac:dyDescent="0.2">
      <c r="A156" s="84">
        <f t="shared" ref="A156:A157" si="16">A155+1</f>
        <v>3</v>
      </c>
      <c r="B156" s="85"/>
      <c r="C156" s="16" t="s">
        <v>259</v>
      </c>
      <c r="D156" s="17">
        <f>(45.93)*(10.764)</f>
        <v>494.39051999999998</v>
      </c>
      <c r="E156" s="17">
        <f>(2.74+1.97)*(10.764)</f>
        <v>50.698439999999998</v>
      </c>
      <c r="F156" s="17">
        <f t="shared" si="14"/>
        <v>545.08895999999993</v>
      </c>
      <c r="G156" s="17">
        <v>0</v>
      </c>
      <c r="H156" s="17">
        <f t="shared" si="15"/>
        <v>790.37899199999993</v>
      </c>
    </row>
    <row r="157" spans="1:11" x14ac:dyDescent="0.2">
      <c r="A157" s="84">
        <f t="shared" si="16"/>
        <v>4</v>
      </c>
      <c r="B157" s="85"/>
      <c r="C157" s="16" t="s">
        <v>55</v>
      </c>
      <c r="D157" s="17">
        <f>(32.29)*(10.764)</f>
        <v>347.56955999999997</v>
      </c>
      <c r="E157" s="17">
        <f>(2.43)*(10.764)</f>
        <v>26.15652</v>
      </c>
      <c r="F157" s="17">
        <f t="shared" si="14"/>
        <v>373.72607999999997</v>
      </c>
      <c r="G157" s="17">
        <v>0</v>
      </c>
      <c r="H157" s="17">
        <f t="shared" si="15"/>
        <v>541.90281599999992</v>
      </c>
    </row>
    <row r="158" spans="1:11" x14ac:dyDescent="0.2">
      <c r="A158" s="95" t="s">
        <v>253</v>
      </c>
      <c r="B158" s="95"/>
      <c r="C158" s="95"/>
      <c r="D158" s="95"/>
      <c r="E158" s="95"/>
      <c r="F158" s="95"/>
      <c r="G158" s="95"/>
      <c r="H158" s="95"/>
    </row>
    <row r="159" spans="1:11" x14ac:dyDescent="0.2">
      <c r="A159" s="95" t="s">
        <v>264</v>
      </c>
      <c r="B159" s="95"/>
      <c r="C159" s="95"/>
      <c r="D159" s="95"/>
      <c r="E159" s="95"/>
      <c r="F159" s="95"/>
      <c r="G159" s="95"/>
      <c r="H159" s="95"/>
    </row>
    <row r="160" spans="1:11" x14ac:dyDescent="0.2">
      <c r="A160" s="95" t="s">
        <v>265</v>
      </c>
      <c r="B160" s="95"/>
      <c r="C160" s="95"/>
      <c r="D160" s="95"/>
      <c r="E160" s="95"/>
      <c r="F160" s="95"/>
      <c r="G160" s="95"/>
      <c r="H160" s="95"/>
    </row>
    <row r="161" spans="1:10" x14ac:dyDescent="0.2">
      <c r="A161" s="84">
        <v>1</v>
      </c>
      <c r="B161" s="85"/>
      <c r="C161" s="16" t="s">
        <v>55</v>
      </c>
      <c r="D161" s="17">
        <f>(32.29)*(10.764)</f>
        <v>347.56955999999997</v>
      </c>
      <c r="E161" s="17">
        <f>0*(10.764)</f>
        <v>0</v>
      </c>
      <c r="F161" s="17">
        <f>D161+E161</f>
        <v>347.56955999999997</v>
      </c>
      <c r="G161" s="17">
        <f>(2.74*1.8)*(10.764)</f>
        <v>53.088048000000001</v>
      </c>
      <c r="H161" s="17">
        <f>F161*(($H$139)+1)+(IF(G161&lt;101,G161,IF(G161&lt;201,G161/2,IF(G161&lt;=301,G161/3,G161/4))))</f>
        <v>557.06390999999996</v>
      </c>
      <c r="J161" s="6">
        <f>4100*H161</f>
        <v>2283962.031</v>
      </c>
    </row>
    <row r="162" spans="1:10" x14ac:dyDescent="0.2">
      <c r="A162" s="84">
        <f>A161+1</f>
        <v>2</v>
      </c>
      <c r="B162" s="85"/>
      <c r="C162" s="16" t="s">
        <v>55</v>
      </c>
      <c r="D162" s="17">
        <f>(32.29)*(10.764)</f>
        <v>347.56955999999997</v>
      </c>
      <c r="E162" s="17">
        <f>0*(10.764)</f>
        <v>0</v>
      </c>
      <c r="F162" s="17">
        <f t="shared" ref="F162:F164" si="17">D162+E162</f>
        <v>347.56955999999997</v>
      </c>
      <c r="G162" s="17">
        <f>0*(10.764)</f>
        <v>0</v>
      </c>
      <c r="H162" s="17">
        <f t="shared" ref="H162:H164" si="18">F162*(($H$139)+1)+(IF(G162&lt;101,G162,IF(G162&lt;201,G162/2,IF(G162&lt;=301,G162/3,G162/4))))</f>
        <v>503.97586199999995</v>
      </c>
      <c r="J162" s="6">
        <f t="shared" ref="J162:J164" si="19">4100*H162</f>
        <v>2066301.0341999999</v>
      </c>
    </row>
    <row r="163" spans="1:10" x14ac:dyDescent="0.2">
      <c r="A163" s="84">
        <f t="shared" ref="A163:A164" si="20">A162+1</f>
        <v>3</v>
      </c>
      <c r="B163" s="85"/>
      <c r="C163" s="16" t="s">
        <v>55</v>
      </c>
      <c r="D163" s="17">
        <f>(32.29)*(10.764)</f>
        <v>347.56955999999997</v>
      </c>
      <c r="E163" s="17">
        <f>0*(10.764)</f>
        <v>0</v>
      </c>
      <c r="F163" s="17">
        <f t="shared" si="17"/>
        <v>347.56955999999997</v>
      </c>
      <c r="G163" s="17">
        <f>0*(10.764)</f>
        <v>0</v>
      </c>
      <c r="H163" s="17">
        <f t="shared" si="18"/>
        <v>503.97586199999995</v>
      </c>
      <c r="J163" s="6">
        <f t="shared" si="19"/>
        <v>2066301.0341999999</v>
      </c>
    </row>
    <row r="164" spans="1:10" x14ac:dyDescent="0.2">
      <c r="A164" s="84">
        <f t="shared" si="20"/>
        <v>4</v>
      </c>
      <c r="B164" s="85"/>
      <c r="C164" s="16" t="s">
        <v>55</v>
      </c>
      <c r="D164" s="17">
        <f>(32.29)*(10.764)</f>
        <v>347.56955999999997</v>
      </c>
      <c r="E164" s="17">
        <f>(2.43)*(10.764)</f>
        <v>26.15652</v>
      </c>
      <c r="F164" s="17">
        <f t="shared" si="17"/>
        <v>373.72607999999997</v>
      </c>
      <c r="G164" s="17">
        <f>0*(10.764)</f>
        <v>0</v>
      </c>
      <c r="H164" s="17">
        <f t="shared" si="18"/>
        <v>541.90281599999992</v>
      </c>
      <c r="J164" s="6">
        <f t="shared" si="19"/>
        <v>2221801.5455999998</v>
      </c>
    </row>
    <row r="165" spans="1:10" x14ac:dyDescent="0.2">
      <c r="A165" s="95" t="s">
        <v>266</v>
      </c>
      <c r="B165" s="95"/>
      <c r="C165" s="95"/>
      <c r="D165" s="95"/>
      <c r="E165" s="95"/>
      <c r="F165" s="95"/>
      <c r="G165" s="95"/>
      <c r="H165" s="95"/>
    </row>
    <row r="166" spans="1:10" x14ac:dyDescent="0.2">
      <c r="A166" s="84">
        <v>1</v>
      </c>
      <c r="B166" s="85"/>
      <c r="C166" s="16" t="s">
        <v>55</v>
      </c>
      <c r="D166" s="17">
        <f>(32.29)*(10.764)</f>
        <v>347.56955999999997</v>
      </c>
      <c r="E166" s="17">
        <f>(2.43)*(10.764)</f>
        <v>26.15652</v>
      </c>
      <c r="F166" s="17">
        <f>D166+E166</f>
        <v>373.72607999999997</v>
      </c>
      <c r="G166" s="17">
        <v>0</v>
      </c>
      <c r="H166" s="17">
        <f>F166*(($H$139)+1)+(IF(G166&lt;101,G166,IF(G166&lt;201,G166/2,IF(G166&lt;=301,G166/3,G166/4))))</f>
        <v>541.90281599999992</v>
      </c>
    </row>
    <row r="167" spans="1:10" x14ac:dyDescent="0.2">
      <c r="A167" s="84">
        <f>A166+1</f>
        <v>2</v>
      </c>
      <c r="B167" s="85"/>
      <c r="C167" s="16" t="s">
        <v>55</v>
      </c>
      <c r="D167" s="17">
        <f>(32.29)*(10.764)</f>
        <v>347.56955999999997</v>
      </c>
      <c r="E167" s="17">
        <f>0*(10.764)</f>
        <v>0</v>
      </c>
      <c r="F167" s="17">
        <f t="shared" ref="F167:F169" si="21">D167+E167</f>
        <v>347.56955999999997</v>
      </c>
      <c r="G167" s="17">
        <v>0</v>
      </c>
      <c r="H167" s="17">
        <f t="shared" ref="H167:H169" si="22">F167*(($H$139)+1)+(IF(G167&lt;101,G167,IF(G167&lt;201,G167/2,IF(G167&lt;=301,G167/3,G167/4))))</f>
        <v>503.97586199999995</v>
      </c>
    </row>
    <row r="168" spans="1:10" x14ac:dyDescent="0.2">
      <c r="A168" s="84">
        <f t="shared" ref="A168:A169" si="23">A167+1</f>
        <v>3</v>
      </c>
      <c r="B168" s="85"/>
      <c r="C168" s="16" t="s">
        <v>55</v>
      </c>
      <c r="D168" s="17">
        <f>(32.29)*(10.764)</f>
        <v>347.56955999999997</v>
      </c>
      <c r="E168" s="17">
        <f>0*(10.764)</f>
        <v>0</v>
      </c>
      <c r="F168" s="17">
        <f t="shared" si="21"/>
        <v>347.56955999999997</v>
      </c>
      <c r="G168" s="17">
        <v>0</v>
      </c>
      <c r="H168" s="17">
        <f t="shared" si="22"/>
        <v>503.97586199999995</v>
      </c>
    </row>
    <row r="169" spans="1:10" x14ac:dyDescent="0.2">
      <c r="A169" s="84">
        <f t="shared" si="23"/>
        <v>4</v>
      </c>
      <c r="B169" s="85"/>
      <c r="C169" s="16" t="s">
        <v>55</v>
      </c>
      <c r="D169" s="17">
        <f>(32.29)*(10.764)</f>
        <v>347.56955999999997</v>
      </c>
      <c r="E169" s="17">
        <f>(2.43)*(10.764)</f>
        <v>26.15652</v>
      </c>
      <c r="F169" s="17">
        <f t="shared" si="21"/>
        <v>373.72607999999997</v>
      </c>
      <c r="G169" s="17">
        <v>0</v>
      </c>
      <c r="H169" s="17">
        <f t="shared" si="22"/>
        <v>541.90281599999992</v>
      </c>
    </row>
    <row r="170" spans="1:10" ht="14.25" customHeight="1" x14ac:dyDescent="0.2">
      <c r="A170" s="82" t="s">
        <v>114</v>
      </c>
      <c r="B170" s="82"/>
      <c r="C170" s="82"/>
      <c r="D170" s="82"/>
      <c r="E170" s="82"/>
      <c r="F170" s="82"/>
      <c r="G170" s="82"/>
      <c r="H170" s="82"/>
    </row>
    <row r="171" spans="1:10" x14ac:dyDescent="0.2">
      <c r="A171" s="96" t="s">
        <v>115</v>
      </c>
      <c r="B171" s="97"/>
      <c r="C171" s="97"/>
      <c r="D171" s="97"/>
      <c r="E171" s="98"/>
      <c r="F171" s="99">
        <v>4000</v>
      </c>
      <c r="G171" s="100"/>
      <c r="H171" s="101"/>
    </row>
    <row r="172" spans="1:10" x14ac:dyDescent="0.2">
      <c r="A172" s="96" t="s">
        <v>116</v>
      </c>
      <c r="B172" s="97"/>
      <c r="C172" s="97"/>
      <c r="D172" s="97"/>
      <c r="E172" s="98"/>
      <c r="F172" s="99" t="s">
        <v>117</v>
      </c>
      <c r="G172" s="100"/>
      <c r="H172" s="101"/>
    </row>
    <row r="173" spans="1:10" x14ac:dyDescent="0.2">
      <c r="A173" s="82" t="s">
        <v>47</v>
      </c>
      <c r="B173" s="82"/>
      <c r="C173" s="82"/>
      <c r="D173" s="82"/>
      <c r="E173" s="82"/>
      <c r="F173" s="82"/>
      <c r="G173" s="82"/>
      <c r="H173" s="82"/>
    </row>
    <row r="174" spans="1:10" ht="27.95" customHeight="1" x14ac:dyDescent="0.2">
      <c r="A174" s="18">
        <v>1</v>
      </c>
      <c r="B174" s="86" t="s">
        <v>293</v>
      </c>
      <c r="C174" s="87"/>
      <c r="D174" s="87"/>
      <c r="E174" s="87"/>
      <c r="F174" s="87"/>
      <c r="G174" s="87"/>
      <c r="H174" s="88"/>
    </row>
    <row r="175" spans="1:10" x14ac:dyDescent="0.2">
      <c r="A175" s="18">
        <f t="shared" ref="A175:A183" si="24">A174+1</f>
        <v>2</v>
      </c>
      <c r="B175" s="86" t="s">
        <v>217</v>
      </c>
      <c r="C175" s="87"/>
      <c r="D175" s="87"/>
      <c r="E175" s="87"/>
      <c r="F175" s="87"/>
      <c r="G175" s="87"/>
      <c r="H175" s="88"/>
    </row>
    <row r="176" spans="1:10" x14ac:dyDescent="0.2">
      <c r="A176" s="18">
        <f t="shared" si="24"/>
        <v>3</v>
      </c>
      <c r="B176" s="86" t="s">
        <v>218</v>
      </c>
      <c r="C176" s="87"/>
      <c r="D176" s="87"/>
      <c r="E176" s="87"/>
      <c r="F176" s="87"/>
      <c r="G176" s="87"/>
      <c r="H176" s="88"/>
    </row>
    <row r="177" spans="1:8" ht="12.75" customHeight="1" x14ac:dyDescent="0.2">
      <c r="A177" s="18">
        <f t="shared" si="24"/>
        <v>4</v>
      </c>
      <c r="B177" s="86" t="s">
        <v>219</v>
      </c>
      <c r="C177" s="87"/>
      <c r="D177" s="87"/>
      <c r="E177" s="87"/>
      <c r="F177" s="87"/>
      <c r="G177" s="87"/>
      <c r="H177" s="88"/>
    </row>
    <row r="178" spans="1:8" x14ac:dyDescent="0.2">
      <c r="A178" s="18">
        <f t="shared" si="24"/>
        <v>5</v>
      </c>
      <c r="B178" s="86" t="s">
        <v>268</v>
      </c>
      <c r="C178" s="87"/>
      <c r="D178" s="87"/>
      <c r="E178" s="87"/>
      <c r="F178" s="87"/>
      <c r="G178" s="87"/>
      <c r="H178" s="88"/>
    </row>
    <row r="179" spans="1:8" x14ac:dyDescent="0.2">
      <c r="A179" s="18">
        <f t="shared" si="24"/>
        <v>6</v>
      </c>
      <c r="B179" s="86" t="s">
        <v>223</v>
      </c>
      <c r="C179" s="87"/>
      <c r="D179" s="87"/>
      <c r="E179" s="87"/>
      <c r="F179" s="71">
        <f>H139</f>
        <v>0.45</v>
      </c>
      <c r="G179" s="57"/>
      <c r="H179" s="58"/>
    </row>
    <row r="180" spans="1:8" x14ac:dyDescent="0.2">
      <c r="A180" s="18">
        <f t="shared" si="24"/>
        <v>7</v>
      </c>
      <c r="B180" s="86" t="s">
        <v>220</v>
      </c>
      <c r="C180" s="87"/>
      <c r="D180" s="87"/>
      <c r="E180" s="87"/>
      <c r="F180" s="87"/>
      <c r="G180" s="87"/>
      <c r="H180" s="88"/>
    </row>
    <row r="181" spans="1:8" ht="29.25" customHeight="1" x14ac:dyDescent="0.2">
      <c r="A181" s="18">
        <f t="shared" si="24"/>
        <v>8</v>
      </c>
      <c r="B181" s="86" t="s">
        <v>221</v>
      </c>
      <c r="C181" s="87"/>
      <c r="D181" s="87"/>
      <c r="E181" s="87"/>
      <c r="F181" s="87"/>
      <c r="G181" s="87"/>
      <c r="H181" s="88"/>
    </row>
    <row r="182" spans="1:8" ht="13.5" customHeight="1" x14ac:dyDescent="0.2">
      <c r="A182" s="18">
        <f t="shared" si="24"/>
        <v>9</v>
      </c>
      <c r="B182" s="86" t="s">
        <v>222</v>
      </c>
      <c r="C182" s="87"/>
      <c r="D182" s="87"/>
      <c r="E182" s="87"/>
      <c r="F182" s="87"/>
      <c r="G182" s="87"/>
      <c r="H182" s="88"/>
    </row>
    <row r="183" spans="1:8" ht="90.75" customHeight="1" x14ac:dyDescent="0.2">
      <c r="A183" s="18">
        <f t="shared" si="24"/>
        <v>10</v>
      </c>
      <c r="B183" s="86" t="s">
        <v>295</v>
      </c>
      <c r="C183" s="87"/>
      <c r="D183" s="87"/>
      <c r="E183" s="87"/>
      <c r="F183" s="87"/>
      <c r="G183" s="87"/>
      <c r="H183" s="88"/>
    </row>
    <row r="184" spans="1:8" ht="13.5" customHeight="1" x14ac:dyDescent="0.2">
      <c r="A184" s="79" t="s">
        <v>120</v>
      </c>
      <c r="B184" s="81"/>
      <c r="C184" s="79" t="str">
        <f>C7</f>
        <v>Fia Vatika</v>
      </c>
      <c r="D184" s="80"/>
      <c r="E184" s="80"/>
      <c r="F184" s="80"/>
      <c r="G184" s="80"/>
      <c r="H184" s="81"/>
    </row>
    <row r="185" spans="1:8" x14ac:dyDescent="0.2">
      <c r="A185" s="102"/>
      <c r="B185" s="103"/>
      <c r="C185" s="103"/>
      <c r="D185" s="103"/>
      <c r="E185" s="103"/>
      <c r="F185" s="103"/>
      <c r="G185" s="103"/>
      <c r="H185" s="104"/>
    </row>
    <row r="186" spans="1:8" x14ac:dyDescent="0.2">
      <c r="A186" s="89"/>
      <c r="B186" s="90"/>
      <c r="C186" s="90"/>
      <c r="D186" s="90"/>
      <c r="E186" s="90"/>
      <c r="F186" s="90"/>
      <c r="G186" s="90"/>
      <c r="H186" s="91"/>
    </row>
    <row r="187" spans="1:8" x14ac:dyDescent="0.2">
      <c r="A187" s="89"/>
      <c r="B187" s="90"/>
      <c r="C187" s="90"/>
      <c r="D187" s="90"/>
      <c r="E187" s="90"/>
      <c r="F187" s="90"/>
      <c r="G187" s="90"/>
      <c r="H187" s="91"/>
    </row>
    <row r="188" spans="1:8" x14ac:dyDescent="0.2">
      <c r="A188" s="89"/>
      <c r="B188" s="90"/>
      <c r="C188" s="90"/>
      <c r="D188" s="90"/>
      <c r="E188" s="90"/>
      <c r="F188" s="90"/>
      <c r="G188" s="90"/>
      <c r="H188" s="91"/>
    </row>
    <row r="189" spans="1:8" x14ac:dyDescent="0.2">
      <c r="A189" s="89"/>
      <c r="B189" s="90"/>
      <c r="C189" s="90"/>
      <c r="D189" s="90"/>
      <c r="E189" s="90"/>
      <c r="F189" s="90"/>
      <c r="G189" s="90"/>
      <c r="H189" s="91"/>
    </row>
    <row r="190" spans="1:8" x14ac:dyDescent="0.2">
      <c r="A190" s="89"/>
      <c r="B190" s="90"/>
      <c r="C190" s="90"/>
      <c r="D190" s="90"/>
      <c r="E190" s="90"/>
      <c r="F190" s="90"/>
      <c r="G190" s="90"/>
      <c r="H190" s="91"/>
    </row>
    <row r="191" spans="1:8" x14ac:dyDescent="0.2">
      <c r="A191" s="89"/>
      <c r="B191" s="90"/>
      <c r="C191" s="90"/>
      <c r="D191" s="90"/>
      <c r="E191" s="90"/>
      <c r="F191" s="90"/>
      <c r="G191" s="90"/>
      <c r="H191" s="91"/>
    </row>
    <row r="192" spans="1:8" x14ac:dyDescent="0.2">
      <c r="A192" s="89"/>
      <c r="B192" s="90"/>
      <c r="C192" s="90"/>
      <c r="D192" s="90"/>
      <c r="E192" s="90"/>
      <c r="F192" s="90"/>
      <c r="G192" s="90"/>
      <c r="H192" s="91"/>
    </row>
    <row r="193" spans="1:8" x14ac:dyDescent="0.2">
      <c r="A193" s="89"/>
      <c r="B193" s="90"/>
      <c r="C193" s="90"/>
      <c r="D193" s="90"/>
      <c r="E193" s="90"/>
      <c r="F193" s="90"/>
      <c r="G193" s="90"/>
      <c r="H193" s="91"/>
    </row>
    <row r="194" spans="1:8" x14ac:dyDescent="0.2">
      <c r="A194" s="89"/>
      <c r="B194" s="90"/>
      <c r="C194" s="90"/>
      <c r="D194" s="90"/>
      <c r="E194" s="90"/>
      <c r="F194" s="90"/>
      <c r="G194" s="90"/>
      <c r="H194" s="91"/>
    </row>
    <row r="195" spans="1:8" x14ac:dyDescent="0.2">
      <c r="A195" s="89"/>
      <c r="B195" s="90"/>
      <c r="C195" s="90"/>
      <c r="D195" s="90"/>
      <c r="E195" s="90"/>
      <c r="F195" s="90"/>
      <c r="G195" s="90"/>
      <c r="H195" s="91"/>
    </row>
    <row r="196" spans="1:8" x14ac:dyDescent="0.2">
      <c r="A196" s="89"/>
      <c r="B196" s="90"/>
      <c r="C196" s="90"/>
      <c r="D196" s="90"/>
      <c r="E196" s="90"/>
      <c r="F196" s="90"/>
      <c r="G196" s="90"/>
      <c r="H196" s="91"/>
    </row>
    <row r="197" spans="1:8" x14ac:dyDescent="0.2">
      <c r="A197" s="89"/>
      <c r="B197" s="90"/>
      <c r="C197" s="90"/>
      <c r="D197" s="90"/>
      <c r="E197" s="90"/>
      <c r="F197" s="90"/>
      <c r="G197" s="90"/>
      <c r="H197" s="91"/>
    </row>
    <row r="198" spans="1:8" x14ac:dyDescent="0.2">
      <c r="A198" s="89"/>
      <c r="B198" s="90"/>
      <c r="C198" s="90"/>
      <c r="D198" s="90"/>
      <c r="E198" s="90"/>
      <c r="F198" s="90"/>
      <c r="G198" s="90"/>
      <c r="H198" s="91"/>
    </row>
    <row r="199" spans="1:8" x14ac:dyDescent="0.2">
      <c r="A199" s="89"/>
      <c r="B199" s="90"/>
      <c r="C199" s="90"/>
      <c r="D199" s="90"/>
      <c r="E199" s="90"/>
      <c r="F199" s="90"/>
      <c r="G199" s="90"/>
      <c r="H199" s="91"/>
    </row>
    <row r="200" spans="1:8" x14ac:dyDescent="0.2">
      <c r="A200" s="89"/>
      <c r="B200" s="90"/>
      <c r="C200" s="90"/>
      <c r="D200" s="90"/>
      <c r="E200" s="90"/>
      <c r="F200" s="90"/>
      <c r="G200" s="90"/>
      <c r="H200" s="91"/>
    </row>
    <row r="201" spans="1:8" x14ac:dyDescent="0.2">
      <c r="A201" s="89"/>
      <c r="B201" s="90"/>
      <c r="C201" s="90"/>
      <c r="D201" s="90"/>
      <c r="E201" s="90"/>
      <c r="F201" s="90"/>
      <c r="G201" s="90"/>
      <c r="H201" s="91"/>
    </row>
    <row r="202" spans="1:8" x14ac:dyDescent="0.2">
      <c r="A202" s="89"/>
      <c r="B202" s="90"/>
      <c r="C202" s="90"/>
      <c r="D202" s="90"/>
      <c r="E202" s="90"/>
      <c r="F202" s="90"/>
      <c r="G202" s="90"/>
      <c r="H202" s="91"/>
    </row>
    <row r="203" spans="1:8" x14ac:dyDescent="0.2">
      <c r="A203" s="89"/>
      <c r="B203" s="90"/>
      <c r="C203" s="90"/>
      <c r="D203" s="90"/>
      <c r="E203" s="90"/>
      <c r="F203" s="90"/>
      <c r="G203" s="90"/>
      <c r="H203" s="91"/>
    </row>
    <row r="204" spans="1:8" x14ac:dyDescent="0.2">
      <c r="A204" s="89"/>
      <c r="B204" s="90"/>
      <c r="C204" s="90"/>
      <c r="D204" s="90"/>
      <c r="E204" s="90"/>
      <c r="F204" s="90"/>
      <c r="G204" s="90"/>
      <c r="H204" s="91"/>
    </row>
    <row r="205" spans="1:8" x14ac:dyDescent="0.2">
      <c r="A205" s="89"/>
      <c r="B205" s="90"/>
      <c r="C205" s="90"/>
      <c r="D205" s="90"/>
      <c r="E205" s="90"/>
      <c r="F205" s="90"/>
      <c r="G205" s="90"/>
      <c r="H205" s="91"/>
    </row>
    <row r="206" spans="1:8" x14ac:dyDescent="0.2">
      <c r="A206" s="89"/>
      <c r="B206" s="90"/>
      <c r="C206" s="90"/>
      <c r="D206" s="90"/>
      <c r="E206" s="90"/>
      <c r="F206" s="90"/>
      <c r="G206" s="90"/>
      <c r="H206" s="91"/>
    </row>
    <row r="207" spans="1:8" x14ac:dyDescent="0.2">
      <c r="A207" s="89"/>
      <c r="B207" s="90"/>
      <c r="C207" s="90"/>
      <c r="D207" s="90"/>
      <c r="E207" s="90"/>
      <c r="F207" s="90"/>
      <c r="G207" s="90"/>
      <c r="H207" s="91"/>
    </row>
    <row r="208" spans="1:8" x14ac:dyDescent="0.2">
      <c r="A208" s="89"/>
      <c r="B208" s="90"/>
      <c r="C208" s="90"/>
      <c r="D208" s="90"/>
      <c r="E208" s="90"/>
      <c r="F208" s="90"/>
      <c r="G208" s="90"/>
      <c r="H208" s="91"/>
    </row>
    <row r="209" spans="1:8" x14ac:dyDescent="0.2">
      <c r="A209" s="89"/>
      <c r="B209" s="90"/>
      <c r="C209" s="90"/>
      <c r="D209" s="90"/>
      <c r="E209" s="90"/>
      <c r="F209" s="90"/>
      <c r="G209" s="90"/>
      <c r="H209" s="91"/>
    </row>
    <row r="210" spans="1:8" x14ac:dyDescent="0.2">
      <c r="A210" s="89"/>
      <c r="B210" s="90"/>
      <c r="C210" s="90"/>
      <c r="D210" s="90"/>
      <c r="E210" s="90"/>
      <c r="F210" s="90"/>
      <c r="G210" s="90"/>
      <c r="H210" s="91"/>
    </row>
    <row r="211" spans="1:8" x14ac:dyDescent="0.2">
      <c r="A211" s="89"/>
      <c r="B211" s="90"/>
      <c r="C211" s="90"/>
      <c r="D211" s="90"/>
      <c r="E211" s="90"/>
      <c r="F211" s="90"/>
      <c r="G211" s="90"/>
      <c r="H211" s="91"/>
    </row>
    <row r="212" spans="1:8" x14ac:dyDescent="0.2">
      <c r="A212" s="89"/>
      <c r="B212" s="90"/>
      <c r="C212" s="90"/>
      <c r="D212" s="90"/>
      <c r="E212" s="90"/>
      <c r="F212" s="90"/>
      <c r="G212" s="90"/>
      <c r="H212" s="91"/>
    </row>
    <row r="213" spans="1:8" x14ac:dyDescent="0.2">
      <c r="A213" s="89"/>
      <c r="B213" s="90"/>
      <c r="C213" s="90"/>
      <c r="D213" s="90"/>
      <c r="E213" s="90"/>
      <c r="F213" s="90"/>
      <c r="G213" s="90"/>
      <c r="H213" s="91"/>
    </row>
    <row r="214" spans="1:8" x14ac:dyDescent="0.2">
      <c r="A214" s="89"/>
      <c r="B214" s="90"/>
      <c r="C214" s="90"/>
      <c r="D214" s="90"/>
      <c r="E214" s="90"/>
      <c r="F214" s="90"/>
      <c r="G214" s="90"/>
      <c r="H214" s="91"/>
    </row>
    <row r="215" spans="1:8" x14ac:dyDescent="0.2">
      <c r="A215" s="89"/>
      <c r="B215" s="90"/>
      <c r="C215" s="90"/>
      <c r="D215" s="90"/>
      <c r="E215" s="90"/>
      <c r="F215" s="90"/>
      <c r="G215" s="90"/>
      <c r="H215" s="91"/>
    </row>
    <row r="216" spans="1:8" x14ac:dyDescent="0.2">
      <c r="A216" s="89"/>
      <c r="B216" s="90"/>
      <c r="C216" s="90"/>
      <c r="D216" s="90"/>
      <c r="E216" s="90"/>
      <c r="F216" s="90"/>
      <c r="G216" s="90"/>
      <c r="H216" s="91"/>
    </row>
    <row r="217" spans="1:8" x14ac:dyDescent="0.2">
      <c r="A217" s="89"/>
      <c r="B217" s="90"/>
      <c r="C217" s="90"/>
      <c r="D217" s="90"/>
      <c r="E217" s="90"/>
      <c r="F217" s="90"/>
      <c r="G217" s="90"/>
      <c r="H217" s="91"/>
    </row>
    <row r="218" spans="1:8" x14ac:dyDescent="0.2">
      <c r="A218" s="89"/>
      <c r="B218" s="90"/>
      <c r="C218" s="90"/>
      <c r="D218" s="90"/>
      <c r="E218" s="90"/>
      <c r="F218" s="90"/>
      <c r="G218" s="90"/>
      <c r="H218" s="91"/>
    </row>
    <row r="219" spans="1:8" x14ac:dyDescent="0.2">
      <c r="A219" s="89"/>
      <c r="B219" s="90"/>
      <c r="C219" s="90"/>
      <c r="D219" s="90"/>
      <c r="E219" s="90"/>
      <c r="F219" s="90"/>
      <c r="G219" s="90"/>
      <c r="H219" s="91"/>
    </row>
    <row r="220" spans="1:8" x14ac:dyDescent="0.2">
      <c r="A220" s="89"/>
      <c r="B220" s="90"/>
      <c r="C220" s="90"/>
      <c r="D220" s="90"/>
      <c r="E220" s="90"/>
      <c r="F220" s="90"/>
      <c r="G220" s="90"/>
      <c r="H220" s="91"/>
    </row>
    <row r="221" spans="1:8" x14ac:dyDescent="0.2">
      <c r="A221" s="89"/>
      <c r="B221" s="90"/>
      <c r="C221" s="90"/>
      <c r="D221" s="90"/>
      <c r="E221" s="90"/>
      <c r="F221" s="90"/>
      <c r="G221" s="90"/>
      <c r="H221" s="91"/>
    </row>
    <row r="222" spans="1:8" x14ac:dyDescent="0.2">
      <c r="A222" s="89"/>
      <c r="B222" s="90"/>
      <c r="C222" s="90"/>
      <c r="D222" s="90"/>
      <c r="E222" s="90"/>
      <c r="F222" s="90"/>
      <c r="G222" s="90"/>
      <c r="H222" s="91"/>
    </row>
    <row r="223" spans="1:8" x14ac:dyDescent="0.2">
      <c r="A223" s="89"/>
      <c r="B223" s="90"/>
      <c r="C223" s="90"/>
      <c r="D223" s="90"/>
      <c r="E223" s="90"/>
      <c r="F223" s="90"/>
      <c r="G223" s="90"/>
      <c r="H223" s="91"/>
    </row>
    <row r="224" spans="1:8" x14ac:dyDescent="0.2">
      <c r="A224" s="89"/>
      <c r="B224" s="90"/>
      <c r="C224" s="90"/>
      <c r="D224" s="90"/>
      <c r="E224" s="90"/>
      <c r="F224" s="90"/>
      <c r="G224" s="90"/>
      <c r="H224" s="91"/>
    </row>
    <row r="225" spans="1:8" x14ac:dyDescent="0.2">
      <c r="A225" s="89"/>
      <c r="B225" s="90"/>
      <c r="C225" s="90"/>
      <c r="D225" s="90"/>
      <c r="E225" s="90"/>
      <c r="F225" s="90"/>
      <c r="G225" s="90"/>
      <c r="H225" s="91"/>
    </row>
    <row r="226" spans="1:8" x14ac:dyDescent="0.2">
      <c r="A226" s="89"/>
      <c r="B226" s="90"/>
      <c r="C226" s="90"/>
      <c r="D226" s="90"/>
      <c r="E226" s="90"/>
      <c r="F226" s="90"/>
      <c r="G226" s="90"/>
      <c r="H226" s="91"/>
    </row>
    <row r="227" spans="1:8" x14ac:dyDescent="0.2">
      <c r="A227" s="89"/>
      <c r="B227" s="90"/>
      <c r="C227" s="90"/>
      <c r="D227" s="90"/>
      <c r="E227" s="90"/>
      <c r="F227" s="90"/>
      <c r="G227" s="90"/>
      <c r="H227" s="91"/>
    </row>
    <row r="228" spans="1:8" x14ac:dyDescent="0.2">
      <c r="A228" s="89"/>
      <c r="B228" s="90"/>
      <c r="C228" s="90"/>
      <c r="D228" s="90"/>
      <c r="E228" s="90"/>
      <c r="F228" s="90"/>
      <c r="G228" s="90"/>
      <c r="H228" s="91"/>
    </row>
    <row r="229" spans="1:8" x14ac:dyDescent="0.2">
      <c r="A229" s="89"/>
      <c r="B229" s="90"/>
      <c r="C229" s="90"/>
      <c r="D229" s="90"/>
      <c r="E229" s="90"/>
      <c r="F229" s="90"/>
      <c r="G229" s="90"/>
      <c r="H229" s="91"/>
    </row>
    <row r="230" spans="1:8" x14ac:dyDescent="0.2">
      <c r="A230" s="89"/>
      <c r="B230" s="90"/>
      <c r="C230" s="90"/>
      <c r="D230" s="90"/>
      <c r="E230" s="90"/>
      <c r="F230" s="90"/>
      <c r="G230" s="90"/>
      <c r="H230" s="91"/>
    </row>
    <row r="231" spans="1:8" x14ac:dyDescent="0.2">
      <c r="A231" s="89"/>
      <c r="B231" s="90"/>
      <c r="C231" s="90"/>
      <c r="D231" s="90"/>
      <c r="E231" s="90"/>
      <c r="F231" s="90"/>
      <c r="G231" s="90"/>
      <c r="H231" s="91"/>
    </row>
    <row r="232" spans="1:8" x14ac:dyDescent="0.2">
      <c r="A232" s="89"/>
      <c r="B232" s="90"/>
      <c r="C232" s="90"/>
      <c r="D232" s="90"/>
      <c r="E232" s="90"/>
      <c r="F232" s="90"/>
      <c r="G232" s="90"/>
      <c r="H232" s="91"/>
    </row>
    <row r="233" spans="1:8" x14ac:dyDescent="0.2">
      <c r="A233" s="89"/>
      <c r="B233" s="90"/>
      <c r="C233" s="90"/>
      <c r="D233" s="90"/>
      <c r="E233" s="90"/>
      <c r="F233" s="90"/>
      <c r="G233" s="90"/>
      <c r="H233" s="91"/>
    </row>
    <row r="234" spans="1:8" x14ac:dyDescent="0.2">
      <c r="A234" s="89"/>
      <c r="B234" s="90"/>
      <c r="C234" s="90"/>
      <c r="D234" s="90"/>
      <c r="E234" s="90"/>
      <c r="F234" s="90"/>
      <c r="G234" s="90"/>
      <c r="H234" s="91"/>
    </row>
    <row r="235" spans="1:8" x14ac:dyDescent="0.2">
      <c r="A235" s="92"/>
      <c r="B235" s="93"/>
      <c r="C235" s="93"/>
      <c r="D235" s="93"/>
      <c r="E235" s="93"/>
      <c r="F235" s="93"/>
      <c r="G235" s="93"/>
      <c r="H235" s="94"/>
    </row>
    <row r="236" spans="1:8" ht="12.75" customHeight="1" x14ac:dyDescent="0.2">
      <c r="A236" s="79" t="s">
        <v>143</v>
      </c>
      <c r="B236" s="81"/>
      <c r="C236" s="79"/>
      <c r="D236" s="80"/>
      <c r="E236" s="80"/>
      <c r="F236" s="80"/>
      <c r="G236" s="80"/>
      <c r="H236" s="81"/>
    </row>
    <row r="237" spans="1:8" x14ac:dyDescent="0.2">
      <c r="A237" s="89"/>
      <c r="B237" s="90"/>
      <c r="C237" s="90"/>
      <c r="D237" s="90"/>
      <c r="E237" s="90"/>
      <c r="F237" s="90"/>
      <c r="G237" s="90"/>
      <c r="H237" s="91"/>
    </row>
    <row r="238" spans="1:8" x14ac:dyDescent="0.2">
      <c r="A238" s="89"/>
      <c r="B238" s="90"/>
      <c r="C238" s="90"/>
      <c r="D238" s="90"/>
      <c r="E238" s="90"/>
      <c r="F238" s="90"/>
      <c r="G238" s="90"/>
      <c r="H238" s="91"/>
    </row>
    <row r="239" spans="1:8" x14ac:dyDescent="0.2">
      <c r="A239" s="89"/>
      <c r="B239" s="90"/>
      <c r="C239" s="90"/>
      <c r="D239" s="90"/>
      <c r="E239" s="90"/>
      <c r="F239" s="90"/>
      <c r="G239" s="90"/>
      <c r="H239" s="91"/>
    </row>
    <row r="240" spans="1:8" x14ac:dyDescent="0.2">
      <c r="A240" s="89"/>
      <c r="B240" s="90"/>
      <c r="C240" s="90"/>
      <c r="D240" s="90"/>
      <c r="E240" s="90"/>
      <c r="F240" s="90"/>
      <c r="G240" s="90"/>
      <c r="H240" s="91"/>
    </row>
    <row r="241" spans="1:8" x14ac:dyDescent="0.2">
      <c r="A241" s="89"/>
      <c r="B241" s="90"/>
      <c r="C241" s="90"/>
      <c r="D241" s="90"/>
      <c r="E241" s="90"/>
      <c r="F241" s="90"/>
      <c r="G241" s="90"/>
      <c r="H241" s="91"/>
    </row>
    <row r="242" spans="1:8" x14ac:dyDescent="0.2">
      <c r="A242" s="89"/>
      <c r="B242" s="90"/>
      <c r="C242" s="90"/>
      <c r="D242" s="90"/>
      <c r="E242" s="90"/>
      <c r="F242" s="90"/>
      <c r="G242" s="90"/>
      <c r="H242" s="91"/>
    </row>
    <row r="243" spans="1:8" x14ac:dyDescent="0.2">
      <c r="A243" s="89"/>
      <c r="B243" s="90"/>
      <c r="C243" s="90"/>
      <c r="D243" s="90"/>
      <c r="E243" s="90"/>
      <c r="F243" s="90"/>
      <c r="G243" s="90"/>
      <c r="H243" s="91"/>
    </row>
    <row r="244" spans="1:8" x14ac:dyDescent="0.2">
      <c r="A244" s="89"/>
      <c r="B244" s="90"/>
      <c r="C244" s="90"/>
      <c r="D244" s="90"/>
      <c r="E244" s="90"/>
      <c r="F244" s="90"/>
      <c r="G244" s="90"/>
      <c r="H244" s="91"/>
    </row>
    <row r="245" spans="1:8" x14ac:dyDescent="0.2">
      <c r="A245" s="89"/>
      <c r="B245" s="90"/>
      <c r="C245" s="90"/>
      <c r="D245" s="90"/>
      <c r="E245" s="90"/>
      <c r="F245" s="90"/>
      <c r="G245" s="90"/>
      <c r="H245" s="91"/>
    </row>
    <row r="246" spans="1:8" x14ac:dyDescent="0.2">
      <c r="A246" s="89"/>
      <c r="B246" s="90"/>
      <c r="C246" s="90"/>
      <c r="D246" s="90"/>
      <c r="E246" s="90"/>
      <c r="F246" s="90"/>
      <c r="G246" s="90"/>
      <c r="H246" s="91"/>
    </row>
    <row r="247" spans="1:8" x14ac:dyDescent="0.2">
      <c r="A247" s="89"/>
      <c r="B247" s="90"/>
      <c r="C247" s="90"/>
      <c r="D247" s="90"/>
      <c r="E247" s="90"/>
      <c r="F247" s="90"/>
      <c r="G247" s="90"/>
      <c r="H247" s="91"/>
    </row>
    <row r="248" spans="1:8" x14ac:dyDescent="0.2">
      <c r="A248" s="89"/>
      <c r="B248" s="90"/>
      <c r="C248" s="90"/>
      <c r="D248" s="90"/>
      <c r="E248" s="90"/>
      <c r="F248" s="90"/>
      <c r="G248" s="90"/>
      <c r="H248" s="91"/>
    </row>
    <row r="249" spans="1:8" x14ac:dyDescent="0.2">
      <c r="A249" s="89"/>
      <c r="B249" s="90"/>
      <c r="C249" s="90"/>
      <c r="D249" s="90"/>
      <c r="E249" s="90"/>
      <c r="F249" s="90"/>
      <c r="G249" s="90"/>
      <c r="H249" s="91"/>
    </row>
    <row r="250" spans="1:8" x14ac:dyDescent="0.2">
      <c r="A250" s="89"/>
      <c r="B250" s="90"/>
      <c r="C250" s="90"/>
      <c r="D250" s="90"/>
      <c r="E250" s="90"/>
      <c r="F250" s="90"/>
      <c r="G250" s="90"/>
      <c r="H250" s="91"/>
    </row>
    <row r="251" spans="1:8" x14ac:dyDescent="0.2">
      <c r="A251" s="89"/>
      <c r="B251" s="90"/>
      <c r="C251" s="90"/>
      <c r="D251" s="90"/>
      <c r="E251" s="90"/>
      <c r="F251" s="90"/>
      <c r="G251" s="90"/>
      <c r="H251" s="91"/>
    </row>
    <row r="252" spans="1:8" x14ac:dyDescent="0.2">
      <c r="A252" s="89"/>
      <c r="B252" s="90"/>
      <c r="C252" s="90"/>
      <c r="D252" s="90"/>
      <c r="E252" s="90"/>
      <c r="F252" s="90"/>
      <c r="G252" s="90"/>
      <c r="H252" s="91"/>
    </row>
    <row r="253" spans="1:8" x14ac:dyDescent="0.2">
      <c r="A253" s="89"/>
      <c r="B253" s="90"/>
      <c r="C253" s="90"/>
      <c r="D253" s="90"/>
      <c r="E253" s="90"/>
      <c r="F253" s="90"/>
      <c r="G253" s="90"/>
      <c r="H253" s="91"/>
    </row>
    <row r="254" spans="1:8" x14ac:dyDescent="0.2">
      <c r="A254" s="89"/>
      <c r="B254" s="90"/>
      <c r="C254" s="90"/>
      <c r="D254" s="90"/>
      <c r="E254" s="90"/>
      <c r="F254" s="90"/>
      <c r="G254" s="90"/>
      <c r="H254" s="91"/>
    </row>
    <row r="255" spans="1:8" x14ac:dyDescent="0.2">
      <c r="A255" s="89"/>
      <c r="B255" s="90"/>
      <c r="C255" s="90"/>
      <c r="D255" s="90"/>
      <c r="E255" s="90"/>
      <c r="F255" s="90"/>
      <c r="G255" s="90"/>
      <c r="H255" s="91"/>
    </row>
    <row r="256" spans="1:8" x14ac:dyDescent="0.2">
      <c r="A256" s="89"/>
      <c r="B256" s="90"/>
      <c r="C256" s="90"/>
      <c r="D256" s="90"/>
      <c r="E256" s="90"/>
      <c r="F256" s="90"/>
      <c r="G256" s="90"/>
      <c r="H256" s="91"/>
    </row>
    <row r="257" spans="1:8" x14ac:dyDescent="0.2">
      <c r="A257" s="89"/>
      <c r="B257" s="90"/>
      <c r="C257" s="90"/>
      <c r="D257" s="90"/>
      <c r="E257" s="90"/>
      <c r="F257" s="90"/>
      <c r="G257" s="90"/>
      <c r="H257" s="91"/>
    </row>
    <row r="258" spans="1:8" x14ac:dyDescent="0.2">
      <c r="A258" s="89"/>
      <c r="B258" s="90"/>
      <c r="C258" s="90"/>
      <c r="D258" s="90"/>
      <c r="E258" s="90"/>
      <c r="F258" s="90"/>
      <c r="G258" s="90"/>
      <c r="H258" s="91"/>
    </row>
    <row r="259" spans="1:8" x14ac:dyDescent="0.2">
      <c r="A259" s="89"/>
      <c r="B259" s="90"/>
      <c r="C259" s="90"/>
      <c r="D259" s="90"/>
      <c r="E259" s="90"/>
      <c r="F259" s="90"/>
      <c r="G259" s="90"/>
      <c r="H259" s="91"/>
    </row>
    <row r="260" spans="1:8" x14ac:dyDescent="0.2">
      <c r="A260" s="89"/>
      <c r="B260" s="90"/>
      <c r="C260" s="90"/>
      <c r="D260" s="90"/>
      <c r="E260" s="90"/>
      <c r="F260" s="90"/>
      <c r="G260" s="90"/>
      <c r="H260" s="91"/>
    </row>
    <row r="261" spans="1:8" x14ac:dyDescent="0.2">
      <c r="A261" s="89"/>
      <c r="B261" s="90"/>
      <c r="C261" s="90"/>
      <c r="D261" s="90"/>
      <c r="E261" s="90"/>
      <c r="F261" s="90"/>
      <c r="G261" s="90"/>
      <c r="H261" s="91"/>
    </row>
    <row r="262" spans="1:8" x14ac:dyDescent="0.2">
      <c r="A262" s="89"/>
      <c r="B262" s="90"/>
      <c r="C262" s="90"/>
      <c r="D262" s="90"/>
      <c r="E262" s="90"/>
      <c r="F262" s="90"/>
      <c r="G262" s="90"/>
      <c r="H262" s="91"/>
    </row>
    <row r="263" spans="1:8" x14ac:dyDescent="0.2">
      <c r="A263" s="89"/>
      <c r="B263" s="90"/>
      <c r="C263" s="90"/>
      <c r="D263" s="90"/>
      <c r="E263" s="90"/>
      <c r="F263" s="90"/>
      <c r="G263" s="90"/>
      <c r="H263" s="91"/>
    </row>
    <row r="264" spans="1:8" x14ac:dyDescent="0.2">
      <c r="A264" s="89"/>
      <c r="B264" s="90"/>
      <c r="C264" s="90"/>
      <c r="D264" s="90"/>
      <c r="E264" s="90"/>
      <c r="F264" s="90"/>
      <c r="G264" s="90"/>
      <c r="H264" s="91"/>
    </row>
    <row r="265" spans="1:8" x14ac:dyDescent="0.2">
      <c r="A265" s="89"/>
      <c r="B265" s="90"/>
      <c r="C265" s="90"/>
      <c r="D265" s="90"/>
      <c r="E265" s="90"/>
      <c r="F265" s="90"/>
      <c r="G265" s="90"/>
      <c r="H265" s="91"/>
    </row>
    <row r="266" spans="1:8" x14ac:dyDescent="0.2">
      <c r="A266" s="89"/>
      <c r="B266" s="90"/>
      <c r="C266" s="90"/>
      <c r="D266" s="90"/>
      <c r="E266" s="90"/>
      <c r="F266" s="90"/>
      <c r="G266" s="90"/>
      <c r="H266" s="91"/>
    </row>
    <row r="267" spans="1:8" x14ac:dyDescent="0.2">
      <c r="A267" s="89"/>
      <c r="B267" s="90"/>
      <c r="C267" s="90"/>
      <c r="D267" s="90"/>
      <c r="E267" s="90"/>
      <c r="F267" s="90"/>
      <c r="G267" s="90"/>
      <c r="H267" s="91"/>
    </row>
    <row r="268" spans="1:8" x14ac:dyDescent="0.2">
      <c r="A268" s="89"/>
      <c r="B268" s="90"/>
      <c r="C268" s="90"/>
      <c r="D268" s="90"/>
      <c r="E268" s="90"/>
      <c r="F268" s="90"/>
      <c r="G268" s="90"/>
      <c r="H268" s="91"/>
    </row>
    <row r="269" spans="1:8" x14ac:dyDescent="0.2">
      <c r="A269" s="89"/>
      <c r="B269" s="90"/>
      <c r="C269" s="90"/>
      <c r="D269" s="90"/>
      <c r="E269" s="90"/>
      <c r="F269" s="90"/>
      <c r="G269" s="90"/>
      <c r="H269" s="91"/>
    </row>
    <row r="270" spans="1:8" x14ac:dyDescent="0.2">
      <c r="A270" s="89"/>
      <c r="B270" s="90"/>
      <c r="C270" s="90"/>
      <c r="D270" s="90"/>
      <c r="E270" s="90"/>
      <c r="F270" s="90"/>
      <c r="G270" s="90"/>
      <c r="H270" s="91"/>
    </row>
    <row r="271" spans="1:8" x14ac:dyDescent="0.2">
      <c r="A271" s="89"/>
      <c r="B271" s="90"/>
      <c r="C271" s="90"/>
      <c r="D271" s="90"/>
      <c r="E271" s="90"/>
      <c r="F271" s="90"/>
      <c r="G271" s="90"/>
      <c r="H271" s="91"/>
    </row>
    <row r="272" spans="1:8" x14ac:dyDescent="0.2">
      <c r="A272" s="89"/>
      <c r="B272" s="90"/>
      <c r="C272" s="90"/>
      <c r="D272" s="90"/>
      <c r="E272" s="90"/>
      <c r="F272" s="90"/>
      <c r="G272" s="90"/>
      <c r="H272" s="91"/>
    </row>
    <row r="273" spans="1:8" x14ac:dyDescent="0.2">
      <c r="A273" s="89"/>
      <c r="B273" s="90"/>
      <c r="C273" s="90"/>
      <c r="D273" s="90"/>
      <c r="E273" s="90"/>
      <c r="F273" s="90"/>
      <c r="G273" s="90"/>
      <c r="H273" s="91"/>
    </row>
    <row r="274" spans="1:8" x14ac:dyDescent="0.2">
      <c r="A274" s="89"/>
      <c r="B274" s="90"/>
      <c r="C274" s="90"/>
      <c r="D274" s="90"/>
      <c r="E274" s="90"/>
      <c r="F274" s="90"/>
      <c r="G274" s="90"/>
      <c r="H274" s="91"/>
    </row>
    <row r="275" spans="1:8" x14ac:dyDescent="0.2">
      <c r="A275" s="89"/>
      <c r="B275" s="90"/>
      <c r="C275" s="90"/>
      <c r="D275" s="90"/>
      <c r="E275" s="90"/>
      <c r="F275" s="90"/>
      <c r="G275" s="90"/>
      <c r="H275" s="91"/>
    </row>
    <row r="276" spans="1:8" x14ac:dyDescent="0.2">
      <c r="A276" s="89"/>
      <c r="B276" s="90"/>
      <c r="C276" s="90"/>
      <c r="D276" s="90"/>
      <c r="E276" s="90"/>
      <c r="F276" s="90"/>
      <c r="G276" s="90"/>
      <c r="H276" s="91"/>
    </row>
    <row r="277" spans="1:8" x14ac:dyDescent="0.2">
      <c r="A277" s="89"/>
      <c r="B277" s="90"/>
      <c r="C277" s="90"/>
      <c r="D277" s="90"/>
      <c r="E277" s="90"/>
      <c r="F277" s="90"/>
      <c r="G277" s="90"/>
      <c r="H277" s="91"/>
    </row>
    <row r="278" spans="1:8" x14ac:dyDescent="0.2">
      <c r="A278" s="89"/>
      <c r="B278" s="90"/>
      <c r="C278" s="90"/>
      <c r="D278" s="90"/>
      <c r="E278" s="90"/>
      <c r="F278" s="90"/>
      <c r="G278" s="90"/>
      <c r="H278" s="91"/>
    </row>
    <row r="279" spans="1:8" x14ac:dyDescent="0.2">
      <c r="A279" s="89"/>
      <c r="B279" s="90"/>
      <c r="C279" s="90"/>
      <c r="D279" s="90"/>
      <c r="E279" s="90"/>
      <c r="F279" s="90"/>
      <c r="G279" s="90"/>
      <c r="H279" s="91"/>
    </row>
    <row r="280" spans="1:8" x14ac:dyDescent="0.2">
      <c r="A280" s="89"/>
      <c r="B280" s="90"/>
      <c r="C280" s="90"/>
      <c r="D280" s="90"/>
      <c r="E280" s="90"/>
      <c r="F280" s="90"/>
      <c r="G280" s="90"/>
      <c r="H280" s="91"/>
    </row>
    <row r="281" spans="1:8" x14ac:dyDescent="0.2">
      <c r="A281" s="89"/>
      <c r="B281" s="90"/>
      <c r="C281" s="90"/>
      <c r="D281" s="90"/>
      <c r="E281" s="90"/>
      <c r="F281" s="90"/>
      <c r="G281" s="90"/>
      <c r="H281" s="91"/>
    </row>
    <row r="282" spans="1:8" x14ac:dyDescent="0.2">
      <c r="A282" s="89"/>
      <c r="B282" s="90"/>
      <c r="C282" s="90"/>
      <c r="D282" s="90"/>
      <c r="E282" s="90"/>
      <c r="F282" s="90"/>
      <c r="G282" s="90"/>
      <c r="H282" s="91"/>
    </row>
    <row r="283" spans="1:8" x14ac:dyDescent="0.2">
      <c r="A283" s="89"/>
      <c r="B283" s="90"/>
      <c r="C283" s="90"/>
      <c r="D283" s="90"/>
      <c r="E283" s="90"/>
      <c r="F283" s="90"/>
      <c r="G283" s="90"/>
      <c r="H283" s="91"/>
    </row>
    <row r="284" spans="1:8" x14ac:dyDescent="0.2">
      <c r="A284" s="89"/>
      <c r="B284" s="90"/>
      <c r="C284" s="90"/>
      <c r="D284" s="90"/>
      <c r="E284" s="90"/>
      <c r="F284" s="90"/>
      <c r="G284" s="90"/>
      <c r="H284" s="91"/>
    </row>
    <row r="285" spans="1:8" x14ac:dyDescent="0.2">
      <c r="A285" s="89"/>
      <c r="B285" s="90"/>
      <c r="C285" s="90"/>
      <c r="D285" s="90"/>
      <c r="E285" s="90"/>
      <c r="F285" s="90"/>
      <c r="G285" s="90"/>
      <c r="H285" s="91"/>
    </row>
    <row r="286" spans="1:8" x14ac:dyDescent="0.2">
      <c r="A286" s="89"/>
      <c r="B286" s="90"/>
      <c r="C286" s="90"/>
      <c r="D286" s="90"/>
      <c r="E286" s="90"/>
      <c r="F286" s="90"/>
      <c r="G286" s="90"/>
      <c r="H286" s="91"/>
    </row>
    <row r="287" spans="1:8" x14ac:dyDescent="0.2">
      <c r="A287" s="92"/>
      <c r="B287" s="93"/>
      <c r="C287" s="93"/>
      <c r="D287" s="93"/>
      <c r="E287" s="93"/>
      <c r="F287" s="93"/>
      <c r="G287" s="93"/>
      <c r="H287" s="94"/>
    </row>
    <row r="288" spans="1:8" x14ac:dyDescent="0.2">
      <c r="A288" s="79" t="s">
        <v>121</v>
      </c>
      <c r="B288" s="81"/>
      <c r="C288" s="114"/>
      <c r="D288" s="242"/>
      <c r="E288" s="242"/>
      <c r="F288" s="242"/>
      <c r="G288" s="242"/>
      <c r="H288" s="115"/>
    </row>
    <row r="289" spans="1:8" x14ac:dyDescent="0.2">
      <c r="A289" s="89"/>
      <c r="B289" s="90"/>
      <c r="C289" s="90"/>
      <c r="D289" s="90"/>
      <c r="E289" s="90"/>
      <c r="F289" s="90"/>
      <c r="G289" s="90"/>
      <c r="H289" s="91"/>
    </row>
    <row r="290" spans="1:8" x14ac:dyDescent="0.2">
      <c r="A290" s="89"/>
      <c r="B290" s="90"/>
      <c r="C290" s="90"/>
      <c r="D290" s="90"/>
      <c r="E290" s="90"/>
      <c r="F290" s="90"/>
      <c r="G290" s="90"/>
      <c r="H290" s="91"/>
    </row>
    <row r="291" spans="1:8" x14ac:dyDescent="0.2">
      <c r="A291" s="89"/>
      <c r="B291" s="90"/>
      <c r="C291" s="90"/>
      <c r="D291" s="90"/>
      <c r="E291" s="90"/>
      <c r="F291" s="90"/>
      <c r="G291" s="90"/>
      <c r="H291" s="91"/>
    </row>
    <row r="292" spans="1:8" x14ac:dyDescent="0.2">
      <c r="A292" s="89"/>
      <c r="B292" s="90"/>
      <c r="C292" s="90"/>
      <c r="D292" s="90"/>
      <c r="E292" s="90"/>
      <c r="F292" s="90"/>
      <c r="G292" s="90"/>
      <c r="H292" s="91"/>
    </row>
    <row r="293" spans="1:8" x14ac:dyDescent="0.2">
      <c r="A293" s="89"/>
      <c r="B293" s="90"/>
      <c r="C293" s="90"/>
      <c r="D293" s="90"/>
      <c r="E293" s="90"/>
      <c r="F293" s="90"/>
      <c r="G293" s="90"/>
      <c r="H293" s="91"/>
    </row>
    <row r="294" spans="1:8" x14ac:dyDescent="0.2">
      <c r="A294" s="89"/>
      <c r="B294" s="90"/>
      <c r="C294" s="90"/>
      <c r="D294" s="90"/>
      <c r="E294" s="90"/>
      <c r="F294" s="90"/>
      <c r="G294" s="90"/>
      <c r="H294" s="91"/>
    </row>
    <row r="295" spans="1:8" x14ac:dyDescent="0.2">
      <c r="A295" s="89"/>
      <c r="B295" s="90"/>
      <c r="C295" s="90"/>
      <c r="D295" s="90"/>
      <c r="E295" s="90"/>
      <c r="F295" s="90"/>
      <c r="G295" s="90"/>
      <c r="H295" s="91"/>
    </row>
    <row r="296" spans="1:8" x14ac:dyDescent="0.2">
      <c r="A296" s="89"/>
      <c r="B296" s="90"/>
      <c r="C296" s="90"/>
      <c r="D296" s="90"/>
      <c r="E296" s="90"/>
      <c r="F296" s="90"/>
      <c r="G296" s="90"/>
      <c r="H296" s="91"/>
    </row>
    <row r="297" spans="1:8" x14ac:dyDescent="0.2">
      <c r="A297" s="89"/>
      <c r="B297" s="90"/>
      <c r="C297" s="90"/>
      <c r="D297" s="90"/>
      <c r="E297" s="90"/>
      <c r="F297" s="90"/>
      <c r="G297" s="90"/>
      <c r="H297" s="91"/>
    </row>
    <row r="298" spans="1:8" x14ac:dyDescent="0.2">
      <c r="A298" s="89"/>
      <c r="B298" s="90"/>
      <c r="C298" s="90"/>
      <c r="D298" s="90"/>
      <c r="E298" s="90"/>
      <c r="F298" s="90"/>
      <c r="G298" s="90"/>
      <c r="H298" s="91"/>
    </row>
    <row r="299" spans="1:8" x14ac:dyDescent="0.2">
      <c r="A299" s="89"/>
      <c r="B299" s="90"/>
      <c r="C299" s="90"/>
      <c r="D299" s="90"/>
      <c r="E299" s="90"/>
      <c r="F299" s="90"/>
      <c r="G299" s="90"/>
      <c r="H299" s="91"/>
    </row>
    <row r="300" spans="1:8" x14ac:dyDescent="0.2">
      <c r="A300" s="89"/>
      <c r="B300" s="90"/>
      <c r="C300" s="90"/>
      <c r="D300" s="90"/>
      <c r="E300" s="90"/>
      <c r="F300" s="90"/>
      <c r="G300" s="90"/>
      <c r="H300" s="91"/>
    </row>
    <row r="301" spans="1:8" x14ac:dyDescent="0.2">
      <c r="A301" s="89"/>
      <c r="B301" s="90"/>
      <c r="C301" s="90"/>
      <c r="D301" s="90"/>
      <c r="E301" s="90"/>
      <c r="F301" s="90"/>
      <c r="G301" s="90"/>
      <c r="H301" s="91"/>
    </row>
    <row r="302" spans="1:8" x14ac:dyDescent="0.2">
      <c r="A302" s="89"/>
      <c r="B302" s="90"/>
      <c r="C302" s="90"/>
      <c r="D302" s="90"/>
      <c r="E302" s="90"/>
      <c r="F302" s="90"/>
      <c r="G302" s="90"/>
      <c r="H302" s="91"/>
    </row>
    <row r="303" spans="1:8" x14ac:dyDescent="0.2">
      <c r="A303" s="89"/>
      <c r="B303" s="90"/>
      <c r="C303" s="90"/>
      <c r="D303" s="90"/>
      <c r="E303" s="90"/>
      <c r="F303" s="90"/>
      <c r="G303" s="90"/>
      <c r="H303" s="91"/>
    </row>
    <row r="304" spans="1:8" x14ac:dyDescent="0.2">
      <c r="A304" s="89"/>
      <c r="B304" s="90"/>
      <c r="C304" s="90"/>
      <c r="D304" s="90"/>
      <c r="E304" s="90"/>
      <c r="F304" s="90"/>
      <c r="G304" s="90"/>
      <c r="H304" s="91"/>
    </row>
    <row r="305" spans="1:8" x14ac:dyDescent="0.2">
      <c r="A305" s="89"/>
      <c r="B305" s="90"/>
      <c r="C305" s="90"/>
      <c r="D305" s="90"/>
      <c r="E305" s="90"/>
      <c r="F305" s="90"/>
      <c r="G305" s="90"/>
      <c r="H305" s="91"/>
    </row>
    <row r="306" spans="1:8" x14ac:dyDescent="0.2">
      <c r="A306" s="89"/>
      <c r="B306" s="90"/>
      <c r="C306" s="90"/>
      <c r="D306" s="90"/>
      <c r="E306" s="90"/>
      <c r="F306" s="90"/>
      <c r="G306" s="90"/>
      <c r="H306" s="91"/>
    </row>
    <row r="307" spans="1:8" x14ac:dyDescent="0.2">
      <c r="A307" s="89"/>
      <c r="B307" s="90"/>
      <c r="C307" s="90"/>
      <c r="D307" s="90"/>
      <c r="E307" s="90"/>
      <c r="F307" s="90"/>
      <c r="G307" s="90"/>
      <c r="H307" s="91"/>
    </row>
    <row r="308" spans="1:8" x14ac:dyDescent="0.2">
      <c r="A308" s="89"/>
      <c r="B308" s="90"/>
      <c r="C308" s="90"/>
      <c r="D308" s="90"/>
      <c r="E308" s="90"/>
      <c r="F308" s="90"/>
      <c r="G308" s="90"/>
      <c r="H308" s="91"/>
    </row>
    <row r="309" spans="1:8" x14ac:dyDescent="0.2">
      <c r="A309" s="89"/>
      <c r="B309" s="90"/>
      <c r="C309" s="90"/>
      <c r="D309" s="90"/>
      <c r="E309" s="90"/>
      <c r="F309" s="90"/>
      <c r="G309" s="90"/>
      <c r="H309" s="91"/>
    </row>
    <row r="310" spans="1:8" x14ac:dyDescent="0.2">
      <c r="A310" s="89"/>
      <c r="B310" s="90"/>
      <c r="C310" s="90"/>
      <c r="D310" s="90"/>
      <c r="E310" s="90"/>
      <c r="F310" s="90"/>
      <c r="G310" s="90"/>
      <c r="H310" s="91"/>
    </row>
    <row r="311" spans="1:8" x14ac:dyDescent="0.2">
      <c r="A311" s="89"/>
      <c r="B311" s="90"/>
      <c r="C311" s="90"/>
      <c r="D311" s="90"/>
      <c r="E311" s="90"/>
      <c r="F311" s="90"/>
      <c r="G311" s="90"/>
      <c r="H311" s="91"/>
    </row>
    <row r="312" spans="1:8" x14ac:dyDescent="0.2">
      <c r="A312" s="89"/>
      <c r="B312" s="90"/>
      <c r="C312" s="90"/>
      <c r="D312" s="90"/>
      <c r="E312" s="90"/>
      <c r="F312" s="90"/>
      <c r="G312" s="90"/>
      <c r="H312" s="91"/>
    </row>
    <row r="313" spans="1:8" x14ac:dyDescent="0.2">
      <c r="A313" s="89"/>
      <c r="B313" s="90"/>
      <c r="C313" s="90"/>
      <c r="D313" s="90"/>
      <c r="E313" s="90"/>
      <c r="F313" s="90"/>
      <c r="G313" s="90"/>
      <c r="H313" s="91"/>
    </row>
    <row r="314" spans="1:8" x14ac:dyDescent="0.2">
      <c r="A314" s="89"/>
      <c r="B314" s="90"/>
      <c r="C314" s="90"/>
      <c r="D314" s="90"/>
      <c r="E314" s="90"/>
      <c r="F314" s="90"/>
      <c r="G314" s="90"/>
      <c r="H314" s="91"/>
    </row>
    <row r="315" spans="1:8" x14ac:dyDescent="0.2">
      <c r="A315" s="89"/>
      <c r="B315" s="90"/>
      <c r="C315" s="90"/>
      <c r="D315" s="90"/>
      <c r="E315" s="90"/>
      <c r="F315" s="90"/>
      <c r="G315" s="90"/>
      <c r="H315" s="91"/>
    </row>
    <row r="316" spans="1:8" x14ac:dyDescent="0.2">
      <c r="A316" s="89"/>
      <c r="B316" s="90"/>
      <c r="C316" s="90"/>
      <c r="D316" s="90"/>
      <c r="E316" s="90"/>
      <c r="F316" s="90"/>
      <c r="G316" s="90"/>
      <c r="H316" s="91"/>
    </row>
    <row r="317" spans="1:8" x14ac:dyDescent="0.2">
      <c r="A317" s="89"/>
      <c r="B317" s="90"/>
      <c r="C317" s="90"/>
      <c r="D317" s="90"/>
      <c r="E317" s="90"/>
      <c r="F317" s="90"/>
      <c r="G317" s="90"/>
      <c r="H317" s="91"/>
    </row>
    <row r="318" spans="1:8" x14ac:dyDescent="0.2">
      <c r="A318" s="89"/>
      <c r="B318" s="90"/>
      <c r="C318" s="90"/>
      <c r="D318" s="90"/>
      <c r="E318" s="90"/>
      <c r="F318" s="90"/>
      <c r="G318" s="90"/>
      <c r="H318" s="91"/>
    </row>
    <row r="319" spans="1:8" x14ac:dyDescent="0.2">
      <c r="A319" s="89"/>
      <c r="B319" s="90"/>
      <c r="C319" s="90"/>
      <c r="D319" s="90"/>
      <c r="E319" s="90"/>
      <c r="F319" s="90"/>
      <c r="G319" s="90"/>
      <c r="H319" s="91"/>
    </row>
    <row r="320" spans="1:8" x14ac:dyDescent="0.2">
      <c r="A320" s="89"/>
      <c r="B320" s="90"/>
      <c r="C320" s="90"/>
      <c r="D320" s="90"/>
      <c r="E320" s="90"/>
      <c r="F320" s="90"/>
      <c r="G320" s="90"/>
      <c r="H320" s="91"/>
    </row>
    <row r="321" spans="1:8" x14ac:dyDescent="0.2">
      <c r="A321" s="89"/>
      <c r="B321" s="90"/>
      <c r="C321" s="90"/>
      <c r="D321" s="90"/>
      <c r="E321" s="90"/>
      <c r="F321" s="90"/>
      <c r="G321" s="90"/>
      <c r="H321" s="91"/>
    </row>
    <row r="322" spans="1:8" x14ac:dyDescent="0.2">
      <c r="A322" s="89"/>
      <c r="B322" s="90"/>
      <c r="C322" s="90"/>
      <c r="D322" s="90"/>
      <c r="E322" s="90"/>
      <c r="F322" s="90"/>
      <c r="G322" s="90"/>
      <c r="H322" s="91"/>
    </row>
    <row r="323" spans="1:8" x14ac:dyDescent="0.2">
      <c r="A323" s="89"/>
      <c r="B323" s="90"/>
      <c r="C323" s="90"/>
      <c r="D323" s="90"/>
      <c r="E323" s="90"/>
      <c r="F323" s="90"/>
      <c r="G323" s="90"/>
      <c r="H323" s="91"/>
    </row>
    <row r="324" spans="1:8" x14ac:dyDescent="0.2">
      <c r="A324" s="89"/>
      <c r="B324" s="90"/>
      <c r="C324" s="90"/>
      <c r="D324" s="90"/>
      <c r="E324" s="90"/>
      <c r="F324" s="90"/>
      <c r="G324" s="90"/>
      <c r="H324" s="91"/>
    </row>
    <row r="325" spans="1:8" x14ac:dyDescent="0.2">
      <c r="A325" s="89"/>
      <c r="B325" s="90"/>
      <c r="C325" s="90"/>
      <c r="D325" s="90"/>
      <c r="E325" s="90"/>
      <c r="F325" s="90"/>
      <c r="G325" s="90"/>
      <c r="H325" s="91"/>
    </row>
    <row r="326" spans="1:8" x14ac:dyDescent="0.2">
      <c r="A326" s="89"/>
      <c r="B326" s="90"/>
      <c r="C326" s="90"/>
      <c r="D326" s="90"/>
      <c r="E326" s="90"/>
      <c r="F326" s="90"/>
      <c r="G326" s="90"/>
      <c r="H326" s="91"/>
    </row>
    <row r="327" spans="1:8" x14ac:dyDescent="0.2">
      <c r="A327" s="89"/>
      <c r="B327" s="90"/>
      <c r="C327" s="90"/>
      <c r="D327" s="90"/>
      <c r="E327" s="90"/>
      <c r="F327" s="90"/>
      <c r="G327" s="90"/>
      <c r="H327" s="91"/>
    </row>
    <row r="328" spans="1:8" x14ac:dyDescent="0.2">
      <c r="A328" s="89"/>
      <c r="B328" s="90"/>
      <c r="C328" s="90"/>
      <c r="D328" s="90"/>
      <c r="E328" s="90"/>
      <c r="F328" s="90"/>
      <c r="G328" s="90"/>
      <c r="H328" s="91"/>
    </row>
    <row r="329" spans="1:8" x14ac:dyDescent="0.2">
      <c r="A329" s="89"/>
      <c r="B329" s="90"/>
      <c r="C329" s="90"/>
      <c r="D329" s="90"/>
      <c r="E329" s="90"/>
      <c r="F329" s="90"/>
      <c r="G329" s="90"/>
      <c r="H329" s="91"/>
    </row>
    <row r="330" spans="1:8" x14ac:dyDescent="0.2">
      <c r="A330" s="89"/>
      <c r="B330" s="90"/>
      <c r="C330" s="90"/>
      <c r="D330" s="90"/>
      <c r="E330" s="90"/>
      <c r="F330" s="90"/>
      <c r="G330" s="90"/>
      <c r="H330" s="91"/>
    </row>
    <row r="331" spans="1:8" x14ac:dyDescent="0.2">
      <c r="A331" s="89"/>
      <c r="B331" s="90"/>
      <c r="C331" s="90"/>
      <c r="D331" s="90"/>
      <c r="E331" s="90"/>
      <c r="F331" s="90"/>
      <c r="G331" s="90"/>
      <c r="H331" s="91"/>
    </row>
    <row r="332" spans="1:8" x14ac:dyDescent="0.2">
      <c r="A332" s="89"/>
      <c r="B332" s="90"/>
      <c r="C332" s="90"/>
      <c r="D332" s="90"/>
      <c r="E332" s="90"/>
      <c r="F332" s="90"/>
      <c r="G332" s="90"/>
      <c r="H332" s="91"/>
    </row>
    <row r="333" spans="1:8" x14ac:dyDescent="0.2">
      <c r="A333" s="89"/>
      <c r="B333" s="90"/>
      <c r="C333" s="90"/>
      <c r="D333" s="90"/>
      <c r="E333" s="90"/>
      <c r="F333" s="90"/>
      <c r="G333" s="90"/>
      <c r="H333" s="91"/>
    </row>
    <row r="334" spans="1:8" x14ac:dyDescent="0.2">
      <c r="A334" s="89"/>
      <c r="B334" s="90"/>
      <c r="C334" s="90"/>
      <c r="D334" s="90"/>
      <c r="E334" s="90"/>
      <c r="F334" s="90"/>
      <c r="G334" s="90"/>
      <c r="H334" s="91"/>
    </row>
    <row r="335" spans="1:8" x14ac:dyDescent="0.2">
      <c r="A335" s="89"/>
      <c r="B335" s="90"/>
      <c r="C335" s="90"/>
      <c r="D335" s="90"/>
      <c r="E335" s="90"/>
      <c r="F335" s="90"/>
      <c r="G335" s="90"/>
      <c r="H335" s="91"/>
    </row>
    <row r="336" spans="1:8" ht="50.25" customHeight="1" x14ac:dyDescent="0.2">
      <c r="A336" s="82" t="s">
        <v>118</v>
      </c>
      <c r="B336" s="82"/>
      <c r="C336" s="83" t="s">
        <v>292</v>
      </c>
      <c r="D336" s="83"/>
      <c r="E336" s="213" t="s">
        <v>119</v>
      </c>
      <c r="F336" s="213"/>
      <c r="G336" s="212"/>
      <c r="H336" s="212"/>
    </row>
  </sheetData>
  <mergeCells count="493">
    <mergeCell ref="A103:B103"/>
    <mergeCell ref="C103:D103"/>
    <mergeCell ref="A90:D91"/>
    <mergeCell ref="C92:H92"/>
    <mergeCell ref="A93:B93"/>
    <mergeCell ref="C93:D93"/>
    <mergeCell ref="G93:H93"/>
    <mergeCell ref="A94:B94"/>
    <mergeCell ref="C94:D94"/>
    <mergeCell ref="G94:H103"/>
    <mergeCell ref="A95:B95"/>
    <mergeCell ref="C95:D95"/>
    <mergeCell ref="A96:B96"/>
    <mergeCell ref="C96:D96"/>
    <mergeCell ref="A97:B97"/>
    <mergeCell ref="C97:D97"/>
    <mergeCell ref="A98:B98"/>
    <mergeCell ref="C98:D98"/>
    <mergeCell ref="A99:B99"/>
    <mergeCell ref="C99:D99"/>
    <mergeCell ref="A100:B100"/>
    <mergeCell ref="C100:D100"/>
    <mergeCell ref="A101:B101"/>
    <mergeCell ref="C101:D101"/>
    <mergeCell ref="A102:B102"/>
    <mergeCell ref="C102:D102"/>
    <mergeCell ref="A130:H130"/>
    <mergeCell ref="A141:H141"/>
    <mergeCell ref="A142:H142"/>
    <mergeCell ref="D147:H147"/>
    <mergeCell ref="A158:H158"/>
    <mergeCell ref="A159:H159"/>
    <mergeCell ref="A165:H165"/>
    <mergeCell ref="E121:F121"/>
    <mergeCell ref="G121:H121"/>
    <mergeCell ref="E122:F122"/>
    <mergeCell ref="G122:H122"/>
    <mergeCell ref="C113:D113"/>
    <mergeCell ref="C114:D114"/>
    <mergeCell ref="A131:H131"/>
    <mergeCell ref="A132:B132"/>
    <mergeCell ref="A133:B133"/>
    <mergeCell ref="A134:B134"/>
    <mergeCell ref="A119:H119"/>
    <mergeCell ref="A136:B136"/>
    <mergeCell ref="A127:A128"/>
    <mergeCell ref="C127:C128"/>
    <mergeCell ref="E127:E128"/>
    <mergeCell ref="A79:B79"/>
    <mergeCell ref="C79:D79"/>
    <mergeCell ref="G79:H79"/>
    <mergeCell ref="A80:B80"/>
    <mergeCell ref="C80:D80"/>
    <mergeCell ref="G80:H89"/>
    <mergeCell ref="A81:B81"/>
    <mergeCell ref="C81:D81"/>
    <mergeCell ref="A82:B82"/>
    <mergeCell ref="C82:D82"/>
    <mergeCell ref="A83:B83"/>
    <mergeCell ref="C83:D83"/>
    <mergeCell ref="A84:B84"/>
    <mergeCell ref="C84:D84"/>
    <mergeCell ref="A85:B85"/>
    <mergeCell ref="A86:B86"/>
    <mergeCell ref="A87:B87"/>
    <mergeCell ref="A88:B88"/>
    <mergeCell ref="A89:B89"/>
    <mergeCell ref="C288:H288"/>
    <mergeCell ref="A319:H319"/>
    <mergeCell ref="A320:H320"/>
    <mergeCell ref="A321:H321"/>
    <mergeCell ref="A322:H322"/>
    <mergeCell ref="A323:H323"/>
    <mergeCell ref="A324:H324"/>
    <mergeCell ref="A325:H325"/>
    <mergeCell ref="A312:H312"/>
    <mergeCell ref="A313:H313"/>
    <mergeCell ref="A314:H314"/>
    <mergeCell ref="A315:H315"/>
    <mergeCell ref="A316:H316"/>
    <mergeCell ref="A317:H317"/>
    <mergeCell ref="A318:H318"/>
    <mergeCell ref="A301:H301"/>
    <mergeCell ref="A302:H302"/>
    <mergeCell ref="A303:H303"/>
    <mergeCell ref="A304:H304"/>
    <mergeCell ref="A305:H305"/>
    <mergeCell ref="A306:H306"/>
    <mergeCell ref="A307:H307"/>
    <mergeCell ref="A308:H308"/>
    <mergeCell ref="A309:H309"/>
    <mergeCell ref="A335:H335"/>
    <mergeCell ref="A310:H310"/>
    <mergeCell ref="A311:H311"/>
    <mergeCell ref="A292:H292"/>
    <mergeCell ref="A293:H293"/>
    <mergeCell ref="A294:H294"/>
    <mergeCell ref="A295:H295"/>
    <mergeCell ref="A296:H296"/>
    <mergeCell ref="A297:H297"/>
    <mergeCell ref="A298:H298"/>
    <mergeCell ref="A299:H299"/>
    <mergeCell ref="A300:H300"/>
    <mergeCell ref="A326:H326"/>
    <mergeCell ref="A327:H327"/>
    <mergeCell ref="A328:H328"/>
    <mergeCell ref="A329:H329"/>
    <mergeCell ref="A330:H330"/>
    <mergeCell ref="A331:H331"/>
    <mergeCell ref="A332:H332"/>
    <mergeCell ref="A333:H333"/>
    <mergeCell ref="A334:H334"/>
    <mergeCell ref="A289:H289"/>
    <mergeCell ref="A290:H290"/>
    <mergeCell ref="A291:H291"/>
    <mergeCell ref="A227:H227"/>
    <mergeCell ref="A228:H228"/>
    <mergeCell ref="A229:H229"/>
    <mergeCell ref="A230:H230"/>
    <mergeCell ref="A231:H231"/>
    <mergeCell ref="A232:H232"/>
    <mergeCell ref="A233:H233"/>
    <mergeCell ref="A234:H234"/>
    <mergeCell ref="A235:H235"/>
    <mergeCell ref="A248:H248"/>
    <mergeCell ref="A249:H249"/>
    <mergeCell ref="A250:H250"/>
    <mergeCell ref="A251:H251"/>
    <mergeCell ref="A252:H252"/>
    <mergeCell ref="A253:H253"/>
    <mergeCell ref="A254:H254"/>
    <mergeCell ref="A255:H255"/>
    <mergeCell ref="A274:H274"/>
    <mergeCell ref="A275:H275"/>
    <mergeCell ref="A288:B288"/>
    <mergeCell ref="A276:H276"/>
    <mergeCell ref="A218:H218"/>
    <mergeCell ref="A219:H219"/>
    <mergeCell ref="A220:H220"/>
    <mergeCell ref="A221:H221"/>
    <mergeCell ref="A222:H222"/>
    <mergeCell ref="A223:H223"/>
    <mergeCell ref="A224:H224"/>
    <mergeCell ref="A225:H225"/>
    <mergeCell ref="A226:H226"/>
    <mergeCell ref="A209:H209"/>
    <mergeCell ref="A210:H210"/>
    <mergeCell ref="A211:H211"/>
    <mergeCell ref="A212:H212"/>
    <mergeCell ref="A213:H213"/>
    <mergeCell ref="A214:H214"/>
    <mergeCell ref="A215:H215"/>
    <mergeCell ref="A216:H216"/>
    <mergeCell ref="A217:H217"/>
    <mergeCell ref="A200:H200"/>
    <mergeCell ref="A201:H201"/>
    <mergeCell ref="A202:H202"/>
    <mergeCell ref="A203:H203"/>
    <mergeCell ref="A204:H204"/>
    <mergeCell ref="A205:H205"/>
    <mergeCell ref="A206:H206"/>
    <mergeCell ref="A207:H207"/>
    <mergeCell ref="A208:H208"/>
    <mergeCell ref="A191:H191"/>
    <mergeCell ref="A192:H192"/>
    <mergeCell ref="A193:H193"/>
    <mergeCell ref="A194:H194"/>
    <mergeCell ref="A195:H195"/>
    <mergeCell ref="A196:H196"/>
    <mergeCell ref="A197:H197"/>
    <mergeCell ref="A198:H198"/>
    <mergeCell ref="A199:H199"/>
    <mergeCell ref="A188:H188"/>
    <mergeCell ref="A189:H189"/>
    <mergeCell ref="A190:H190"/>
    <mergeCell ref="A173:H173"/>
    <mergeCell ref="B175:H175"/>
    <mergeCell ref="B176:H176"/>
    <mergeCell ref="B177:H177"/>
    <mergeCell ref="B178:H178"/>
    <mergeCell ref="B180:H180"/>
    <mergeCell ref="B181:H181"/>
    <mergeCell ref="B182:H182"/>
    <mergeCell ref="B183:H183"/>
    <mergeCell ref="A184:B184"/>
    <mergeCell ref="B179:E179"/>
    <mergeCell ref="A68:B68"/>
    <mergeCell ref="C184:H184"/>
    <mergeCell ref="E110:F110"/>
    <mergeCell ref="E111:F111"/>
    <mergeCell ref="E112:F112"/>
    <mergeCell ref="G113:H113"/>
    <mergeCell ref="G114:H114"/>
    <mergeCell ref="E113:F113"/>
    <mergeCell ref="A116:B116"/>
    <mergeCell ref="A117:B117"/>
    <mergeCell ref="A118:B118"/>
    <mergeCell ref="C68:D68"/>
    <mergeCell ref="C69:D69"/>
    <mergeCell ref="C70:D70"/>
    <mergeCell ref="C71:D71"/>
    <mergeCell ref="C72:D72"/>
    <mergeCell ref="C73:D73"/>
    <mergeCell ref="E108:F108"/>
    <mergeCell ref="E116:F116"/>
    <mergeCell ref="C116:D116"/>
    <mergeCell ref="A112:B112"/>
    <mergeCell ref="A113:B113"/>
    <mergeCell ref="A114:B114"/>
    <mergeCell ref="A76:D77"/>
    <mergeCell ref="C27:E27"/>
    <mergeCell ref="A59:H59"/>
    <mergeCell ref="C47:H47"/>
    <mergeCell ref="E49:H49"/>
    <mergeCell ref="G41:H41"/>
    <mergeCell ref="C37:H37"/>
    <mergeCell ref="C28:E28"/>
    <mergeCell ref="E36:F36"/>
    <mergeCell ref="G27:H27"/>
    <mergeCell ref="G28:H28"/>
    <mergeCell ref="C35:H35"/>
    <mergeCell ref="G36:H36"/>
    <mergeCell ref="A39:H39"/>
    <mergeCell ref="C40:F40"/>
    <mergeCell ref="G40:H40"/>
    <mergeCell ref="C41:F41"/>
    <mergeCell ref="C44:F44"/>
    <mergeCell ref="G44:H44"/>
    <mergeCell ref="C38:H38"/>
    <mergeCell ref="G42:H42"/>
    <mergeCell ref="E51:H51"/>
    <mergeCell ref="C34:D34"/>
    <mergeCell ref="C36:D36"/>
    <mergeCell ref="C42:F42"/>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E336:F336"/>
    <mergeCell ref="G336:H336"/>
    <mergeCell ref="C104:H104"/>
    <mergeCell ref="A105:H105"/>
    <mergeCell ref="E106:F106"/>
    <mergeCell ref="E107:F107"/>
    <mergeCell ref="E114:F114"/>
    <mergeCell ref="A125:H125"/>
    <mergeCell ref="A239:H239"/>
    <mergeCell ref="A240:H240"/>
    <mergeCell ref="A241:H241"/>
    <mergeCell ref="A242:H242"/>
    <mergeCell ref="A243:H243"/>
    <mergeCell ref="A244:H244"/>
    <mergeCell ref="A245:H245"/>
    <mergeCell ref="A246:H246"/>
    <mergeCell ref="A247:H247"/>
    <mergeCell ref="A170:H170"/>
    <mergeCell ref="A262:H262"/>
    <mergeCell ref="A263:H263"/>
    <mergeCell ref="A171:E171"/>
    <mergeCell ref="A129:H129"/>
    <mergeCell ref="A148:H148"/>
    <mergeCell ref="A111:B111"/>
    <mergeCell ref="A277:H277"/>
    <mergeCell ref="A278:H278"/>
    <mergeCell ref="A279:H279"/>
    <mergeCell ref="A280:H280"/>
    <mergeCell ref="A281:H281"/>
    <mergeCell ref="A282:H282"/>
    <mergeCell ref="A270:H270"/>
    <mergeCell ref="A271:H271"/>
    <mergeCell ref="A272:H272"/>
    <mergeCell ref="A273:H273"/>
    <mergeCell ref="A15:B15"/>
    <mergeCell ref="E123:F123"/>
    <mergeCell ref="G123:H123"/>
    <mergeCell ref="E124:F124"/>
    <mergeCell ref="G124:H124"/>
    <mergeCell ref="C29:H29"/>
    <mergeCell ref="C30:H30"/>
    <mergeCell ref="A37:B37"/>
    <mergeCell ref="A38:B38"/>
    <mergeCell ref="A40:B45"/>
    <mergeCell ref="A46:B46"/>
    <mergeCell ref="A47:B47"/>
    <mergeCell ref="A48:B48"/>
    <mergeCell ref="A49:B51"/>
    <mergeCell ref="A53:B53"/>
    <mergeCell ref="A60:B60"/>
    <mergeCell ref="A65:B65"/>
    <mergeCell ref="C43:F43"/>
    <mergeCell ref="G43:H43"/>
    <mergeCell ref="C45:F45"/>
    <mergeCell ref="G45:H45"/>
    <mergeCell ref="G65:H65"/>
    <mergeCell ref="G66:H75"/>
    <mergeCell ref="E109:F109"/>
    <mergeCell ref="F18:H18"/>
    <mergeCell ref="A115:H115"/>
    <mergeCell ref="A35:B35"/>
    <mergeCell ref="A36:B36"/>
    <mergeCell ref="A16:B16"/>
    <mergeCell ref="A17:B17"/>
    <mergeCell ref="A18:B18"/>
    <mergeCell ref="A19:B19"/>
    <mergeCell ref="A20:B20"/>
    <mergeCell ref="A21:B21"/>
    <mergeCell ref="A22:B22"/>
    <mergeCell ref="A23:B23"/>
    <mergeCell ref="A24:B24"/>
    <mergeCell ref="A71:B71"/>
    <mergeCell ref="A72:B72"/>
    <mergeCell ref="A73:B73"/>
    <mergeCell ref="A74:B74"/>
    <mergeCell ref="A75:B75"/>
    <mergeCell ref="A104:B104"/>
    <mergeCell ref="A106:B106"/>
    <mergeCell ref="A107:B107"/>
    <mergeCell ref="A108:B108"/>
    <mergeCell ref="A109:B109"/>
    <mergeCell ref="A110:B110"/>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E60:F60"/>
    <mergeCell ref="A61:H61"/>
    <mergeCell ref="G60:H60"/>
    <mergeCell ref="C60:D60"/>
    <mergeCell ref="C46:F46"/>
    <mergeCell ref="C48:F48"/>
    <mergeCell ref="C53:F53"/>
    <mergeCell ref="A62:D63"/>
    <mergeCell ref="A52:B52"/>
    <mergeCell ref="C52:H52"/>
    <mergeCell ref="C54:F54"/>
    <mergeCell ref="A54:B55"/>
    <mergeCell ref="C55:F55"/>
    <mergeCell ref="C58:F58"/>
    <mergeCell ref="A56:B58"/>
    <mergeCell ref="C56:F57"/>
    <mergeCell ref="E50:F50"/>
    <mergeCell ref="C49:D49"/>
    <mergeCell ref="C50:D50"/>
    <mergeCell ref="C51:D51"/>
    <mergeCell ref="C64:H64"/>
    <mergeCell ref="A66:B66"/>
    <mergeCell ref="G116:H116"/>
    <mergeCell ref="E117:F117"/>
    <mergeCell ref="G117:H117"/>
    <mergeCell ref="E118:F118"/>
    <mergeCell ref="G118:H118"/>
    <mergeCell ref="A69:B69"/>
    <mergeCell ref="A70:B70"/>
    <mergeCell ref="C74:D74"/>
    <mergeCell ref="C75:D75"/>
    <mergeCell ref="C106:D106"/>
    <mergeCell ref="C107:D107"/>
    <mergeCell ref="C108:D108"/>
    <mergeCell ref="C109:D109"/>
    <mergeCell ref="C110:D110"/>
    <mergeCell ref="C111:D111"/>
    <mergeCell ref="C112:D112"/>
    <mergeCell ref="C85:D85"/>
    <mergeCell ref="C86:D86"/>
    <mergeCell ref="C87:D87"/>
    <mergeCell ref="C88:D88"/>
    <mergeCell ref="C89:D89"/>
    <mergeCell ref="A67:B67"/>
    <mergeCell ref="C117:D117"/>
    <mergeCell ref="C118:D118"/>
    <mergeCell ref="C120:D120"/>
    <mergeCell ref="C121:D121"/>
    <mergeCell ref="C122:D122"/>
    <mergeCell ref="C123:D123"/>
    <mergeCell ref="C124:D124"/>
    <mergeCell ref="D127:D128"/>
    <mergeCell ref="C65:D65"/>
    <mergeCell ref="C66:D66"/>
    <mergeCell ref="C67:D67"/>
    <mergeCell ref="C78:H78"/>
    <mergeCell ref="A120:B120"/>
    <mergeCell ref="A121:B121"/>
    <mergeCell ref="A122:B122"/>
    <mergeCell ref="A123:B123"/>
    <mergeCell ref="A124:B124"/>
    <mergeCell ref="A137:H137"/>
    <mergeCell ref="A126:H126"/>
    <mergeCell ref="B127:B128"/>
    <mergeCell ref="B138:B139"/>
    <mergeCell ref="A135:B135"/>
    <mergeCell ref="F127:F128"/>
    <mergeCell ref="E120:F120"/>
    <mergeCell ref="G120:H120"/>
    <mergeCell ref="A149:B149"/>
    <mergeCell ref="A143:H143"/>
    <mergeCell ref="A144:B144"/>
    <mergeCell ref="A145:B145"/>
    <mergeCell ref="A146:B146"/>
    <mergeCell ref="A147:B147"/>
    <mergeCell ref="E138:E139"/>
    <mergeCell ref="F138:F139"/>
    <mergeCell ref="A140:H140"/>
    <mergeCell ref="A138:A139"/>
    <mergeCell ref="C138:C139"/>
    <mergeCell ref="D138:D139"/>
    <mergeCell ref="A260:H260"/>
    <mergeCell ref="A261:H261"/>
    <mergeCell ref="A264:H264"/>
    <mergeCell ref="A164:B164"/>
    <mergeCell ref="A153:H153"/>
    <mergeCell ref="A150:B150"/>
    <mergeCell ref="A151:B151"/>
    <mergeCell ref="A152:B152"/>
    <mergeCell ref="A237:H237"/>
    <mergeCell ref="A238:H238"/>
    <mergeCell ref="A172:E172"/>
    <mergeCell ref="F172:H172"/>
    <mergeCell ref="A185:H185"/>
    <mergeCell ref="A154:B154"/>
    <mergeCell ref="A155:B155"/>
    <mergeCell ref="A156:B156"/>
    <mergeCell ref="A157:B157"/>
    <mergeCell ref="F171:H171"/>
    <mergeCell ref="A160:H160"/>
    <mergeCell ref="A161:B161"/>
    <mergeCell ref="A162:B162"/>
    <mergeCell ref="A163:B163"/>
    <mergeCell ref="A186:H186"/>
    <mergeCell ref="A187:H187"/>
    <mergeCell ref="I51:L51"/>
    <mergeCell ref="C236:H236"/>
    <mergeCell ref="A336:B336"/>
    <mergeCell ref="C336:D336"/>
    <mergeCell ref="A236:B236"/>
    <mergeCell ref="A166:B166"/>
    <mergeCell ref="A167:B167"/>
    <mergeCell ref="A168:B168"/>
    <mergeCell ref="A169:B169"/>
    <mergeCell ref="B174:H174"/>
    <mergeCell ref="A283:H283"/>
    <mergeCell ref="A284:H284"/>
    <mergeCell ref="A285:H285"/>
    <mergeCell ref="A286:H286"/>
    <mergeCell ref="A287:H287"/>
    <mergeCell ref="A265:H265"/>
    <mergeCell ref="A266:H266"/>
    <mergeCell ref="A267:H267"/>
    <mergeCell ref="A268:H268"/>
    <mergeCell ref="A269:H269"/>
    <mergeCell ref="A256:H256"/>
    <mergeCell ref="A257:H257"/>
    <mergeCell ref="A258:H258"/>
    <mergeCell ref="A259:H259"/>
  </mergeCells>
  <dataValidations disablePrompts="1" count="7">
    <dataValidation type="list" allowBlank="1" showInputMessage="1" showErrorMessage="1" sqref="A9:B9" xr:uid="{00000000-0002-0000-0000-000000000000}">
      <formula1>"CTS No,Survey No,Plot No,Gut No,FP No,"</formula1>
    </dataValidation>
    <dataValidation type="list" allowBlank="1" showInputMessage="1" showErrorMessage="1" sqref="B138" xr:uid="{00000000-0002-0000-0000-000001000000}">
      <formula1>"Flat No. (Sale Plan),Sale / Rehab,Sale / Mhada"</formula1>
    </dataValidation>
    <dataValidation type="list" allowBlank="1" showInputMessage="1" showErrorMessage="1" sqref="D127 D138" xr:uid="{00000000-0002-0000-0000-000002000000}">
      <formula1>"Carpet area,RERA Carpet area"</formula1>
    </dataValidation>
    <dataValidation type="list" allowBlank="1" showInputMessage="1" showErrorMessage="1" sqref="E138:E139" xr:uid="{00000000-0002-0000-0000-000003000000}">
      <formula1>"Open + Dry Balcony Area, Fungible area,Balcony Area,Chajja Area,Cornice Area,AP Area,WS Area"</formula1>
    </dataValidation>
    <dataValidation type="list" allowBlank="1" showInputMessage="1" showErrorMessage="1" sqref="E127:E128" xr:uid="{00000000-0002-0000-0000-000004000000}">
      <formula1>"Attached Loft area,Attached Otla area,Attached Mezzanine area"</formula1>
    </dataValidation>
    <dataValidation type="list" allowBlank="1" showInputMessage="1" showErrorMessage="1" sqref="B127" xr:uid="{00000000-0002-0000-0000-000005000000}">
      <formula1>"Shop No. (Sale Plan),Sale / Rehab,Sale / Mhada"</formula1>
    </dataValidation>
    <dataValidation type="list" allowBlank="1" showInputMessage="1" showErrorMessage="1" sqref="H139 H128" xr:uid="{00000000-0002-0000-0000-000006000000}">
      <formula1>".45,.50,.55,.60"</formula1>
    </dataValidation>
  </dataValidations>
  <hyperlinks>
    <hyperlink ref="C19" r:id="rId1" xr:uid="{00000000-0004-0000-0000-000000000000}"/>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5" manualBreakCount="5">
    <brk id="30" max="7" man="1"/>
    <brk id="60" max="7" man="1"/>
    <brk id="183" max="16383" man="1"/>
    <brk id="235" max="7" man="1"/>
    <brk id="287"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
  <sheetViews>
    <sheetView topLeftCell="A14" zoomScaleNormal="100" workbookViewId="0">
      <selection activeCell="E32" sqref="E32"/>
    </sheetView>
  </sheetViews>
  <sheetFormatPr defaultRowHeight="15" x14ac:dyDescent="0.25"/>
  <cols>
    <col min="1" max="1" width="24.140625" customWidth="1"/>
    <col min="2" max="6" width="17.5703125" customWidth="1"/>
    <col min="7" max="7" width="10.42578125" customWidth="1"/>
  </cols>
  <sheetData>
    <row r="1" spans="1:8" x14ac:dyDescent="0.25">
      <c r="A1" s="250" t="s">
        <v>112</v>
      </c>
      <c r="B1" s="251"/>
      <c r="C1" s="9" t="s">
        <v>58</v>
      </c>
      <c r="D1" s="9" t="s">
        <v>59</v>
      </c>
      <c r="E1" s="9" t="s">
        <v>60</v>
      </c>
      <c r="F1" s="10" t="s">
        <v>46</v>
      </c>
    </row>
    <row r="2" spans="1:8" x14ac:dyDescent="0.25">
      <c r="A2" s="252"/>
      <c r="B2" s="253"/>
      <c r="C2" s="7">
        <v>0</v>
      </c>
      <c r="D2" s="21">
        <v>1</v>
      </c>
      <c r="E2" s="7">
        <v>0</v>
      </c>
      <c r="F2" s="8">
        <f ca="1">--TRIM(RIGHT(SUBSTITUTE(LEFT(A1,_xlfn.AGGREGATE(16,6,FIND({0,1,2,3,4,5,6,7,8,9},A1,ROW(INDIRECT("1:"&amp;LEN(A1)))),1))," ",REPT(" ",LEN(A1))),LEN(A1)))</f>
        <v>3</v>
      </c>
    </row>
    <row r="3" spans="1:8" x14ac:dyDescent="0.25">
      <c r="A3" s="2" t="s">
        <v>61</v>
      </c>
      <c r="B3" s="3" t="s">
        <v>62</v>
      </c>
      <c r="C3" s="19" t="s">
        <v>63</v>
      </c>
      <c r="D3" s="22" t="s">
        <v>56</v>
      </c>
      <c r="E3" s="254" t="s">
        <v>131</v>
      </c>
      <c r="F3" s="255"/>
      <c r="G3" s="31" t="s">
        <v>64</v>
      </c>
      <c r="H3" s="26">
        <f ca="1">F2*25%</f>
        <v>0.75</v>
      </c>
    </row>
    <row r="4" spans="1:8" x14ac:dyDescent="0.25">
      <c r="A4" s="2" t="s">
        <v>65</v>
      </c>
      <c r="B4" s="4">
        <f ca="1">H5</f>
        <v>3</v>
      </c>
      <c r="C4" s="20">
        <f ca="1">((100/F2)*B4)/100</f>
        <v>1</v>
      </c>
      <c r="D4" s="24" t="str">
        <f ca="1">IF(C13=100%,"All work Completed. Possession granted to the Building.",IF(C12=100%,"All work Completed, Waiting for OC",D10&amp;""&amp;D11&amp;""&amp;D9&amp;""&amp;D12&amp;" "&amp;D13))</f>
        <v xml:space="preserve">Excavation, Plinth, RCC Slab, Brickwork Completed </v>
      </c>
      <c r="E4" s="256" t="str">
        <f ca="1">D4</f>
        <v xml:space="preserve">Excavation, Plinth, RCC Slab, Brickwork Completed </v>
      </c>
      <c r="F4" s="257"/>
      <c r="G4" s="1" t="s">
        <v>66</v>
      </c>
      <c r="H4" s="27">
        <f ca="1">F2*50%</f>
        <v>1.5</v>
      </c>
    </row>
    <row r="5" spans="1:8" x14ac:dyDescent="0.25">
      <c r="A5" s="2" t="s">
        <v>67</v>
      </c>
      <c r="B5" s="5">
        <f ca="1">H13</f>
        <v>3</v>
      </c>
      <c r="C5" s="20">
        <f ca="1">((100/F2)*B5)/100</f>
        <v>1</v>
      </c>
      <c r="D5" s="25"/>
      <c r="E5" s="258"/>
      <c r="F5" s="259"/>
      <c r="G5" s="1" t="s">
        <v>68</v>
      </c>
      <c r="H5" s="27">
        <f ca="1">F2</f>
        <v>3</v>
      </c>
    </row>
    <row r="6" spans="1:8" x14ac:dyDescent="0.25">
      <c r="A6" s="2" t="s">
        <v>69</v>
      </c>
      <c r="B6" s="5">
        <v>4</v>
      </c>
      <c r="C6" s="20">
        <f ca="1">((100/(D2+E2+F2))*B6)/100</f>
        <v>1</v>
      </c>
      <c r="D6" s="25"/>
      <c r="E6" s="258"/>
      <c r="F6" s="259"/>
      <c r="G6" s="1" t="s">
        <v>70</v>
      </c>
      <c r="H6" s="28">
        <f ca="1">(IF(C2&gt;1,(F2/(C2+2)),F2/4))</f>
        <v>0.75</v>
      </c>
    </row>
    <row r="7" spans="1:8" x14ac:dyDescent="0.25">
      <c r="A7" s="2" t="s">
        <v>71</v>
      </c>
      <c r="B7" s="4">
        <v>3</v>
      </c>
      <c r="C7" s="20">
        <f ca="1">((100/F2)*B7)/100</f>
        <v>1</v>
      </c>
      <c r="D7" s="25"/>
      <c r="E7" s="258"/>
      <c r="F7" s="259"/>
      <c r="G7" s="1" t="s">
        <v>72</v>
      </c>
      <c r="H7" s="28">
        <f ca="1">(IF(C2&gt;1,(F2/(C2+2)+H6),F2/4+H6))</f>
        <v>1.5</v>
      </c>
    </row>
    <row r="8" spans="1:8" x14ac:dyDescent="0.25">
      <c r="A8" s="2" t="s">
        <v>73</v>
      </c>
      <c r="B8" s="4">
        <v>0</v>
      </c>
      <c r="C8" s="20">
        <f ca="1">((100/F2)*B8)/100</f>
        <v>0</v>
      </c>
      <c r="D8" s="23">
        <f ca="1">(((B5/F2*10)+(40/(D2+E2+F2)*B6)+(15/(F2)*B7)+(5/(F2)*B8)+(5/F2*B9)+(10/F2*B10)+(5/F2*B11)+(5/F2*B12)+(5/F2*B13))/100)</f>
        <v>0.65</v>
      </c>
      <c r="E8" s="258"/>
      <c r="F8" s="259"/>
      <c r="G8" s="1" t="s">
        <v>74</v>
      </c>
      <c r="H8" s="28">
        <f>(IF(C2&gt;1,(F2/(C2+2)+H7),0))</f>
        <v>0</v>
      </c>
    </row>
    <row r="9" spans="1:8" x14ac:dyDescent="0.25">
      <c r="A9" s="2" t="s">
        <v>75</v>
      </c>
      <c r="B9" s="4">
        <v>0</v>
      </c>
      <c r="C9" s="20">
        <f ca="1">((100/(F2))*B9)/100</f>
        <v>0</v>
      </c>
      <c r="D9" s="25"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58"/>
      <c r="F9" s="259"/>
      <c r="G9" s="1" t="s">
        <v>76</v>
      </c>
      <c r="H9" s="28">
        <f>(IF(C2&gt;2,(F2/(C2+2)+H8),0))</f>
        <v>0</v>
      </c>
    </row>
    <row r="10" spans="1:8" x14ac:dyDescent="0.25">
      <c r="A10" s="2" t="s">
        <v>77</v>
      </c>
      <c r="B10" s="4">
        <v>0</v>
      </c>
      <c r="C10" s="20">
        <f ca="1">((100/F2)*B10)/100</f>
        <v>0</v>
      </c>
      <c r="D10" s="25" t="str">
        <f ca="1">IF(C4=100%,"Excavation","")&amp;IF(C5=100%,", Plinth","")&amp;IF(C6=100%,", RCC Slab","")&amp;IF(C7=100%,", Brickwork","")&amp;IF(C8=100%,", Internal Plaster","")&amp;IF(C9=100%,", External Plaster","")&amp;IF(C10=100%,", Flooring","")&amp;IF(C11=100%,", Painting","")&amp;IF(C12=100%,", Building common Amenities","")</f>
        <v>Excavation, Plinth, RCC Slab, Brickwork</v>
      </c>
      <c r="E10" s="258"/>
      <c r="F10" s="259"/>
      <c r="G10" s="1" t="s">
        <v>78</v>
      </c>
      <c r="H10" s="29">
        <f>(IF(C2&gt;3,(F2/(C2+2)+H9),0))</f>
        <v>0</v>
      </c>
    </row>
    <row r="11" spans="1:8" x14ac:dyDescent="0.25">
      <c r="A11" s="2" t="s">
        <v>79</v>
      </c>
      <c r="B11" s="4">
        <v>0</v>
      </c>
      <c r="C11" s="20">
        <f ca="1">((100/F2)*B11)/100</f>
        <v>0</v>
      </c>
      <c r="D11" s="25" t="str">
        <f ca="1">IF(D10&lt;&gt;""," Completed","")</f>
        <v xml:space="preserve"> Completed</v>
      </c>
      <c r="E11" s="258"/>
      <c r="F11" s="259"/>
      <c r="G11" s="1" t="s">
        <v>80</v>
      </c>
      <c r="H11" s="28">
        <f>(IF(C2&gt;4,(F2/(C2+2)+H10),0))</f>
        <v>0</v>
      </c>
    </row>
    <row r="12" spans="1:8" x14ac:dyDescent="0.25">
      <c r="A12" s="2" t="s">
        <v>81</v>
      </c>
      <c r="B12" s="4">
        <v>0</v>
      </c>
      <c r="C12" s="20">
        <f ca="1">((100/(F2))*B12)/100</f>
        <v>0</v>
      </c>
      <c r="D12" s="25"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58"/>
      <c r="F12" s="259"/>
      <c r="G12" s="1" t="s">
        <v>82</v>
      </c>
      <c r="H12" s="28">
        <f ca="1">(IF(C2=1,(F2/(C2+3)+H7),IF(C2=0,(F2/4+H7),IF(C2&gt;1,0))))</f>
        <v>2.25</v>
      </c>
    </row>
    <row r="13" spans="1:8" ht="15.75" thickBot="1" x14ac:dyDescent="0.3">
      <c r="A13" s="33" t="s">
        <v>83</v>
      </c>
      <c r="B13" s="34">
        <v>0</v>
      </c>
      <c r="C13" s="35">
        <f ca="1">((100/(F2))*B13)/100</f>
        <v>0</v>
      </c>
      <c r="D13" s="36" t="str">
        <f ca="1">IF(D12&lt;&gt;"","Completed","")</f>
        <v/>
      </c>
      <c r="E13" s="260"/>
      <c r="F13" s="261"/>
      <c r="G13" s="32" t="s">
        <v>84</v>
      </c>
      <c r="H13" s="30">
        <f ca="1">(IF(C2&gt;1.5,(F2/(C2+2)+H7+MAX(0,H8-H7)+MAX(0,H9-H8)+MAX(0,H10-H9)+MAX(0,H11-H10)+MAX(0,H12-H11)),IF(C2=1,(F2/(C2+3)+H12),IF(C2=0,F2/4+H12))))</f>
        <v>3</v>
      </c>
    </row>
  </sheetData>
  <mergeCells count="3">
    <mergeCell ref="A1:B2"/>
    <mergeCell ref="E3:F3"/>
    <mergeCell ref="E4:F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SACHIN</cp:lastModifiedBy>
  <cp:lastPrinted>2025-08-25T12:50:08Z</cp:lastPrinted>
  <dcterms:created xsi:type="dcterms:W3CDTF">2019-01-21T04:29:02Z</dcterms:created>
  <dcterms:modified xsi:type="dcterms:W3CDTF">2025-08-25T12:52:10Z</dcterms:modified>
</cp:coreProperties>
</file>