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2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C95" i="1" l="1"/>
  <c r="C68" i="1" l="1"/>
  <c r="C96" i="1"/>
  <c r="E3" i="1" l="1"/>
  <c r="D209" i="1" l="1"/>
  <c r="F209" i="1" s="1"/>
  <c r="D208" i="1"/>
  <c r="F208" i="1" s="1"/>
  <c r="D207" i="1"/>
  <c r="F207" i="1" s="1"/>
  <c r="D206" i="1"/>
  <c r="F206" i="1" s="1"/>
  <c r="O203" i="1"/>
  <c r="D203" i="1"/>
  <c r="F203" i="1" s="1"/>
  <c r="G202" i="1"/>
  <c r="D202" i="1"/>
  <c r="F202" i="1" s="1"/>
  <c r="I202" i="1" s="1"/>
  <c r="D200" i="1"/>
  <c r="D199" i="1"/>
  <c r="F199" i="1" s="1"/>
  <c r="D198" i="1"/>
  <c r="F198" i="1" s="1"/>
  <c r="D197" i="1"/>
  <c r="F197" i="1" s="1"/>
  <c r="D196" i="1"/>
  <c r="F196" i="1" s="1"/>
  <c r="K194" i="1" s="1"/>
  <c r="D195" i="1"/>
  <c r="F195" i="1" s="1"/>
  <c r="D193" i="1"/>
  <c r="F193" i="1" s="1"/>
  <c r="I193" i="1" s="1"/>
  <c r="D194" i="1"/>
  <c r="F194" i="1" s="1"/>
  <c r="F200" i="1"/>
  <c r="O194" i="1"/>
  <c r="O195" i="1" s="1"/>
  <c r="G193" i="1"/>
  <c r="C75" i="1"/>
  <c r="J86" i="1"/>
  <c r="J85" i="1"/>
  <c r="P202" i="1"/>
  <c r="P193" i="1"/>
  <c r="E127" i="1" l="1"/>
  <c r="K193" i="1"/>
  <c r="K195" i="1" s="1"/>
  <c r="G127" i="1"/>
  <c r="C127" i="1"/>
  <c r="N202" i="1"/>
  <c r="P203" i="1"/>
  <c r="P204" i="1" s="1"/>
  <c r="P205" i="1" s="1"/>
  <c r="P206" i="1" s="1"/>
  <c r="P207" i="1" s="1"/>
  <c r="P208" i="1" s="1"/>
  <c r="P209" i="1" s="1"/>
  <c r="O204" i="1"/>
  <c r="N193" i="1"/>
  <c r="P194" i="1"/>
  <c r="O196" i="1"/>
  <c r="D168" i="1"/>
  <c r="N203" i="1" l="1"/>
  <c r="O205" i="1"/>
  <c r="N204" i="1"/>
  <c r="O197" i="1"/>
  <c r="P195" i="1"/>
  <c r="N194" i="1"/>
  <c r="O206" i="1" l="1"/>
  <c r="N205" i="1"/>
  <c r="O198" i="1"/>
  <c r="P196" i="1"/>
  <c r="N195" i="1"/>
  <c r="D169" i="1"/>
  <c r="D165" i="1"/>
  <c r="D160" i="1"/>
  <c r="D156" i="1"/>
  <c r="D153" i="1"/>
  <c r="N206" i="1" l="1"/>
  <c r="O207" i="1"/>
  <c r="P197" i="1"/>
  <c r="N196" i="1"/>
  <c r="O199" i="1"/>
  <c r="C89" i="1"/>
  <c r="C61" i="1"/>
  <c r="J100" i="1"/>
  <c r="J99" i="1"/>
  <c r="F169" i="1"/>
  <c r="I169" i="1" s="1"/>
  <c r="F168" i="1"/>
  <c r="D167" i="1"/>
  <c r="F167" i="1" s="1"/>
  <c r="I167" i="1" s="1"/>
  <c r="D166" i="1"/>
  <c r="F166" i="1" s="1"/>
  <c r="F165" i="1"/>
  <c r="D164" i="1"/>
  <c r="F164" i="1" s="1"/>
  <c r="G162" i="1"/>
  <c r="J162" i="1"/>
  <c r="F160" i="1"/>
  <c r="F156" i="1"/>
  <c r="D159" i="1"/>
  <c r="F159" i="1" s="1"/>
  <c r="D158" i="1"/>
  <c r="F158" i="1" s="1"/>
  <c r="D157" i="1"/>
  <c r="F157" i="1" s="1"/>
  <c r="D155" i="1"/>
  <c r="F155" i="1" s="1"/>
  <c r="D154" i="1"/>
  <c r="F154" i="1" s="1"/>
  <c r="F153" i="1"/>
  <c r="I153" i="1" s="1"/>
  <c r="O154" i="1"/>
  <c r="O155" i="1" s="1"/>
  <c r="G153" i="1"/>
  <c r="O162" i="1"/>
  <c r="P153" i="1"/>
  <c r="P162" i="1"/>
  <c r="N207" i="1" l="1"/>
  <c r="O208" i="1"/>
  <c r="P198" i="1"/>
  <c r="N197" i="1"/>
  <c r="O200" i="1"/>
  <c r="G125" i="1"/>
  <c r="E125" i="1"/>
  <c r="C125" i="1"/>
  <c r="N162" i="1"/>
  <c r="O163" i="1"/>
  <c r="P163" i="1"/>
  <c r="P164" i="1" s="1"/>
  <c r="P165" i="1" s="1"/>
  <c r="P166" i="1" s="1"/>
  <c r="P167" i="1" s="1"/>
  <c r="P168" i="1" s="1"/>
  <c r="P169" i="1" s="1"/>
  <c r="N153" i="1"/>
  <c r="P154" i="1"/>
  <c r="O156" i="1"/>
  <c r="D173" i="1"/>
  <c r="O209" i="1" l="1"/>
  <c r="N209" i="1" s="1"/>
  <c r="N208" i="1"/>
  <c r="P199" i="1"/>
  <c r="N198" i="1"/>
  <c r="O164" i="1"/>
  <c r="N163" i="1"/>
  <c r="N154" i="1"/>
  <c r="P155" i="1"/>
  <c r="O157" i="1"/>
  <c r="D183" i="1"/>
  <c r="D186" i="1"/>
  <c r="D187" i="1"/>
  <c r="D188" i="1"/>
  <c r="F188" i="1" s="1"/>
  <c r="D189" i="1"/>
  <c r="F189" i="1" s="1"/>
  <c r="I189" i="1" s="1"/>
  <c r="D182" i="1"/>
  <c r="D177" i="1"/>
  <c r="D178" i="1"/>
  <c r="D179" i="1"/>
  <c r="F179" i="1" s="1"/>
  <c r="D180" i="1"/>
  <c r="F180" i="1" s="1"/>
  <c r="D175" i="1"/>
  <c r="D176" i="1"/>
  <c r="D174" i="1"/>
  <c r="F174" i="1" s="1"/>
  <c r="D145" i="1"/>
  <c r="F145" i="1" s="1"/>
  <c r="D146" i="1"/>
  <c r="F146" i="1" s="1"/>
  <c r="D144" i="1"/>
  <c r="F144" i="1" s="1"/>
  <c r="D139" i="1"/>
  <c r="D140" i="1"/>
  <c r="D141" i="1"/>
  <c r="D142" i="1"/>
  <c r="F142" i="1" s="1"/>
  <c r="D143" i="1"/>
  <c r="F143" i="1" s="1"/>
  <c r="D138" i="1"/>
  <c r="D136" i="1"/>
  <c r="D137" i="1"/>
  <c r="D135" i="1"/>
  <c r="P200" i="1" l="1"/>
  <c r="N200" i="1" s="1"/>
  <c r="N199" i="1"/>
  <c r="E122" i="1"/>
  <c r="C122" i="1"/>
  <c r="C126" i="1"/>
  <c r="C128" i="1" s="1"/>
  <c r="E126" i="1"/>
  <c r="E128" i="1" s="1"/>
  <c r="N164" i="1"/>
  <c r="O165" i="1"/>
  <c r="O158" i="1"/>
  <c r="P156" i="1"/>
  <c r="N155" i="1"/>
  <c r="D58" i="1"/>
  <c r="N165" i="1" l="1"/>
  <c r="O166" i="1"/>
  <c r="P157" i="1"/>
  <c r="N156" i="1"/>
  <c r="O159" i="1"/>
  <c r="J72" i="1"/>
  <c r="J71" i="1"/>
  <c r="H62" i="1"/>
  <c r="N166" i="1" l="1"/>
  <c r="O167" i="1"/>
  <c r="P158" i="1"/>
  <c r="N157" i="1"/>
  <c r="O160" i="1"/>
  <c r="D67" i="1"/>
  <c r="D73" i="1"/>
  <c r="J65" i="1"/>
  <c r="D74" i="1"/>
  <c r="D70" i="1"/>
  <c r="J66" i="1"/>
  <c r="C65" i="1" s="1"/>
  <c r="D65" i="1" s="1"/>
  <c r="J64" i="1"/>
  <c r="D69" i="1"/>
  <c r="D72" i="1"/>
  <c r="D68" i="1"/>
  <c r="J67" i="1"/>
  <c r="J68" i="1" s="1"/>
  <c r="J73" i="1" s="1"/>
  <c r="D71" i="1"/>
  <c r="G46" i="1"/>
  <c r="O182" i="1"/>
  <c r="H76" i="1"/>
  <c r="H90" i="1"/>
  <c r="D82" i="1" l="1"/>
  <c r="D88" i="1"/>
  <c r="D86" i="1"/>
  <c r="J81" i="1"/>
  <c r="J82" i="1" s="1"/>
  <c r="J83" i="1" s="1"/>
  <c r="J84" i="1" s="1"/>
  <c r="D81" i="1"/>
  <c r="J79" i="1"/>
  <c r="D87" i="1"/>
  <c r="D85" i="1"/>
  <c r="J80" i="1"/>
  <c r="C79" i="1" s="1"/>
  <c r="J78" i="1"/>
  <c r="J94" i="1"/>
  <c r="C93" i="1" s="1"/>
  <c r="D93" i="1" s="1"/>
  <c r="J92" i="1"/>
  <c r="D99" i="1"/>
  <c r="D102" i="1"/>
  <c r="D98" i="1"/>
  <c r="D95" i="1"/>
  <c r="J95" i="1"/>
  <c r="J96" i="1" s="1"/>
  <c r="J101" i="1" s="1"/>
  <c r="D101" i="1"/>
  <c r="D97" i="1"/>
  <c r="J93" i="1"/>
  <c r="D100" i="1"/>
  <c r="D96" i="1"/>
  <c r="N167" i="1"/>
  <c r="O168" i="1"/>
  <c r="P159" i="1"/>
  <c r="N158" i="1"/>
  <c r="J69" i="1"/>
  <c r="J70" i="1" s="1"/>
  <c r="A212" i="1"/>
  <c r="A213" i="1" s="1"/>
  <c r="A214" i="1" s="1"/>
  <c r="A215" i="1" s="1"/>
  <c r="A216" i="1" s="1"/>
  <c r="D84" i="1" l="1"/>
  <c r="D83" i="1"/>
  <c r="J87" i="1"/>
  <c r="J88" i="1" s="1"/>
  <c r="C80" i="1" s="1"/>
  <c r="D79" i="1"/>
  <c r="J97" i="1"/>
  <c r="J98" i="1" s="1"/>
  <c r="N168" i="1"/>
  <c r="O169" i="1"/>
  <c r="N169" i="1" s="1"/>
  <c r="P160" i="1"/>
  <c r="N160" i="1" s="1"/>
  <c r="N159" i="1"/>
  <c r="J74" i="1"/>
  <c r="C66" i="1" s="1"/>
  <c r="P173" i="1"/>
  <c r="P182" i="1"/>
  <c r="G79" i="1" l="1"/>
  <c r="D80" i="1"/>
  <c r="E79" i="1"/>
  <c r="I75" i="1" s="1"/>
  <c r="C77" i="1" s="1"/>
  <c r="J102" i="1"/>
  <c r="C94" i="1" s="1"/>
  <c r="E65" i="1"/>
  <c r="I61" i="1" s="1"/>
  <c r="C63" i="1" s="1"/>
  <c r="D66" i="1"/>
  <c r="G65" i="1"/>
  <c r="N182" i="1"/>
  <c r="N173" i="1"/>
  <c r="E93" i="1" l="1"/>
  <c r="I89" i="1" s="1"/>
  <c r="C91" i="1" s="1"/>
  <c r="D94" i="1"/>
  <c r="G93" i="1"/>
  <c r="D60" i="1"/>
  <c r="F103" i="1" s="1"/>
  <c r="C13" i="1" l="1"/>
  <c r="E40" i="1" l="1"/>
  <c r="E41" i="1" s="1"/>
  <c r="F176" i="1" l="1"/>
  <c r="F178" i="1"/>
  <c r="F187" i="1"/>
  <c r="I187" i="1" s="1"/>
  <c r="F186" i="1"/>
  <c r="F183" i="1"/>
  <c r="F182" i="1"/>
  <c r="J182" i="1" s="1"/>
  <c r="F177" i="1"/>
  <c r="F175" i="1"/>
  <c r="F173" i="1"/>
  <c r="F135" i="1"/>
  <c r="G135" i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F136" i="1"/>
  <c r="F137" i="1"/>
  <c r="F138" i="1"/>
  <c r="F139" i="1"/>
  <c r="F140" i="1"/>
  <c r="F141" i="1"/>
  <c r="I140" i="1" s="1"/>
  <c r="G122" i="1" l="1"/>
  <c r="G126" i="1"/>
  <c r="G128" i="1" s="1"/>
  <c r="O183" i="1"/>
  <c r="G173" i="1"/>
  <c r="P183" i="1" l="1"/>
  <c r="P184" i="1" s="1"/>
  <c r="P185" i="1" s="1"/>
  <c r="P186" i="1" s="1"/>
  <c r="P187" i="1" s="1"/>
  <c r="P188" i="1" s="1"/>
  <c r="P189" i="1" s="1"/>
  <c r="O184" i="1"/>
  <c r="O174" i="1"/>
  <c r="G182" i="1"/>
  <c r="E24" i="1"/>
  <c r="E22" i="1"/>
  <c r="N183" i="1" l="1"/>
  <c r="N184" i="1"/>
  <c r="O185" i="1"/>
  <c r="N185" i="1" s="1"/>
  <c r="P174" i="1"/>
  <c r="P175" i="1" s="1"/>
  <c r="P176" i="1" s="1"/>
  <c r="P177" i="1" s="1"/>
  <c r="P178" i="1" s="1"/>
  <c r="P179" i="1" s="1"/>
  <c r="P180" i="1" s="1"/>
  <c r="O175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74" i="1" l="1"/>
  <c r="N175" i="1"/>
  <c r="O186" i="1"/>
  <c r="N186" i="1" s="1"/>
  <c r="O176" i="1"/>
  <c r="N176" i="1" s="1"/>
  <c r="G12" i="5"/>
  <c r="O187" i="1" l="1"/>
  <c r="O177" i="1"/>
  <c r="N177" i="1" s="1"/>
  <c r="N187" i="1" l="1"/>
  <c r="O188" i="1"/>
  <c r="O178" i="1"/>
  <c r="N188" i="1" l="1"/>
  <c r="O189" i="1"/>
  <c r="N189" i="1" s="1"/>
  <c r="N178" i="1"/>
  <c r="O179" i="1"/>
  <c r="N179" i="1" l="1"/>
  <c r="O180" i="1"/>
  <c r="N180" i="1" s="1"/>
  <c r="D235" i="1"/>
  <c r="F119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<sst xmlns="http://schemas.openxmlformats.org/spreadsheetml/2006/main" count="450" uniqueCount="251">
  <si>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</si>
  <si>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</si>
  <si>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</si>
  <si>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</si>
  <si>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</si>
  <si>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</si>
  <si>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</si>
  <si>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</si>
  <si>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</si>
  <si>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</si>
  <si>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</si>
  <si>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</si>
  <si>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</si>
  <si>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</si>
  <si>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</si>
  <si>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</si>
  <si>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</si>
  <si>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</si>
  <si>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</si>
  <si>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</si>
  <si>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</si>
  <si>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</si>
  <si>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</si>
  <si>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</si>
  <si>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</si>
  <si>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</si>
  <si>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</si>
  <si>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</si>
  <si>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</si>
  <si>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</si>
  <si>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</si>
  <si>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</si>
  <si>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</si>
  <si>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</si>
  <si>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</si>
  <si>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</si>
  <si>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</si>
  <si>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</si>
  <si>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</si>
  <si>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</si>
  <si>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</si>
  <si>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</si>
  <si>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</si>
  <si>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</si>
  <si>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</si>
  <si>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</si>
  <si>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</si>
  <si>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</si>
  <si>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</si>
  <si>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</si>
  <si>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</si>
  <si>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</si>
  <si>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</si>
  <si>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</si>
  <si>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</si>
  <si>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</si>
  <si>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</si>
  <si>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</si>
  <si>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</si>
  <si>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</si>
  <si>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</si>
  <si>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</si>
  <si>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</si>
  <si>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</si>
  <si>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</si>
  <si>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</si>
  <si>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</si>
  <si>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</si>
  <si>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</si>
  <si>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</si>
  <si>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</si>
  <si>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</si>
  <si>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</si>
  <si>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</si>
  <si>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</si>
  <si>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</si>
  <si>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</si>
  <si>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</si>
  <si>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</si>
  <si>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</si>
  <si>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</si>
  <si>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</si>
  <si>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</si>
  <si>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</si>
  <si>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</si>
  <si>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</si>
  <si>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</si>
  <si>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</si>
  <si>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</si>
  <si>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</si>
  <si>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</si>
  <si>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</si>
  <si>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</si>
  <si>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</si>
  <si>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</si>
  <si>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</si>
  <si>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</si>
  <si>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</si>
  <si>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</si>
  <si>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</si>
  <si>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</si>
  <si>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</si>
  <si>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</si>
  <si>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</si>
  <si>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</si>
  <si>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</si>
  <si>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</si>
  <si>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</si>
  <si>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</si>
  <si>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</si>
  <si>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</si>
  <si>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</si>
  <si>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</si>
  <si>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</si>
  <si>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</si>
  <si>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</si>
  <si>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</si>
  <si>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</si>
  <si>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</si>
  <si>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</si>
  <si>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</si>
  <si>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</si>
  <si>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</si>
  <si>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</si>
  <si>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</si>
  <si>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</si>
  <si>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</si>
  <si>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</si>
  <si>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</si>
  <si>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</si>
  <si>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</si>
  <si>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</si>
  <si>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</si>
  <si>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</si>
  <si>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</si>
  <si>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</si>
  <si>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</si>
  <si>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</si>
  <si>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</si>
  <si>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</si>
  <si>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</si>
  <si>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</si>
  <si>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</si>
  <si>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</si>
  <si>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</si>
  <si>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</si>
  <si>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</si>
  <si>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</si>
  <si>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</si>
  <si>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</si>
  <si>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</si>
  <si>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</si>
  <si>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</si>
  <si>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</si>
  <si>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</si>
  <si>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</si>
  <si>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</si>
  <si>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</si>
  <si>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</si>
  <si>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</si>
  <si>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</si>
  <si>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</si>
  <si>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</si>
  <si>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</si>
  <si>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</si>
  <si>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</si>
  <si>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</si>
  <si>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</si>
  <si>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</si>
  <si>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</si>
  <si>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</si>
  <si>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</si>
  <si>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</si>
  <si>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</si>
  <si>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</si>
  <si>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</si>
  <si>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</si>
  <si>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</si>
  <si>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</si>
  <si>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</si>
  <si>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</si>
  <si>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</si>
  <si>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</si>
  <si>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</si>
  <si>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</si>
  <si>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</si>
  <si>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</si>
  <si>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Ground Floor for Commercial (Shop line)</t>
  </si>
  <si>
    <t>Shop</t>
  </si>
  <si>
    <t>1st to 8th, 10th to 12th, 14th to 17th, 19th to 22nd, 24th to 27th &amp; 29th Floor</t>
  </si>
  <si>
    <t>2BHK</t>
  </si>
  <si>
    <t>9th, 13th, 18th, 23rd &amp; 28th Floor (Part Refuge Area)</t>
  </si>
  <si>
    <t>Refuge Area</t>
  </si>
  <si>
    <t>Axis Sanpada</t>
  </si>
  <si>
    <t>Name of the builder name</t>
  </si>
  <si>
    <t>M/S. Shree Developers</t>
  </si>
  <si>
    <t>Unique Vistas</t>
  </si>
  <si>
    <t>Heman Bhatt- 8108109121/22</t>
  </si>
  <si>
    <t>Approved Plans, CC, Sale Plans.</t>
  </si>
  <si>
    <t>Survey No</t>
  </si>
  <si>
    <t>59A/2B, 59A/16B 1/1/1, 59A/16B-2, Gut No. 59A/2/G/1, Gut No. 59A/2/G/2</t>
  </si>
  <si>
    <t>Thane</t>
  </si>
  <si>
    <t>Thane west</t>
  </si>
  <si>
    <t>Internal road</t>
  </si>
  <si>
    <t>Hollyhock, Cosmos Lounge</t>
  </si>
  <si>
    <t>Internal Road</t>
  </si>
  <si>
    <t>Open plot</t>
  </si>
  <si>
    <t>Open land</t>
  </si>
  <si>
    <t>V.P.S04/0019/10TMC/TDD/1430/15</t>
  </si>
  <si>
    <t>V.P.No. S04/0019/10TMC/TDD/2399/17</t>
  </si>
  <si>
    <t>We considered  Saleable area  as per our calculation.</t>
  </si>
  <si>
    <t>We considered Gross carpet area = Net carpet + Balcony + C.B Area.</t>
  </si>
  <si>
    <t>Ground Floor for Parking</t>
  </si>
  <si>
    <t>7.9 Km from Thane Railway Station</t>
  </si>
  <si>
    <t>Building</t>
  </si>
  <si>
    <t>Chitalsar - Manpada</t>
  </si>
  <si>
    <t xml:space="preserve">We have considered Layout Plan from RERA site. </t>
  </si>
  <si>
    <t>6,00,000/-</t>
  </si>
  <si>
    <t>demand by akash</t>
  </si>
  <si>
    <t>Recommended rate of the flat Per Sq. Ft. (on Saleable area)
Including all other Charges</t>
  </si>
  <si>
    <t>Recommended rate of the shop Per Sq. Ft. (on Saleable area)</t>
  </si>
  <si>
    <t>Building No. 5</t>
  </si>
  <si>
    <t>Building No. 3</t>
  </si>
  <si>
    <t>1BHK</t>
  </si>
  <si>
    <t>Commercial Area Details : Shop</t>
  </si>
  <si>
    <t>Residential Area Details : Flat</t>
  </si>
  <si>
    <t>On Site, we meet Mr.Richard (Sales) - 8655060030.</t>
  </si>
  <si>
    <t>M/s. Madhu Harshad Doshi</t>
  </si>
  <si>
    <t>Building No.3 = LG 1 to LG 3 + G/St + 1st to 29th Floor</t>
  </si>
  <si>
    <t>Building No.5 = LG 1 to LG 3 + G/St + 1st to 29th Floor</t>
  </si>
  <si>
    <t>We have to Updated revised approved plan of Building No. 3. ( on 15/01/2022).</t>
  </si>
  <si>
    <t xml:space="preserve">                </t>
  </si>
  <si>
    <t xml:space="preserve">Recommended rate should be considered as all inclusive rate if other charges are not mentioned. (Excluding GST &amp; other government Taxes)
</t>
  </si>
  <si>
    <t>Building No. 3, 4 &amp; 5</t>
  </si>
  <si>
    <t>Building No. 3 = P51700004406
Building No. 4 = P51700004399
Building No. 5 = P51700005345</t>
  </si>
  <si>
    <t>3 Building</t>
  </si>
  <si>
    <t>Valid Up to: Building No.3, 4 &amp; 5 = LG 1 to LG 3 + G/St + 1st to 29th Floor</t>
  </si>
  <si>
    <t>Building No.4 = LG 1 to LG 3 + G/St + 1st to 29th Floor</t>
  </si>
  <si>
    <t>Building No. 4</t>
  </si>
  <si>
    <t>Flats - 666, Shops - 12</t>
  </si>
  <si>
    <t>We have to Updated revised approved plan of Building No. 4. ( on 03/09/2022).</t>
  </si>
  <si>
    <t>Building No.3, 4 &amp; 5 = LG 1 to LG 3 + G/St + 1st to 29th Floor</t>
  </si>
  <si>
    <t>Please provide Lower Ground 1,2,3 Floor plan of Building No. 3 &amp; 4</t>
  </si>
  <si>
    <t>Office No. 1031, Wing J, Akshar Business Park, Plot No. 03 Sector 25, Near APMC Market, Vashi, Navi Mumbai, Maharashtra 400703 TEL: 022-46090378/79/8E mail : vsjcapf@gmail.com. Web site : www.vsjadon.com</t>
  </si>
  <si>
    <t>Location Link</t>
  </si>
  <si>
    <t>https://goo.gl/maps/zChECsjx1gyVT5CV8</t>
  </si>
  <si>
    <t>Ajay Songare</t>
  </si>
  <si>
    <t>extra percentage are given</t>
  </si>
  <si>
    <t>Pooja</t>
  </si>
  <si>
    <t>Construction work is in process at the time of Visit.</t>
  </si>
  <si>
    <t>As per RERA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</si>
</sst>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13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17" fillId="0" borderId="13" xfId="0" applyNumberFormat="1" applyFont="1" applyFill="1" applyBorder="1" applyProtection="1">
      <protection hidden="1"/>
    </xf>
    <xf numFmtId="1" fontId="7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3" xfId="0" applyNumberFormat="1" applyFill="1" applyBorder="1"/>
    <xf numFmtId="1" fontId="0" fillId="0" borderId="13" xfId="0" applyNumberFormat="1" applyFill="1" applyBorder="1" applyAlignment="1">
      <alignment horizontal="right"/>
    </xf>
    <xf numFmtId="1" fontId="0" fillId="0" borderId="15" xfId="0" applyNumberForma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7" xfId="1" applyFont="1" applyFill="1" applyBorder="1" applyAlignment="1" applyProtection="1">
      <alignment horizontal="center" wrapText="1"/>
      <protection locked="0"/>
    </xf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15" fillId="0" borderId="0" xfId="1" applyNumberFormat="1" applyFont="1" applyFill="1" applyAlignment="1">
      <alignment horizontal="center" vertical="center"/>
    </xf>
    <xf numFmtId="0" fontId="15" fillId="2" borderId="0" xfId="1" applyFont="1" applyFill="1"/>
    <xf numFmtId="0" fontId="12" fillId="0" borderId="1" xfId="1" applyFont="1" applyFill="1" applyBorder="1" applyAlignment="1" applyProtection="1">
      <alignment horizontal="center" vertical="top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0" fillId="0" borderId="25" xfId="1" applyFont="1" applyFill="1" applyBorder="1" applyAlignment="1" applyProtection="1">
      <alignment horizontal="left" vertical="top" wrapText="1"/>
      <protection locked="0"/>
    </xf>
    <xf numFmtId="0" fontId="10" fillId="0" borderId="18" xfId="1" applyFont="1" applyFill="1" applyBorder="1" applyAlignment="1" applyProtection="1">
      <alignment horizontal="left" vertical="top" wrapText="1"/>
      <protection locked="0"/>
    </xf>
    <xf numFmtId="0" fontId="10" fillId="0" borderId="16" xfId="1" applyFont="1" applyFill="1" applyBorder="1" applyAlignment="1" applyProtection="1">
      <alignment horizontal="left" vertical="top" wrapText="1"/>
      <protection locked="0"/>
    </xf>
    <xf numFmtId="0" fontId="10" fillId="0" borderId="17" xfId="1" applyFont="1" applyFill="1" applyBorder="1" applyAlignment="1" applyProtection="1">
      <alignment horizontal="left" vertical="top" wrapText="1"/>
      <protection locked="0"/>
    </xf>
    <xf numFmtId="0" fontId="10" fillId="0" borderId="26" xfId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9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23" fillId="0" borderId="1" xfId="9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82003</xdr:colOff>
      <xdr:row>281</xdr:row>
      <xdr:rowOff>17318</xdr:rowOff>
    </xdr:from>
    <xdr:to>
      <xdr:col>6</xdr:col>
      <xdr:colOff>246712</xdr:colOff>
      <xdr:row>295</xdr:row>
      <xdr:rowOff>109091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003" y="57608932"/>
          <a:ext cx="431241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77582</xdr:colOff>
      <xdr:row>296</xdr:row>
      <xdr:rowOff>111292</xdr:rowOff>
    </xdr:from>
    <xdr:to>
      <xdr:col>6</xdr:col>
      <xdr:colOff>249851</xdr:colOff>
      <xdr:row>311</xdr:row>
      <xdr:rowOff>3906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582" y="60690292"/>
          <a:ext cx="431997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652352</xdr:colOff>
      <xdr:row>241</xdr:row>
      <xdr:rowOff>172572</xdr:rowOff>
    </xdr:from>
    <xdr:to>
      <xdr:col>10</xdr:col>
      <xdr:colOff>663321</xdr:colOff>
      <xdr:row>243</xdr:row>
      <xdr:rowOff>146250</xdr:rowOff>
    </xdr:to>
    <xdr:sp macro="" textlink="">
      <xdr:nvSpPr>
        <xdr:cNvPr id="20" name="Rectangle 19"/>
        <xdr:cNvSpPr/>
      </xdr:nvSpPr>
      <xdr:spPr>
        <a:xfrm>
          <a:off x="8339027" y="50978922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Bldg 3</a:t>
          </a:r>
        </a:p>
      </xdr:txBody>
    </xdr:sp>
    <xdr:clientData/>
  </xdr:twoCellAnchor>
  <xdr:twoCellAnchor>
    <xdr:from>
      <xdr:col>11</xdr:col>
      <xdr:colOff>10741</xdr:colOff>
      <xdr:row>236</xdr:row>
      <xdr:rowOff>181894</xdr:rowOff>
    </xdr:from>
    <xdr:to>
      <xdr:col>12</xdr:col>
      <xdr:colOff>76662</xdr:colOff>
      <xdr:row>238</xdr:row>
      <xdr:rowOff>165097</xdr:rowOff>
    </xdr:to>
    <xdr:sp macro="" textlink="">
      <xdr:nvSpPr>
        <xdr:cNvPr id="21" name="Rectangle 20"/>
        <xdr:cNvSpPr/>
      </xdr:nvSpPr>
      <xdr:spPr>
        <a:xfrm>
          <a:off x="9164266" y="49997644"/>
          <a:ext cx="770771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Bldg 4</a:t>
          </a:r>
        </a:p>
      </xdr:txBody>
    </xdr:sp>
    <xdr:clientData/>
  </xdr:twoCellAnchor>
  <xdr:twoCellAnchor>
    <xdr:from>
      <xdr:col>9</xdr:col>
      <xdr:colOff>154342</xdr:colOff>
      <xdr:row>231</xdr:row>
      <xdr:rowOff>101501</xdr:rowOff>
    </xdr:from>
    <xdr:to>
      <xdr:col>10</xdr:col>
      <xdr:colOff>165311</xdr:colOff>
      <xdr:row>233</xdr:row>
      <xdr:rowOff>72981</xdr:rowOff>
    </xdr:to>
    <xdr:sp macro="" textlink="">
      <xdr:nvSpPr>
        <xdr:cNvPr id="22" name="Rectangle 21"/>
        <xdr:cNvSpPr/>
      </xdr:nvSpPr>
      <xdr:spPr>
        <a:xfrm>
          <a:off x="7841017" y="48917126"/>
          <a:ext cx="772969" cy="3715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Bldg 5</a:t>
          </a:r>
        </a:p>
      </xdr:txBody>
    </xdr:sp>
    <xdr:clientData/>
  </xdr:twoCellAnchor>
  <xdr:twoCellAnchor>
    <xdr:from>
      <xdr:col>10</xdr:col>
      <xdr:colOff>52277</xdr:colOff>
      <xdr:row>238</xdr:row>
      <xdr:rowOff>172572</xdr:rowOff>
    </xdr:from>
    <xdr:to>
      <xdr:col>11</xdr:col>
      <xdr:colOff>120396</xdr:colOff>
      <xdr:row>240</xdr:row>
      <xdr:rowOff>146250</xdr:rowOff>
    </xdr:to>
    <xdr:sp macro="" textlink="">
      <xdr:nvSpPr>
        <xdr:cNvPr id="14" name="Rectangle 13"/>
        <xdr:cNvSpPr/>
      </xdr:nvSpPr>
      <xdr:spPr>
        <a:xfrm>
          <a:off x="8500952" y="50378847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 3</a:t>
          </a:r>
        </a:p>
      </xdr:txBody>
    </xdr:sp>
    <xdr:clientData/>
  </xdr:twoCellAnchor>
  <xdr:twoCellAnchor>
    <xdr:from>
      <xdr:col>9</xdr:col>
      <xdr:colOff>76200</xdr:colOff>
      <xdr:row>241</xdr:row>
      <xdr:rowOff>19050</xdr:rowOff>
    </xdr:from>
    <xdr:to>
      <xdr:col>10</xdr:col>
      <xdr:colOff>87169</xdr:colOff>
      <xdr:row>242</xdr:row>
      <xdr:rowOff>192753</xdr:rowOff>
    </xdr:to>
    <xdr:sp macro="" textlink="">
      <xdr:nvSpPr>
        <xdr:cNvPr id="15" name="Rectangle 14"/>
        <xdr:cNvSpPr/>
      </xdr:nvSpPr>
      <xdr:spPr>
        <a:xfrm>
          <a:off x="7762875" y="5082540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T4</a:t>
          </a:r>
        </a:p>
      </xdr:txBody>
    </xdr:sp>
    <xdr:clientData/>
  </xdr:twoCellAnchor>
  <xdr:twoCellAnchor>
    <xdr:from>
      <xdr:col>8</xdr:col>
      <xdr:colOff>247651</xdr:colOff>
      <xdr:row>236</xdr:row>
      <xdr:rowOff>38101</xdr:rowOff>
    </xdr:from>
    <xdr:to>
      <xdr:col>8</xdr:col>
      <xdr:colOff>692151</xdr:colOff>
      <xdr:row>238</xdr:row>
      <xdr:rowOff>24892</xdr:rowOff>
    </xdr:to>
    <xdr:sp macro="" textlink="">
      <xdr:nvSpPr>
        <xdr:cNvPr id="19" name="Rectangle 18"/>
        <xdr:cNvSpPr/>
      </xdr:nvSpPr>
      <xdr:spPr>
        <a:xfrm>
          <a:off x="7410451" y="48990251"/>
          <a:ext cx="444500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T5</a:t>
          </a:r>
        </a:p>
      </xdr:txBody>
    </xdr:sp>
    <xdr:clientData/>
  </xdr:twoCellAnchor>
  <xdr:twoCellAnchor>
    <xdr:from>
      <xdr:col>18</xdr:col>
      <xdr:colOff>480902</xdr:colOff>
      <xdr:row>249</xdr:row>
      <xdr:rowOff>67797</xdr:rowOff>
    </xdr:from>
    <xdr:to>
      <xdr:col>20</xdr:col>
      <xdr:colOff>34671</xdr:colOff>
      <xdr:row>251</xdr:row>
      <xdr:rowOff>41475</xdr:rowOff>
    </xdr:to>
    <xdr:sp macro="" textlink="">
      <xdr:nvSpPr>
        <xdr:cNvPr id="36" name="Rectangle 35"/>
        <xdr:cNvSpPr/>
      </xdr:nvSpPr>
      <xdr:spPr>
        <a:xfrm>
          <a:off x="12653852" y="52474347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 3</a:t>
          </a:r>
        </a:p>
      </xdr:txBody>
    </xdr:sp>
    <xdr:clientData/>
  </xdr:twoCellAnchor>
  <xdr:twoCellAnchor>
    <xdr:from>
      <xdr:col>17</xdr:col>
      <xdr:colOff>276225</xdr:colOff>
      <xdr:row>250</xdr:row>
      <xdr:rowOff>9525</xdr:rowOff>
    </xdr:from>
    <xdr:to>
      <xdr:col>18</xdr:col>
      <xdr:colOff>439594</xdr:colOff>
      <xdr:row>251</xdr:row>
      <xdr:rowOff>183228</xdr:rowOff>
    </xdr:to>
    <xdr:sp macro="" textlink="">
      <xdr:nvSpPr>
        <xdr:cNvPr id="37" name="Rectangle 36"/>
        <xdr:cNvSpPr/>
      </xdr:nvSpPr>
      <xdr:spPr>
        <a:xfrm>
          <a:off x="11839575" y="5261610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T4</a:t>
          </a:r>
        </a:p>
      </xdr:txBody>
    </xdr:sp>
    <xdr:clientData/>
  </xdr:twoCellAnchor>
  <xdr:twoCellAnchor>
    <xdr:from>
      <xdr:col>12</xdr:col>
      <xdr:colOff>685800</xdr:colOff>
      <xdr:row>245</xdr:row>
      <xdr:rowOff>104775</xdr:rowOff>
    </xdr:from>
    <xdr:to>
      <xdr:col>17</xdr:col>
      <xdr:colOff>58594</xdr:colOff>
      <xdr:row>247</xdr:row>
      <xdr:rowOff>78453</xdr:rowOff>
    </xdr:to>
    <xdr:sp macro="" textlink="">
      <xdr:nvSpPr>
        <xdr:cNvPr id="38" name="Rectangle 37"/>
        <xdr:cNvSpPr/>
      </xdr:nvSpPr>
      <xdr:spPr>
        <a:xfrm>
          <a:off x="10848975" y="51711225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T5</a:t>
          </a:r>
        </a:p>
      </xdr:txBody>
    </xdr:sp>
    <xdr:clientData/>
  </xdr:twoCellAnchor>
  <xdr:twoCellAnchor>
    <xdr:from>
      <xdr:col>8</xdr:col>
      <xdr:colOff>128477</xdr:colOff>
      <xdr:row>247</xdr:row>
      <xdr:rowOff>10647</xdr:rowOff>
    </xdr:from>
    <xdr:to>
      <xdr:col>8</xdr:col>
      <xdr:colOff>901446</xdr:colOff>
      <xdr:row>248</xdr:row>
      <xdr:rowOff>184350</xdr:rowOff>
    </xdr:to>
    <xdr:sp macro="" textlink="">
      <xdr:nvSpPr>
        <xdr:cNvPr id="39" name="Rectangle 38"/>
        <xdr:cNvSpPr/>
      </xdr:nvSpPr>
      <xdr:spPr>
        <a:xfrm>
          <a:off x="6957902" y="52017147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 3</a:t>
          </a:r>
        </a:p>
      </xdr:txBody>
    </xdr:sp>
    <xdr:clientData/>
  </xdr:twoCellAnchor>
  <xdr:twoCellAnchor>
    <xdr:from>
      <xdr:col>8</xdr:col>
      <xdr:colOff>1057275</xdr:colOff>
      <xdr:row>246</xdr:row>
      <xdr:rowOff>28575</xdr:rowOff>
    </xdr:from>
    <xdr:to>
      <xdr:col>9</xdr:col>
      <xdr:colOff>668194</xdr:colOff>
      <xdr:row>248</xdr:row>
      <xdr:rowOff>2253</xdr:rowOff>
    </xdr:to>
    <xdr:sp macro="" textlink="">
      <xdr:nvSpPr>
        <xdr:cNvPr id="40" name="Rectangle 39"/>
        <xdr:cNvSpPr/>
      </xdr:nvSpPr>
      <xdr:spPr>
        <a:xfrm>
          <a:off x="7886700" y="5183505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T4</a:t>
          </a:r>
        </a:p>
      </xdr:txBody>
    </xdr:sp>
    <xdr:clientData/>
  </xdr:twoCellAnchor>
  <xdr:twoCellAnchor>
    <xdr:from>
      <xdr:col>10</xdr:col>
      <xdr:colOff>152400</xdr:colOff>
      <xdr:row>245</xdr:row>
      <xdr:rowOff>38100</xdr:rowOff>
    </xdr:from>
    <xdr:to>
      <xdr:col>11</xdr:col>
      <xdr:colOff>220519</xdr:colOff>
      <xdr:row>247</xdr:row>
      <xdr:rowOff>11778</xdr:rowOff>
    </xdr:to>
    <xdr:sp macro="" textlink="">
      <xdr:nvSpPr>
        <xdr:cNvPr id="41" name="Rectangle 40"/>
        <xdr:cNvSpPr/>
      </xdr:nvSpPr>
      <xdr:spPr>
        <a:xfrm>
          <a:off x="8905875" y="5164455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T5</a:t>
          </a:r>
        </a:p>
      </xdr:txBody>
    </xdr:sp>
    <xdr:clientData/>
  </xdr:twoCellAnchor>
  <xdr:twoCellAnchor>
    <xdr:from>
      <xdr:col>8</xdr:col>
      <xdr:colOff>280877</xdr:colOff>
      <xdr:row>247</xdr:row>
      <xdr:rowOff>163047</xdr:rowOff>
    </xdr:from>
    <xdr:to>
      <xdr:col>8</xdr:col>
      <xdr:colOff>1053846</xdr:colOff>
      <xdr:row>249</xdr:row>
      <xdr:rowOff>136725</xdr:rowOff>
    </xdr:to>
    <xdr:sp macro="" textlink="">
      <xdr:nvSpPr>
        <xdr:cNvPr id="31" name="Rectangle 30"/>
        <xdr:cNvSpPr/>
      </xdr:nvSpPr>
      <xdr:spPr>
        <a:xfrm>
          <a:off x="7110302" y="52169547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 3</a:t>
          </a:r>
        </a:p>
      </xdr:txBody>
    </xdr:sp>
    <xdr:clientData/>
  </xdr:twoCellAnchor>
  <xdr:twoCellAnchor>
    <xdr:from>
      <xdr:col>9</xdr:col>
      <xdr:colOff>47625</xdr:colOff>
      <xdr:row>246</xdr:row>
      <xdr:rowOff>180975</xdr:rowOff>
    </xdr:from>
    <xdr:to>
      <xdr:col>10</xdr:col>
      <xdr:colOff>58594</xdr:colOff>
      <xdr:row>248</xdr:row>
      <xdr:rowOff>154653</xdr:rowOff>
    </xdr:to>
    <xdr:sp macro="" textlink="">
      <xdr:nvSpPr>
        <xdr:cNvPr id="32" name="Rectangle 31"/>
        <xdr:cNvSpPr/>
      </xdr:nvSpPr>
      <xdr:spPr>
        <a:xfrm>
          <a:off x="8039100" y="5198745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T4</a:t>
          </a:r>
        </a:p>
      </xdr:txBody>
    </xdr:sp>
    <xdr:clientData/>
  </xdr:twoCellAnchor>
  <xdr:twoCellAnchor>
    <xdr:from>
      <xdr:col>10</xdr:col>
      <xdr:colOff>304800</xdr:colOff>
      <xdr:row>245</xdr:row>
      <xdr:rowOff>190500</xdr:rowOff>
    </xdr:from>
    <xdr:to>
      <xdr:col>11</xdr:col>
      <xdr:colOff>372919</xdr:colOff>
      <xdr:row>247</xdr:row>
      <xdr:rowOff>164178</xdr:rowOff>
    </xdr:to>
    <xdr:sp macro="" textlink="">
      <xdr:nvSpPr>
        <xdr:cNvPr id="33" name="Rectangle 32"/>
        <xdr:cNvSpPr/>
      </xdr:nvSpPr>
      <xdr:spPr>
        <a:xfrm>
          <a:off x="9058275" y="51796950"/>
          <a:ext cx="772969" cy="3737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/>
            <a:t>T5</a:t>
          </a:r>
        </a:p>
      </xdr:txBody>
    </xdr:sp>
    <xdr:clientData/>
  </xdr:twoCellAnchor>
  <xdr:twoCellAnchor>
    <xdr:from>
      <xdr:col>1</xdr:col>
      <xdr:colOff>736600</xdr:colOff>
      <xdr:row>235</xdr:row>
      <xdr:rowOff>82550</xdr:rowOff>
    </xdr:from>
    <xdr:to>
      <xdr:col>6</xdr:col>
      <xdr:colOff>426283</xdr:colOff>
      <xdr:row>276</xdr:row>
      <xdr:rowOff>50784</xdr:rowOff>
    </xdr:to>
    <xdr:grpSp>
      <xdr:nvGrpSpPr>
        <xdr:cNvPr id="5" name="Group 4"/>
        <xdr:cNvGrpSpPr/>
      </xdr:nvGrpSpPr>
      <xdr:grpSpPr>
        <a:xfrm>
          <a:off x="1536700" y="48837850"/>
          <a:ext cx="4045783" cy="8032734"/>
          <a:chOff x="1536700" y="48837850"/>
          <a:chExt cx="4045783" cy="8032734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9695" y="54350584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6804" y="54350584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36700" y="48837850"/>
            <a:ext cx="4045783" cy="54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Rectangle 45"/>
          <xdr:cNvSpPr/>
        </xdr:nvSpPr>
        <xdr:spPr>
          <a:xfrm>
            <a:off x="3594101" y="49707801"/>
            <a:ext cx="425450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T4</a:t>
            </a:r>
          </a:p>
        </xdr:txBody>
      </xdr:sp>
      <xdr:sp macro="" textlink="">
        <xdr:nvSpPr>
          <xdr:cNvPr id="48" name="Rectangle 47"/>
          <xdr:cNvSpPr/>
        </xdr:nvSpPr>
        <xdr:spPr>
          <a:xfrm>
            <a:off x="4762501" y="50018951"/>
            <a:ext cx="425450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T3</a:t>
            </a:r>
          </a:p>
        </xdr:txBody>
      </xdr:sp>
      <xdr:sp macro="" textlink="">
        <xdr:nvSpPr>
          <xdr:cNvPr id="55" name="Rectangle 54"/>
          <xdr:cNvSpPr/>
        </xdr:nvSpPr>
        <xdr:spPr>
          <a:xfrm>
            <a:off x="1917701" y="49517301"/>
            <a:ext cx="425450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T5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645559</xdr:colOff>
      <xdr:row>37</xdr:row>
      <xdr:rowOff>85369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8381515" cy="4466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ChECsjx1gyVT5CV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280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56" customWidth="1"/>
    <col min="2" max="2" width="12" style="56" customWidth="1"/>
    <col min="3" max="3" width="12.7265625" style="56" customWidth="1"/>
    <col min="4" max="4" width="14.1796875" style="56" customWidth="1"/>
    <col min="5" max="7" width="11.7265625" style="56" customWidth="1"/>
    <col min="8" max="8" width="17" style="56" customWidth="1"/>
    <col min="9" max="9" width="17.453125" style="29" customWidth="1"/>
    <col min="10" max="10" width="11.453125" style="29" customWidth="1"/>
    <col min="11" max="11" width="10.54296875" style="29" bestFit="1" customWidth="1"/>
    <col min="12" max="12" width="10.54296875" style="29" customWidth="1"/>
    <col min="13" max="13" width="11.81640625" style="29" customWidth="1"/>
    <col min="14" max="14" width="12.54296875" style="29" hidden="1" customWidth="1"/>
    <col min="15" max="15" width="9.81640625" style="29" hidden="1" customWidth="1"/>
    <col min="16" max="16" width="10.453125" style="29" hidden="1" customWidth="1"/>
    <col min="17" max="247" width="9.1796875" style="29"/>
    <col min="248" max="248" width="8.7265625" style="29" customWidth="1"/>
    <col min="249" max="249" width="9.81640625" style="29" customWidth="1"/>
    <col min="250" max="250" width="14.453125" style="29" customWidth="1"/>
    <col min="251" max="251" width="7.26953125" style="29" customWidth="1"/>
    <col min="252" max="252" width="5.54296875" style="29" customWidth="1"/>
    <col min="253" max="253" width="9" style="29" customWidth="1"/>
    <col min="254" max="255" width="9.81640625" style="29" customWidth="1"/>
    <col min="256" max="256" width="11.1796875" style="29" customWidth="1"/>
    <col min="257" max="257" width="2.81640625" style="29" customWidth="1"/>
    <col min="258" max="258" width="3.54296875" style="29" customWidth="1"/>
    <col min="259" max="503" width="9.1796875" style="29"/>
    <col min="504" max="504" width="8.7265625" style="29" customWidth="1"/>
    <col min="505" max="505" width="9.81640625" style="29" customWidth="1"/>
    <col min="506" max="506" width="14.453125" style="29" customWidth="1"/>
    <col min="507" max="507" width="7.26953125" style="29" customWidth="1"/>
    <col min="508" max="508" width="5.54296875" style="29" customWidth="1"/>
    <col min="509" max="509" width="9" style="29" customWidth="1"/>
    <col min="510" max="511" width="9.81640625" style="29" customWidth="1"/>
    <col min="512" max="512" width="11.1796875" style="29" customWidth="1"/>
    <col min="513" max="513" width="2.81640625" style="29" customWidth="1"/>
    <col min="514" max="514" width="3.54296875" style="29" customWidth="1"/>
    <col min="515" max="759" width="9.1796875" style="29"/>
    <col min="760" max="760" width="8.7265625" style="29" customWidth="1"/>
    <col min="761" max="761" width="9.81640625" style="29" customWidth="1"/>
    <col min="762" max="762" width="14.453125" style="29" customWidth="1"/>
    <col min="763" max="763" width="7.26953125" style="29" customWidth="1"/>
    <col min="764" max="764" width="5.54296875" style="29" customWidth="1"/>
    <col min="765" max="765" width="9" style="29" customWidth="1"/>
    <col min="766" max="767" width="9.81640625" style="29" customWidth="1"/>
    <col min="768" max="768" width="11.1796875" style="29" customWidth="1"/>
    <col min="769" max="769" width="2.81640625" style="29" customWidth="1"/>
    <col min="770" max="770" width="3.54296875" style="29" customWidth="1"/>
    <col min="771" max="1015" width="9.1796875" style="29"/>
    <col min="1016" max="1016" width="8.7265625" style="29" customWidth="1"/>
    <col min="1017" max="1017" width="9.81640625" style="29" customWidth="1"/>
    <col min="1018" max="1018" width="14.453125" style="29" customWidth="1"/>
    <col min="1019" max="1019" width="7.26953125" style="29" customWidth="1"/>
    <col min="1020" max="1020" width="5.54296875" style="29" customWidth="1"/>
    <col min="1021" max="1021" width="9" style="29" customWidth="1"/>
    <col min="1022" max="1023" width="9.81640625" style="29" customWidth="1"/>
    <col min="1024" max="1024" width="11.1796875" style="29" customWidth="1"/>
    <col min="1025" max="1025" width="2.81640625" style="29" customWidth="1"/>
    <col min="1026" max="1026" width="3.54296875" style="29" customWidth="1"/>
    <col min="1027" max="1271" width="9.1796875" style="29"/>
    <col min="1272" max="1272" width="8.7265625" style="29" customWidth="1"/>
    <col min="1273" max="1273" width="9.81640625" style="29" customWidth="1"/>
    <col min="1274" max="1274" width="14.453125" style="29" customWidth="1"/>
    <col min="1275" max="1275" width="7.26953125" style="29" customWidth="1"/>
    <col min="1276" max="1276" width="5.54296875" style="29" customWidth="1"/>
    <col min="1277" max="1277" width="9" style="29" customWidth="1"/>
    <col min="1278" max="1279" width="9.81640625" style="29" customWidth="1"/>
    <col min="1280" max="1280" width="11.1796875" style="29" customWidth="1"/>
    <col min="1281" max="1281" width="2.81640625" style="29" customWidth="1"/>
    <col min="1282" max="1282" width="3.54296875" style="29" customWidth="1"/>
    <col min="1283" max="1527" width="9.1796875" style="29"/>
    <col min="1528" max="1528" width="8.7265625" style="29" customWidth="1"/>
    <col min="1529" max="1529" width="9.81640625" style="29" customWidth="1"/>
    <col min="1530" max="1530" width="14.453125" style="29" customWidth="1"/>
    <col min="1531" max="1531" width="7.26953125" style="29" customWidth="1"/>
    <col min="1532" max="1532" width="5.54296875" style="29" customWidth="1"/>
    <col min="1533" max="1533" width="9" style="29" customWidth="1"/>
    <col min="1534" max="1535" width="9.81640625" style="29" customWidth="1"/>
    <col min="1536" max="1536" width="11.1796875" style="29" customWidth="1"/>
    <col min="1537" max="1537" width="2.81640625" style="29" customWidth="1"/>
    <col min="1538" max="1538" width="3.54296875" style="29" customWidth="1"/>
    <col min="1539" max="1783" width="9.1796875" style="29"/>
    <col min="1784" max="1784" width="8.7265625" style="29" customWidth="1"/>
    <col min="1785" max="1785" width="9.81640625" style="29" customWidth="1"/>
    <col min="1786" max="1786" width="14.453125" style="29" customWidth="1"/>
    <col min="1787" max="1787" width="7.26953125" style="29" customWidth="1"/>
    <col min="1788" max="1788" width="5.54296875" style="29" customWidth="1"/>
    <col min="1789" max="1789" width="9" style="29" customWidth="1"/>
    <col min="1790" max="1791" width="9.81640625" style="29" customWidth="1"/>
    <col min="1792" max="1792" width="11.1796875" style="29" customWidth="1"/>
    <col min="1793" max="1793" width="2.81640625" style="29" customWidth="1"/>
    <col min="1794" max="1794" width="3.54296875" style="29" customWidth="1"/>
    <col min="1795" max="2039" width="9.1796875" style="29"/>
    <col min="2040" max="2040" width="8.7265625" style="29" customWidth="1"/>
    <col min="2041" max="2041" width="9.81640625" style="29" customWidth="1"/>
    <col min="2042" max="2042" width="14.453125" style="29" customWidth="1"/>
    <col min="2043" max="2043" width="7.26953125" style="29" customWidth="1"/>
    <col min="2044" max="2044" width="5.54296875" style="29" customWidth="1"/>
    <col min="2045" max="2045" width="9" style="29" customWidth="1"/>
    <col min="2046" max="2047" width="9.81640625" style="29" customWidth="1"/>
    <col min="2048" max="2048" width="11.1796875" style="29" customWidth="1"/>
    <col min="2049" max="2049" width="2.81640625" style="29" customWidth="1"/>
    <col min="2050" max="2050" width="3.54296875" style="29" customWidth="1"/>
    <col min="2051" max="2295" width="9.1796875" style="29"/>
    <col min="2296" max="2296" width="8.7265625" style="29" customWidth="1"/>
    <col min="2297" max="2297" width="9.81640625" style="29" customWidth="1"/>
    <col min="2298" max="2298" width="14.453125" style="29" customWidth="1"/>
    <col min="2299" max="2299" width="7.26953125" style="29" customWidth="1"/>
    <col min="2300" max="2300" width="5.54296875" style="29" customWidth="1"/>
    <col min="2301" max="2301" width="9" style="29" customWidth="1"/>
    <col min="2302" max="2303" width="9.81640625" style="29" customWidth="1"/>
    <col min="2304" max="2304" width="11.1796875" style="29" customWidth="1"/>
    <col min="2305" max="2305" width="2.81640625" style="29" customWidth="1"/>
    <col min="2306" max="2306" width="3.54296875" style="29" customWidth="1"/>
    <col min="2307" max="2551" width="9.1796875" style="29"/>
    <col min="2552" max="2552" width="8.7265625" style="29" customWidth="1"/>
    <col min="2553" max="2553" width="9.81640625" style="29" customWidth="1"/>
    <col min="2554" max="2554" width="14.453125" style="29" customWidth="1"/>
    <col min="2555" max="2555" width="7.26953125" style="29" customWidth="1"/>
    <col min="2556" max="2556" width="5.54296875" style="29" customWidth="1"/>
    <col min="2557" max="2557" width="9" style="29" customWidth="1"/>
    <col min="2558" max="2559" width="9.81640625" style="29" customWidth="1"/>
    <col min="2560" max="2560" width="11.1796875" style="29" customWidth="1"/>
    <col min="2561" max="2561" width="2.81640625" style="29" customWidth="1"/>
    <col min="2562" max="2562" width="3.54296875" style="29" customWidth="1"/>
    <col min="2563" max="2807" width="9.1796875" style="29"/>
    <col min="2808" max="2808" width="8.7265625" style="29" customWidth="1"/>
    <col min="2809" max="2809" width="9.81640625" style="29" customWidth="1"/>
    <col min="2810" max="2810" width="14.453125" style="29" customWidth="1"/>
    <col min="2811" max="2811" width="7.26953125" style="29" customWidth="1"/>
    <col min="2812" max="2812" width="5.54296875" style="29" customWidth="1"/>
    <col min="2813" max="2813" width="9" style="29" customWidth="1"/>
    <col min="2814" max="2815" width="9.81640625" style="29" customWidth="1"/>
    <col min="2816" max="2816" width="11.1796875" style="29" customWidth="1"/>
    <col min="2817" max="2817" width="2.81640625" style="29" customWidth="1"/>
    <col min="2818" max="2818" width="3.54296875" style="29" customWidth="1"/>
    <col min="2819" max="3063" width="9.1796875" style="29"/>
    <col min="3064" max="3064" width="8.7265625" style="29" customWidth="1"/>
    <col min="3065" max="3065" width="9.81640625" style="29" customWidth="1"/>
    <col min="3066" max="3066" width="14.453125" style="29" customWidth="1"/>
    <col min="3067" max="3067" width="7.26953125" style="29" customWidth="1"/>
    <col min="3068" max="3068" width="5.54296875" style="29" customWidth="1"/>
    <col min="3069" max="3069" width="9" style="29" customWidth="1"/>
    <col min="3070" max="3071" width="9.81640625" style="29" customWidth="1"/>
    <col min="3072" max="3072" width="11.1796875" style="29" customWidth="1"/>
    <col min="3073" max="3073" width="2.81640625" style="29" customWidth="1"/>
    <col min="3074" max="3074" width="3.54296875" style="29" customWidth="1"/>
    <col min="3075" max="3319" width="9.1796875" style="29"/>
    <col min="3320" max="3320" width="8.7265625" style="29" customWidth="1"/>
    <col min="3321" max="3321" width="9.81640625" style="29" customWidth="1"/>
    <col min="3322" max="3322" width="14.453125" style="29" customWidth="1"/>
    <col min="3323" max="3323" width="7.26953125" style="29" customWidth="1"/>
    <col min="3324" max="3324" width="5.54296875" style="29" customWidth="1"/>
    <col min="3325" max="3325" width="9" style="29" customWidth="1"/>
    <col min="3326" max="3327" width="9.81640625" style="29" customWidth="1"/>
    <col min="3328" max="3328" width="11.1796875" style="29" customWidth="1"/>
    <col min="3329" max="3329" width="2.81640625" style="29" customWidth="1"/>
    <col min="3330" max="3330" width="3.54296875" style="29" customWidth="1"/>
    <col min="3331" max="3575" width="9.1796875" style="29"/>
    <col min="3576" max="3576" width="8.7265625" style="29" customWidth="1"/>
    <col min="3577" max="3577" width="9.81640625" style="29" customWidth="1"/>
    <col min="3578" max="3578" width="14.453125" style="29" customWidth="1"/>
    <col min="3579" max="3579" width="7.26953125" style="29" customWidth="1"/>
    <col min="3580" max="3580" width="5.54296875" style="29" customWidth="1"/>
    <col min="3581" max="3581" width="9" style="29" customWidth="1"/>
    <col min="3582" max="3583" width="9.81640625" style="29" customWidth="1"/>
    <col min="3584" max="3584" width="11.1796875" style="29" customWidth="1"/>
    <col min="3585" max="3585" width="2.81640625" style="29" customWidth="1"/>
    <col min="3586" max="3586" width="3.54296875" style="29" customWidth="1"/>
    <col min="3587" max="3831" width="9.1796875" style="29"/>
    <col min="3832" max="3832" width="8.7265625" style="29" customWidth="1"/>
    <col min="3833" max="3833" width="9.81640625" style="29" customWidth="1"/>
    <col min="3834" max="3834" width="14.453125" style="29" customWidth="1"/>
    <col min="3835" max="3835" width="7.26953125" style="29" customWidth="1"/>
    <col min="3836" max="3836" width="5.54296875" style="29" customWidth="1"/>
    <col min="3837" max="3837" width="9" style="29" customWidth="1"/>
    <col min="3838" max="3839" width="9.81640625" style="29" customWidth="1"/>
    <col min="3840" max="3840" width="11.1796875" style="29" customWidth="1"/>
    <col min="3841" max="3841" width="2.81640625" style="29" customWidth="1"/>
    <col min="3842" max="3842" width="3.54296875" style="29" customWidth="1"/>
    <col min="3843" max="4087" width="9.1796875" style="29"/>
    <col min="4088" max="4088" width="8.7265625" style="29" customWidth="1"/>
    <col min="4089" max="4089" width="9.81640625" style="29" customWidth="1"/>
    <col min="4090" max="4090" width="14.453125" style="29" customWidth="1"/>
    <col min="4091" max="4091" width="7.26953125" style="29" customWidth="1"/>
    <col min="4092" max="4092" width="5.54296875" style="29" customWidth="1"/>
    <col min="4093" max="4093" width="9" style="29" customWidth="1"/>
    <col min="4094" max="4095" width="9.81640625" style="29" customWidth="1"/>
    <col min="4096" max="4096" width="11.1796875" style="29" customWidth="1"/>
    <col min="4097" max="4097" width="2.81640625" style="29" customWidth="1"/>
    <col min="4098" max="4098" width="3.54296875" style="29" customWidth="1"/>
    <col min="4099" max="4343" width="9.1796875" style="29"/>
    <col min="4344" max="4344" width="8.7265625" style="29" customWidth="1"/>
    <col min="4345" max="4345" width="9.81640625" style="29" customWidth="1"/>
    <col min="4346" max="4346" width="14.453125" style="29" customWidth="1"/>
    <col min="4347" max="4347" width="7.26953125" style="29" customWidth="1"/>
    <col min="4348" max="4348" width="5.54296875" style="29" customWidth="1"/>
    <col min="4349" max="4349" width="9" style="29" customWidth="1"/>
    <col min="4350" max="4351" width="9.81640625" style="29" customWidth="1"/>
    <col min="4352" max="4352" width="11.1796875" style="29" customWidth="1"/>
    <col min="4353" max="4353" width="2.81640625" style="29" customWidth="1"/>
    <col min="4354" max="4354" width="3.54296875" style="29" customWidth="1"/>
    <col min="4355" max="4599" width="9.1796875" style="29"/>
    <col min="4600" max="4600" width="8.7265625" style="29" customWidth="1"/>
    <col min="4601" max="4601" width="9.81640625" style="29" customWidth="1"/>
    <col min="4602" max="4602" width="14.453125" style="29" customWidth="1"/>
    <col min="4603" max="4603" width="7.26953125" style="29" customWidth="1"/>
    <col min="4604" max="4604" width="5.54296875" style="29" customWidth="1"/>
    <col min="4605" max="4605" width="9" style="29" customWidth="1"/>
    <col min="4606" max="4607" width="9.81640625" style="29" customWidth="1"/>
    <col min="4608" max="4608" width="11.1796875" style="29" customWidth="1"/>
    <col min="4609" max="4609" width="2.81640625" style="29" customWidth="1"/>
    <col min="4610" max="4610" width="3.54296875" style="29" customWidth="1"/>
    <col min="4611" max="4855" width="9.1796875" style="29"/>
    <col min="4856" max="4856" width="8.7265625" style="29" customWidth="1"/>
    <col min="4857" max="4857" width="9.81640625" style="29" customWidth="1"/>
    <col min="4858" max="4858" width="14.453125" style="29" customWidth="1"/>
    <col min="4859" max="4859" width="7.26953125" style="29" customWidth="1"/>
    <col min="4860" max="4860" width="5.54296875" style="29" customWidth="1"/>
    <col min="4861" max="4861" width="9" style="29" customWidth="1"/>
    <col min="4862" max="4863" width="9.81640625" style="29" customWidth="1"/>
    <col min="4864" max="4864" width="11.1796875" style="29" customWidth="1"/>
    <col min="4865" max="4865" width="2.81640625" style="29" customWidth="1"/>
    <col min="4866" max="4866" width="3.54296875" style="29" customWidth="1"/>
    <col min="4867" max="5111" width="9.1796875" style="29"/>
    <col min="5112" max="5112" width="8.7265625" style="29" customWidth="1"/>
    <col min="5113" max="5113" width="9.81640625" style="29" customWidth="1"/>
    <col min="5114" max="5114" width="14.453125" style="29" customWidth="1"/>
    <col min="5115" max="5115" width="7.26953125" style="29" customWidth="1"/>
    <col min="5116" max="5116" width="5.54296875" style="29" customWidth="1"/>
    <col min="5117" max="5117" width="9" style="29" customWidth="1"/>
    <col min="5118" max="5119" width="9.81640625" style="29" customWidth="1"/>
    <col min="5120" max="5120" width="11.1796875" style="29" customWidth="1"/>
    <col min="5121" max="5121" width="2.81640625" style="29" customWidth="1"/>
    <col min="5122" max="5122" width="3.54296875" style="29" customWidth="1"/>
    <col min="5123" max="5367" width="9.1796875" style="29"/>
    <col min="5368" max="5368" width="8.7265625" style="29" customWidth="1"/>
    <col min="5369" max="5369" width="9.81640625" style="29" customWidth="1"/>
    <col min="5370" max="5370" width="14.453125" style="29" customWidth="1"/>
    <col min="5371" max="5371" width="7.26953125" style="29" customWidth="1"/>
    <col min="5372" max="5372" width="5.54296875" style="29" customWidth="1"/>
    <col min="5373" max="5373" width="9" style="29" customWidth="1"/>
    <col min="5374" max="5375" width="9.81640625" style="29" customWidth="1"/>
    <col min="5376" max="5376" width="11.1796875" style="29" customWidth="1"/>
    <col min="5377" max="5377" width="2.81640625" style="29" customWidth="1"/>
    <col min="5378" max="5378" width="3.54296875" style="29" customWidth="1"/>
    <col min="5379" max="5623" width="9.1796875" style="29"/>
    <col min="5624" max="5624" width="8.7265625" style="29" customWidth="1"/>
    <col min="5625" max="5625" width="9.81640625" style="29" customWidth="1"/>
    <col min="5626" max="5626" width="14.453125" style="29" customWidth="1"/>
    <col min="5627" max="5627" width="7.26953125" style="29" customWidth="1"/>
    <col min="5628" max="5628" width="5.54296875" style="29" customWidth="1"/>
    <col min="5629" max="5629" width="9" style="29" customWidth="1"/>
    <col min="5630" max="5631" width="9.81640625" style="29" customWidth="1"/>
    <col min="5632" max="5632" width="11.1796875" style="29" customWidth="1"/>
    <col min="5633" max="5633" width="2.81640625" style="29" customWidth="1"/>
    <col min="5634" max="5634" width="3.54296875" style="29" customWidth="1"/>
    <col min="5635" max="5879" width="9.1796875" style="29"/>
    <col min="5880" max="5880" width="8.7265625" style="29" customWidth="1"/>
    <col min="5881" max="5881" width="9.81640625" style="29" customWidth="1"/>
    <col min="5882" max="5882" width="14.453125" style="29" customWidth="1"/>
    <col min="5883" max="5883" width="7.26953125" style="29" customWidth="1"/>
    <col min="5884" max="5884" width="5.54296875" style="29" customWidth="1"/>
    <col min="5885" max="5885" width="9" style="29" customWidth="1"/>
    <col min="5886" max="5887" width="9.81640625" style="29" customWidth="1"/>
    <col min="5888" max="5888" width="11.1796875" style="29" customWidth="1"/>
    <col min="5889" max="5889" width="2.81640625" style="29" customWidth="1"/>
    <col min="5890" max="5890" width="3.54296875" style="29" customWidth="1"/>
    <col min="5891" max="6135" width="9.1796875" style="29"/>
    <col min="6136" max="6136" width="8.7265625" style="29" customWidth="1"/>
    <col min="6137" max="6137" width="9.81640625" style="29" customWidth="1"/>
    <col min="6138" max="6138" width="14.453125" style="29" customWidth="1"/>
    <col min="6139" max="6139" width="7.26953125" style="29" customWidth="1"/>
    <col min="6140" max="6140" width="5.54296875" style="29" customWidth="1"/>
    <col min="6141" max="6141" width="9" style="29" customWidth="1"/>
    <col min="6142" max="6143" width="9.81640625" style="29" customWidth="1"/>
    <col min="6144" max="6144" width="11.1796875" style="29" customWidth="1"/>
    <col min="6145" max="6145" width="2.81640625" style="29" customWidth="1"/>
    <col min="6146" max="6146" width="3.54296875" style="29" customWidth="1"/>
    <col min="6147" max="6391" width="9.1796875" style="29"/>
    <col min="6392" max="6392" width="8.7265625" style="29" customWidth="1"/>
    <col min="6393" max="6393" width="9.81640625" style="29" customWidth="1"/>
    <col min="6394" max="6394" width="14.453125" style="29" customWidth="1"/>
    <col min="6395" max="6395" width="7.26953125" style="29" customWidth="1"/>
    <col min="6396" max="6396" width="5.54296875" style="29" customWidth="1"/>
    <col min="6397" max="6397" width="9" style="29" customWidth="1"/>
    <col min="6398" max="6399" width="9.81640625" style="29" customWidth="1"/>
    <col min="6400" max="6400" width="11.1796875" style="29" customWidth="1"/>
    <col min="6401" max="6401" width="2.81640625" style="29" customWidth="1"/>
    <col min="6402" max="6402" width="3.54296875" style="29" customWidth="1"/>
    <col min="6403" max="6647" width="9.1796875" style="29"/>
    <col min="6648" max="6648" width="8.7265625" style="29" customWidth="1"/>
    <col min="6649" max="6649" width="9.81640625" style="29" customWidth="1"/>
    <col min="6650" max="6650" width="14.453125" style="29" customWidth="1"/>
    <col min="6651" max="6651" width="7.26953125" style="29" customWidth="1"/>
    <col min="6652" max="6652" width="5.54296875" style="29" customWidth="1"/>
    <col min="6653" max="6653" width="9" style="29" customWidth="1"/>
    <col min="6654" max="6655" width="9.81640625" style="29" customWidth="1"/>
    <col min="6656" max="6656" width="11.1796875" style="29" customWidth="1"/>
    <col min="6657" max="6657" width="2.81640625" style="29" customWidth="1"/>
    <col min="6658" max="6658" width="3.54296875" style="29" customWidth="1"/>
    <col min="6659" max="6903" width="9.1796875" style="29"/>
    <col min="6904" max="6904" width="8.7265625" style="29" customWidth="1"/>
    <col min="6905" max="6905" width="9.81640625" style="29" customWidth="1"/>
    <col min="6906" max="6906" width="14.453125" style="29" customWidth="1"/>
    <col min="6907" max="6907" width="7.26953125" style="29" customWidth="1"/>
    <col min="6908" max="6908" width="5.54296875" style="29" customWidth="1"/>
    <col min="6909" max="6909" width="9" style="29" customWidth="1"/>
    <col min="6910" max="6911" width="9.81640625" style="29" customWidth="1"/>
    <col min="6912" max="6912" width="11.1796875" style="29" customWidth="1"/>
    <col min="6913" max="6913" width="2.81640625" style="29" customWidth="1"/>
    <col min="6914" max="6914" width="3.54296875" style="29" customWidth="1"/>
    <col min="6915" max="7159" width="9.1796875" style="29"/>
    <col min="7160" max="7160" width="8.7265625" style="29" customWidth="1"/>
    <col min="7161" max="7161" width="9.81640625" style="29" customWidth="1"/>
    <col min="7162" max="7162" width="14.453125" style="29" customWidth="1"/>
    <col min="7163" max="7163" width="7.26953125" style="29" customWidth="1"/>
    <col min="7164" max="7164" width="5.54296875" style="29" customWidth="1"/>
    <col min="7165" max="7165" width="9" style="29" customWidth="1"/>
    <col min="7166" max="7167" width="9.81640625" style="29" customWidth="1"/>
    <col min="7168" max="7168" width="11.1796875" style="29" customWidth="1"/>
    <col min="7169" max="7169" width="2.81640625" style="29" customWidth="1"/>
    <col min="7170" max="7170" width="3.54296875" style="29" customWidth="1"/>
    <col min="7171" max="7415" width="9.1796875" style="29"/>
    <col min="7416" max="7416" width="8.7265625" style="29" customWidth="1"/>
    <col min="7417" max="7417" width="9.81640625" style="29" customWidth="1"/>
    <col min="7418" max="7418" width="14.453125" style="29" customWidth="1"/>
    <col min="7419" max="7419" width="7.26953125" style="29" customWidth="1"/>
    <col min="7420" max="7420" width="5.54296875" style="29" customWidth="1"/>
    <col min="7421" max="7421" width="9" style="29" customWidth="1"/>
    <col min="7422" max="7423" width="9.81640625" style="29" customWidth="1"/>
    <col min="7424" max="7424" width="11.1796875" style="29" customWidth="1"/>
    <col min="7425" max="7425" width="2.81640625" style="29" customWidth="1"/>
    <col min="7426" max="7426" width="3.54296875" style="29" customWidth="1"/>
    <col min="7427" max="7671" width="9.1796875" style="29"/>
    <col min="7672" max="7672" width="8.7265625" style="29" customWidth="1"/>
    <col min="7673" max="7673" width="9.81640625" style="29" customWidth="1"/>
    <col min="7674" max="7674" width="14.453125" style="29" customWidth="1"/>
    <col min="7675" max="7675" width="7.26953125" style="29" customWidth="1"/>
    <col min="7676" max="7676" width="5.54296875" style="29" customWidth="1"/>
    <col min="7677" max="7677" width="9" style="29" customWidth="1"/>
    <col min="7678" max="7679" width="9.81640625" style="29" customWidth="1"/>
    <col min="7680" max="7680" width="11.1796875" style="29" customWidth="1"/>
    <col min="7681" max="7681" width="2.81640625" style="29" customWidth="1"/>
    <col min="7682" max="7682" width="3.54296875" style="29" customWidth="1"/>
    <col min="7683" max="7927" width="9.1796875" style="29"/>
    <col min="7928" max="7928" width="8.7265625" style="29" customWidth="1"/>
    <col min="7929" max="7929" width="9.81640625" style="29" customWidth="1"/>
    <col min="7930" max="7930" width="14.453125" style="29" customWidth="1"/>
    <col min="7931" max="7931" width="7.26953125" style="29" customWidth="1"/>
    <col min="7932" max="7932" width="5.54296875" style="29" customWidth="1"/>
    <col min="7933" max="7933" width="9" style="29" customWidth="1"/>
    <col min="7934" max="7935" width="9.81640625" style="29" customWidth="1"/>
    <col min="7936" max="7936" width="11.1796875" style="29" customWidth="1"/>
    <col min="7937" max="7937" width="2.81640625" style="29" customWidth="1"/>
    <col min="7938" max="7938" width="3.54296875" style="29" customWidth="1"/>
    <col min="7939" max="8183" width="9.1796875" style="29"/>
    <col min="8184" max="8184" width="8.7265625" style="29" customWidth="1"/>
    <col min="8185" max="8185" width="9.81640625" style="29" customWidth="1"/>
    <col min="8186" max="8186" width="14.453125" style="29" customWidth="1"/>
    <col min="8187" max="8187" width="7.26953125" style="29" customWidth="1"/>
    <col min="8188" max="8188" width="5.54296875" style="29" customWidth="1"/>
    <col min="8189" max="8189" width="9" style="29" customWidth="1"/>
    <col min="8190" max="8191" width="9.81640625" style="29" customWidth="1"/>
    <col min="8192" max="8192" width="11.1796875" style="29" customWidth="1"/>
    <col min="8193" max="8193" width="2.81640625" style="29" customWidth="1"/>
    <col min="8194" max="8194" width="3.54296875" style="29" customWidth="1"/>
    <col min="8195" max="8439" width="9.1796875" style="29"/>
    <col min="8440" max="8440" width="8.7265625" style="29" customWidth="1"/>
    <col min="8441" max="8441" width="9.81640625" style="29" customWidth="1"/>
    <col min="8442" max="8442" width="14.453125" style="29" customWidth="1"/>
    <col min="8443" max="8443" width="7.26953125" style="29" customWidth="1"/>
    <col min="8444" max="8444" width="5.54296875" style="29" customWidth="1"/>
    <col min="8445" max="8445" width="9" style="29" customWidth="1"/>
    <col min="8446" max="8447" width="9.81640625" style="29" customWidth="1"/>
    <col min="8448" max="8448" width="11.1796875" style="29" customWidth="1"/>
    <col min="8449" max="8449" width="2.81640625" style="29" customWidth="1"/>
    <col min="8450" max="8450" width="3.54296875" style="29" customWidth="1"/>
    <col min="8451" max="8695" width="9.1796875" style="29"/>
    <col min="8696" max="8696" width="8.7265625" style="29" customWidth="1"/>
    <col min="8697" max="8697" width="9.81640625" style="29" customWidth="1"/>
    <col min="8698" max="8698" width="14.453125" style="29" customWidth="1"/>
    <col min="8699" max="8699" width="7.26953125" style="29" customWidth="1"/>
    <col min="8700" max="8700" width="5.54296875" style="29" customWidth="1"/>
    <col min="8701" max="8701" width="9" style="29" customWidth="1"/>
    <col min="8702" max="8703" width="9.81640625" style="29" customWidth="1"/>
    <col min="8704" max="8704" width="11.1796875" style="29" customWidth="1"/>
    <col min="8705" max="8705" width="2.81640625" style="29" customWidth="1"/>
    <col min="8706" max="8706" width="3.54296875" style="29" customWidth="1"/>
    <col min="8707" max="8951" width="9.1796875" style="29"/>
    <col min="8952" max="8952" width="8.7265625" style="29" customWidth="1"/>
    <col min="8953" max="8953" width="9.81640625" style="29" customWidth="1"/>
    <col min="8954" max="8954" width="14.453125" style="29" customWidth="1"/>
    <col min="8955" max="8955" width="7.26953125" style="29" customWidth="1"/>
    <col min="8956" max="8956" width="5.54296875" style="29" customWidth="1"/>
    <col min="8957" max="8957" width="9" style="29" customWidth="1"/>
    <col min="8958" max="8959" width="9.81640625" style="29" customWidth="1"/>
    <col min="8960" max="8960" width="11.1796875" style="29" customWidth="1"/>
    <col min="8961" max="8961" width="2.81640625" style="29" customWidth="1"/>
    <col min="8962" max="8962" width="3.54296875" style="29" customWidth="1"/>
    <col min="8963" max="9207" width="9.1796875" style="29"/>
    <col min="9208" max="9208" width="8.7265625" style="29" customWidth="1"/>
    <col min="9209" max="9209" width="9.81640625" style="29" customWidth="1"/>
    <col min="9210" max="9210" width="14.453125" style="29" customWidth="1"/>
    <col min="9211" max="9211" width="7.26953125" style="29" customWidth="1"/>
    <col min="9212" max="9212" width="5.54296875" style="29" customWidth="1"/>
    <col min="9213" max="9213" width="9" style="29" customWidth="1"/>
    <col min="9214" max="9215" width="9.81640625" style="29" customWidth="1"/>
    <col min="9216" max="9216" width="11.1796875" style="29" customWidth="1"/>
    <col min="9217" max="9217" width="2.81640625" style="29" customWidth="1"/>
    <col min="9218" max="9218" width="3.54296875" style="29" customWidth="1"/>
    <col min="9219" max="9463" width="9.1796875" style="29"/>
    <col min="9464" max="9464" width="8.7265625" style="29" customWidth="1"/>
    <col min="9465" max="9465" width="9.81640625" style="29" customWidth="1"/>
    <col min="9466" max="9466" width="14.453125" style="29" customWidth="1"/>
    <col min="9467" max="9467" width="7.26953125" style="29" customWidth="1"/>
    <col min="9468" max="9468" width="5.54296875" style="29" customWidth="1"/>
    <col min="9469" max="9469" width="9" style="29" customWidth="1"/>
    <col min="9470" max="9471" width="9.81640625" style="29" customWidth="1"/>
    <col min="9472" max="9472" width="11.1796875" style="29" customWidth="1"/>
    <col min="9473" max="9473" width="2.81640625" style="29" customWidth="1"/>
    <col min="9474" max="9474" width="3.54296875" style="29" customWidth="1"/>
    <col min="9475" max="9719" width="9.1796875" style="29"/>
    <col min="9720" max="9720" width="8.7265625" style="29" customWidth="1"/>
    <col min="9721" max="9721" width="9.81640625" style="29" customWidth="1"/>
    <col min="9722" max="9722" width="14.453125" style="29" customWidth="1"/>
    <col min="9723" max="9723" width="7.26953125" style="29" customWidth="1"/>
    <col min="9724" max="9724" width="5.54296875" style="29" customWidth="1"/>
    <col min="9725" max="9725" width="9" style="29" customWidth="1"/>
    <col min="9726" max="9727" width="9.81640625" style="29" customWidth="1"/>
    <col min="9728" max="9728" width="11.1796875" style="29" customWidth="1"/>
    <col min="9729" max="9729" width="2.81640625" style="29" customWidth="1"/>
    <col min="9730" max="9730" width="3.54296875" style="29" customWidth="1"/>
    <col min="9731" max="9975" width="9.1796875" style="29"/>
    <col min="9976" max="9976" width="8.7265625" style="29" customWidth="1"/>
    <col min="9977" max="9977" width="9.81640625" style="29" customWidth="1"/>
    <col min="9978" max="9978" width="14.453125" style="29" customWidth="1"/>
    <col min="9979" max="9979" width="7.26953125" style="29" customWidth="1"/>
    <col min="9980" max="9980" width="5.54296875" style="29" customWidth="1"/>
    <col min="9981" max="9981" width="9" style="29" customWidth="1"/>
    <col min="9982" max="9983" width="9.81640625" style="29" customWidth="1"/>
    <col min="9984" max="9984" width="11.1796875" style="29" customWidth="1"/>
    <col min="9985" max="9985" width="2.81640625" style="29" customWidth="1"/>
    <col min="9986" max="9986" width="3.54296875" style="29" customWidth="1"/>
    <col min="9987" max="10231" width="9.1796875" style="29"/>
    <col min="10232" max="10232" width="8.7265625" style="29" customWidth="1"/>
    <col min="10233" max="10233" width="9.81640625" style="29" customWidth="1"/>
    <col min="10234" max="10234" width="14.453125" style="29" customWidth="1"/>
    <col min="10235" max="10235" width="7.26953125" style="29" customWidth="1"/>
    <col min="10236" max="10236" width="5.54296875" style="29" customWidth="1"/>
    <col min="10237" max="10237" width="9" style="29" customWidth="1"/>
    <col min="10238" max="10239" width="9.81640625" style="29" customWidth="1"/>
    <col min="10240" max="10240" width="11.1796875" style="29" customWidth="1"/>
    <col min="10241" max="10241" width="2.81640625" style="29" customWidth="1"/>
    <col min="10242" max="10242" width="3.54296875" style="29" customWidth="1"/>
    <col min="10243" max="10487" width="9.1796875" style="29"/>
    <col min="10488" max="10488" width="8.7265625" style="29" customWidth="1"/>
    <col min="10489" max="10489" width="9.81640625" style="29" customWidth="1"/>
    <col min="10490" max="10490" width="14.453125" style="29" customWidth="1"/>
    <col min="10491" max="10491" width="7.26953125" style="29" customWidth="1"/>
    <col min="10492" max="10492" width="5.54296875" style="29" customWidth="1"/>
    <col min="10493" max="10493" width="9" style="29" customWidth="1"/>
    <col min="10494" max="10495" width="9.81640625" style="29" customWidth="1"/>
    <col min="10496" max="10496" width="11.1796875" style="29" customWidth="1"/>
    <col min="10497" max="10497" width="2.81640625" style="29" customWidth="1"/>
    <col min="10498" max="10498" width="3.54296875" style="29" customWidth="1"/>
    <col min="10499" max="10743" width="9.1796875" style="29"/>
    <col min="10744" max="10744" width="8.7265625" style="29" customWidth="1"/>
    <col min="10745" max="10745" width="9.81640625" style="29" customWidth="1"/>
    <col min="10746" max="10746" width="14.453125" style="29" customWidth="1"/>
    <col min="10747" max="10747" width="7.26953125" style="29" customWidth="1"/>
    <col min="10748" max="10748" width="5.54296875" style="29" customWidth="1"/>
    <col min="10749" max="10749" width="9" style="29" customWidth="1"/>
    <col min="10750" max="10751" width="9.81640625" style="29" customWidth="1"/>
    <col min="10752" max="10752" width="11.1796875" style="29" customWidth="1"/>
    <col min="10753" max="10753" width="2.81640625" style="29" customWidth="1"/>
    <col min="10754" max="10754" width="3.54296875" style="29" customWidth="1"/>
    <col min="10755" max="10999" width="9.1796875" style="29"/>
    <col min="11000" max="11000" width="8.7265625" style="29" customWidth="1"/>
    <col min="11001" max="11001" width="9.81640625" style="29" customWidth="1"/>
    <col min="11002" max="11002" width="14.453125" style="29" customWidth="1"/>
    <col min="11003" max="11003" width="7.26953125" style="29" customWidth="1"/>
    <col min="11004" max="11004" width="5.54296875" style="29" customWidth="1"/>
    <col min="11005" max="11005" width="9" style="29" customWidth="1"/>
    <col min="11006" max="11007" width="9.81640625" style="29" customWidth="1"/>
    <col min="11008" max="11008" width="11.1796875" style="29" customWidth="1"/>
    <col min="11009" max="11009" width="2.81640625" style="29" customWidth="1"/>
    <col min="11010" max="11010" width="3.54296875" style="29" customWidth="1"/>
    <col min="11011" max="11255" width="9.1796875" style="29"/>
    <col min="11256" max="11256" width="8.7265625" style="29" customWidth="1"/>
    <col min="11257" max="11257" width="9.81640625" style="29" customWidth="1"/>
    <col min="11258" max="11258" width="14.453125" style="29" customWidth="1"/>
    <col min="11259" max="11259" width="7.26953125" style="29" customWidth="1"/>
    <col min="11260" max="11260" width="5.54296875" style="29" customWidth="1"/>
    <col min="11261" max="11261" width="9" style="29" customWidth="1"/>
    <col min="11262" max="11263" width="9.81640625" style="29" customWidth="1"/>
    <col min="11264" max="11264" width="11.1796875" style="29" customWidth="1"/>
    <col min="11265" max="11265" width="2.81640625" style="29" customWidth="1"/>
    <col min="11266" max="11266" width="3.54296875" style="29" customWidth="1"/>
    <col min="11267" max="11511" width="9.1796875" style="29"/>
    <col min="11512" max="11512" width="8.7265625" style="29" customWidth="1"/>
    <col min="11513" max="11513" width="9.81640625" style="29" customWidth="1"/>
    <col min="11514" max="11514" width="14.453125" style="29" customWidth="1"/>
    <col min="11515" max="11515" width="7.26953125" style="29" customWidth="1"/>
    <col min="11516" max="11516" width="5.54296875" style="29" customWidth="1"/>
    <col min="11517" max="11517" width="9" style="29" customWidth="1"/>
    <col min="11518" max="11519" width="9.81640625" style="29" customWidth="1"/>
    <col min="11520" max="11520" width="11.1796875" style="29" customWidth="1"/>
    <col min="11521" max="11521" width="2.81640625" style="29" customWidth="1"/>
    <col min="11522" max="11522" width="3.54296875" style="29" customWidth="1"/>
    <col min="11523" max="11767" width="9.1796875" style="29"/>
    <col min="11768" max="11768" width="8.7265625" style="29" customWidth="1"/>
    <col min="11769" max="11769" width="9.81640625" style="29" customWidth="1"/>
    <col min="11770" max="11770" width="14.453125" style="29" customWidth="1"/>
    <col min="11771" max="11771" width="7.26953125" style="29" customWidth="1"/>
    <col min="11772" max="11772" width="5.54296875" style="29" customWidth="1"/>
    <col min="11773" max="11773" width="9" style="29" customWidth="1"/>
    <col min="11774" max="11775" width="9.81640625" style="29" customWidth="1"/>
    <col min="11776" max="11776" width="11.1796875" style="29" customWidth="1"/>
    <col min="11777" max="11777" width="2.81640625" style="29" customWidth="1"/>
    <col min="11778" max="11778" width="3.54296875" style="29" customWidth="1"/>
    <col min="11779" max="12023" width="9.1796875" style="29"/>
    <col min="12024" max="12024" width="8.7265625" style="29" customWidth="1"/>
    <col min="12025" max="12025" width="9.81640625" style="29" customWidth="1"/>
    <col min="12026" max="12026" width="14.453125" style="29" customWidth="1"/>
    <col min="12027" max="12027" width="7.26953125" style="29" customWidth="1"/>
    <col min="12028" max="12028" width="5.54296875" style="29" customWidth="1"/>
    <col min="12029" max="12029" width="9" style="29" customWidth="1"/>
    <col min="12030" max="12031" width="9.81640625" style="29" customWidth="1"/>
    <col min="12032" max="12032" width="11.1796875" style="29" customWidth="1"/>
    <col min="12033" max="12033" width="2.81640625" style="29" customWidth="1"/>
    <col min="12034" max="12034" width="3.54296875" style="29" customWidth="1"/>
    <col min="12035" max="12279" width="9.1796875" style="29"/>
    <col min="12280" max="12280" width="8.7265625" style="29" customWidth="1"/>
    <col min="12281" max="12281" width="9.81640625" style="29" customWidth="1"/>
    <col min="12282" max="12282" width="14.453125" style="29" customWidth="1"/>
    <col min="12283" max="12283" width="7.26953125" style="29" customWidth="1"/>
    <col min="12284" max="12284" width="5.54296875" style="29" customWidth="1"/>
    <col min="12285" max="12285" width="9" style="29" customWidth="1"/>
    <col min="12286" max="12287" width="9.81640625" style="29" customWidth="1"/>
    <col min="12288" max="12288" width="11.1796875" style="29" customWidth="1"/>
    <col min="12289" max="12289" width="2.81640625" style="29" customWidth="1"/>
    <col min="12290" max="12290" width="3.54296875" style="29" customWidth="1"/>
    <col min="12291" max="12535" width="9.1796875" style="29"/>
    <col min="12536" max="12536" width="8.7265625" style="29" customWidth="1"/>
    <col min="12537" max="12537" width="9.81640625" style="29" customWidth="1"/>
    <col min="12538" max="12538" width="14.453125" style="29" customWidth="1"/>
    <col min="12539" max="12539" width="7.26953125" style="29" customWidth="1"/>
    <col min="12540" max="12540" width="5.54296875" style="29" customWidth="1"/>
    <col min="12541" max="12541" width="9" style="29" customWidth="1"/>
    <col min="12542" max="12543" width="9.81640625" style="29" customWidth="1"/>
    <col min="12544" max="12544" width="11.1796875" style="29" customWidth="1"/>
    <col min="12545" max="12545" width="2.81640625" style="29" customWidth="1"/>
    <col min="12546" max="12546" width="3.54296875" style="29" customWidth="1"/>
    <col min="12547" max="12791" width="9.1796875" style="29"/>
    <col min="12792" max="12792" width="8.7265625" style="29" customWidth="1"/>
    <col min="12793" max="12793" width="9.81640625" style="29" customWidth="1"/>
    <col min="12794" max="12794" width="14.453125" style="29" customWidth="1"/>
    <col min="12795" max="12795" width="7.26953125" style="29" customWidth="1"/>
    <col min="12796" max="12796" width="5.54296875" style="29" customWidth="1"/>
    <col min="12797" max="12797" width="9" style="29" customWidth="1"/>
    <col min="12798" max="12799" width="9.81640625" style="29" customWidth="1"/>
    <col min="12800" max="12800" width="11.1796875" style="29" customWidth="1"/>
    <col min="12801" max="12801" width="2.81640625" style="29" customWidth="1"/>
    <col min="12802" max="12802" width="3.54296875" style="29" customWidth="1"/>
    <col min="12803" max="13047" width="9.1796875" style="29"/>
    <col min="13048" max="13048" width="8.7265625" style="29" customWidth="1"/>
    <col min="13049" max="13049" width="9.81640625" style="29" customWidth="1"/>
    <col min="13050" max="13050" width="14.453125" style="29" customWidth="1"/>
    <col min="13051" max="13051" width="7.26953125" style="29" customWidth="1"/>
    <col min="13052" max="13052" width="5.54296875" style="29" customWidth="1"/>
    <col min="13053" max="13053" width="9" style="29" customWidth="1"/>
    <col min="13054" max="13055" width="9.81640625" style="29" customWidth="1"/>
    <col min="13056" max="13056" width="11.1796875" style="29" customWidth="1"/>
    <col min="13057" max="13057" width="2.81640625" style="29" customWidth="1"/>
    <col min="13058" max="13058" width="3.54296875" style="29" customWidth="1"/>
    <col min="13059" max="13303" width="9.1796875" style="29"/>
    <col min="13304" max="13304" width="8.7265625" style="29" customWidth="1"/>
    <col min="13305" max="13305" width="9.81640625" style="29" customWidth="1"/>
    <col min="13306" max="13306" width="14.453125" style="29" customWidth="1"/>
    <col min="13307" max="13307" width="7.26953125" style="29" customWidth="1"/>
    <col min="13308" max="13308" width="5.54296875" style="29" customWidth="1"/>
    <col min="13309" max="13309" width="9" style="29" customWidth="1"/>
    <col min="13310" max="13311" width="9.81640625" style="29" customWidth="1"/>
    <col min="13312" max="13312" width="11.1796875" style="29" customWidth="1"/>
    <col min="13313" max="13313" width="2.81640625" style="29" customWidth="1"/>
    <col min="13314" max="13314" width="3.54296875" style="29" customWidth="1"/>
    <col min="13315" max="13559" width="9.1796875" style="29"/>
    <col min="13560" max="13560" width="8.7265625" style="29" customWidth="1"/>
    <col min="13561" max="13561" width="9.81640625" style="29" customWidth="1"/>
    <col min="13562" max="13562" width="14.453125" style="29" customWidth="1"/>
    <col min="13563" max="13563" width="7.26953125" style="29" customWidth="1"/>
    <col min="13564" max="13564" width="5.54296875" style="29" customWidth="1"/>
    <col min="13565" max="13565" width="9" style="29" customWidth="1"/>
    <col min="13566" max="13567" width="9.81640625" style="29" customWidth="1"/>
    <col min="13568" max="13568" width="11.1796875" style="29" customWidth="1"/>
    <col min="13569" max="13569" width="2.81640625" style="29" customWidth="1"/>
    <col min="13570" max="13570" width="3.54296875" style="29" customWidth="1"/>
    <col min="13571" max="13815" width="9.1796875" style="29"/>
    <col min="13816" max="13816" width="8.7265625" style="29" customWidth="1"/>
    <col min="13817" max="13817" width="9.81640625" style="29" customWidth="1"/>
    <col min="13818" max="13818" width="14.453125" style="29" customWidth="1"/>
    <col min="13819" max="13819" width="7.26953125" style="29" customWidth="1"/>
    <col min="13820" max="13820" width="5.54296875" style="29" customWidth="1"/>
    <col min="13821" max="13821" width="9" style="29" customWidth="1"/>
    <col min="13822" max="13823" width="9.81640625" style="29" customWidth="1"/>
    <col min="13824" max="13824" width="11.1796875" style="29" customWidth="1"/>
    <col min="13825" max="13825" width="2.81640625" style="29" customWidth="1"/>
    <col min="13826" max="13826" width="3.54296875" style="29" customWidth="1"/>
    <col min="13827" max="14071" width="9.1796875" style="29"/>
    <col min="14072" max="14072" width="8.7265625" style="29" customWidth="1"/>
    <col min="14073" max="14073" width="9.81640625" style="29" customWidth="1"/>
    <col min="14074" max="14074" width="14.453125" style="29" customWidth="1"/>
    <col min="14075" max="14075" width="7.26953125" style="29" customWidth="1"/>
    <col min="14076" max="14076" width="5.54296875" style="29" customWidth="1"/>
    <col min="14077" max="14077" width="9" style="29" customWidth="1"/>
    <col min="14078" max="14079" width="9.81640625" style="29" customWidth="1"/>
    <col min="14080" max="14080" width="11.1796875" style="29" customWidth="1"/>
    <col min="14081" max="14081" width="2.81640625" style="29" customWidth="1"/>
    <col min="14082" max="14082" width="3.54296875" style="29" customWidth="1"/>
    <col min="14083" max="14327" width="9.1796875" style="29"/>
    <col min="14328" max="14328" width="8.7265625" style="29" customWidth="1"/>
    <col min="14329" max="14329" width="9.81640625" style="29" customWidth="1"/>
    <col min="14330" max="14330" width="14.453125" style="29" customWidth="1"/>
    <col min="14331" max="14331" width="7.26953125" style="29" customWidth="1"/>
    <col min="14332" max="14332" width="5.54296875" style="29" customWidth="1"/>
    <col min="14333" max="14333" width="9" style="29" customWidth="1"/>
    <col min="14334" max="14335" width="9.81640625" style="29" customWidth="1"/>
    <col min="14336" max="14336" width="11.1796875" style="29" customWidth="1"/>
    <col min="14337" max="14337" width="2.81640625" style="29" customWidth="1"/>
    <col min="14338" max="14338" width="3.54296875" style="29" customWidth="1"/>
    <col min="14339" max="14583" width="9.1796875" style="29"/>
    <col min="14584" max="14584" width="8.7265625" style="29" customWidth="1"/>
    <col min="14585" max="14585" width="9.81640625" style="29" customWidth="1"/>
    <col min="14586" max="14586" width="14.453125" style="29" customWidth="1"/>
    <col min="14587" max="14587" width="7.26953125" style="29" customWidth="1"/>
    <col min="14588" max="14588" width="5.54296875" style="29" customWidth="1"/>
    <col min="14589" max="14589" width="9" style="29" customWidth="1"/>
    <col min="14590" max="14591" width="9.81640625" style="29" customWidth="1"/>
    <col min="14592" max="14592" width="11.1796875" style="29" customWidth="1"/>
    <col min="14593" max="14593" width="2.81640625" style="29" customWidth="1"/>
    <col min="14594" max="14594" width="3.54296875" style="29" customWidth="1"/>
    <col min="14595" max="14839" width="9.1796875" style="29"/>
    <col min="14840" max="14840" width="8.7265625" style="29" customWidth="1"/>
    <col min="14841" max="14841" width="9.81640625" style="29" customWidth="1"/>
    <col min="14842" max="14842" width="14.453125" style="29" customWidth="1"/>
    <col min="14843" max="14843" width="7.26953125" style="29" customWidth="1"/>
    <col min="14844" max="14844" width="5.54296875" style="29" customWidth="1"/>
    <col min="14845" max="14845" width="9" style="29" customWidth="1"/>
    <col min="14846" max="14847" width="9.81640625" style="29" customWidth="1"/>
    <col min="14848" max="14848" width="11.1796875" style="29" customWidth="1"/>
    <col min="14849" max="14849" width="2.81640625" style="29" customWidth="1"/>
    <col min="14850" max="14850" width="3.54296875" style="29" customWidth="1"/>
    <col min="14851" max="15095" width="9.1796875" style="29"/>
    <col min="15096" max="15096" width="8.7265625" style="29" customWidth="1"/>
    <col min="15097" max="15097" width="9.81640625" style="29" customWidth="1"/>
    <col min="15098" max="15098" width="14.453125" style="29" customWidth="1"/>
    <col min="15099" max="15099" width="7.26953125" style="29" customWidth="1"/>
    <col min="15100" max="15100" width="5.54296875" style="29" customWidth="1"/>
    <col min="15101" max="15101" width="9" style="29" customWidth="1"/>
    <col min="15102" max="15103" width="9.81640625" style="29" customWidth="1"/>
    <col min="15104" max="15104" width="11.1796875" style="29" customWidth="1"/>
    <col min="15105" max="15105" width="2.81640625" style="29" customWidth="1"/>
    <col min="15106" max="15106" width="3.54296875" style="29" customWidth="1"/>
    <col min="15107" max="15351" width="9.1796875" style="29"/>
    <col min="15352" max="15352" width="8.7265625" style="29" customWidth="1"/>
    <col min="15353" max="15353" width="9.81640625" style="29" customWidth="1"/>
    <col min="15354" max="15354" width="14.453125" style="29" customWidth="1"/>
    <col min="15355" max="15355" width="7.26953125" style="29" customWidth="1"/>
    <col min="15356" max="15356" width="5.54296875" style="29" customWidth="1"/>
    <col min="15357" max="15357" width="9" style="29" customWidth="1"/>
    <col min="15358" max="15359" width="9.81640625" style="29" customWidth="1"/>
    <col min="15360" max="15360" width="11.1796875" style="29" customWidth="1"/>
    <col min="15361" max="15361" width="2.81640625" style="29" customWidth="1"/>
    <col min="15362" max="15362" width="3.54296875" style="29" customWidth="1"/>
    <col min="15363" max="15607" width="9.1796875" style="29"/>
    <col min="15608" max="15608" width="8.7265625" style="29" customWidth="1"/>
    <col min="15609" max="15609" width="9.81640625" style="29" customWidth="1"/>
    <col min="15610" max="15610" width="14.453125" style="29" customWidth="1"/>
    <col min="15611" max="15611" width="7.26953125" style="29" customWidth="1"/>
    <col min="15612" max="15612" width="5.54296875" style="29" customWidth="1"/>
    <col min="15613" max="15613" width="9" style="29" customWidth="1"/>
    <col min="15614" max="15615" width="9.81640625" style="29" customWidth="1"/>
    <col min="15616" max="15616" width="11.1796875" style="29" customWidth="1"/>
    <col min="15617" max="15617" width="2.81640625" style="29" customWidth="1"/>
    <col min="15618" max="15618" width="3.54296875" style="29" customWidth="1"/>
    <col min="15619" max="15863" width="9.1796875" style="29"/>
    <col min="15864" max="15864" width="8.7265625" style="29" customWidth="1"/>
    <col min="15865" max="15865" width="9.81640625" style="29" customWidth="1"/>
    <col min="15866" max="15866" width="14.453125" style="29" customWidth="1"/>
    <col min="15867" max="15867" width="7.26953125" style="29" customWidth="1"/>
    <col min="15868" max="15868" width="5.54296875" style="29" customWidth="1"/>
    <col min="15869" max="15869" width="9" style="29" customWidth="1"/>
    <col min="15870" max="15871" width="9.81640625" style="29" customWidth="1"/>
    <col min="15872" max="15872" width="11.1796875" style="29" customWidth="1"/>
    <col min="15873" max="15873" width="2.81640625" style="29" customWidth="1"/>
    <col min="15874" max="15874" width="3.54296875" style="29" customWidth="1"/>
    <col min="15875" max="16119" width="9.1796875" style="29"/>
    <col min="16120" max="16120" width="8.7265625" style="29" customWidth="1"/>
    <col min="16121" max="16121" width="9.81640625" style="29" customWidth="1"/>
    <col min="16122" max="16122" width="14.453125" style="29" customWidth="1"/>
    <col min="16123" max="16123" width="7.26953125" style="29" customWidth="1"/>
    <col min="16124" max="16124" width="5.54296875" style="29" customWidth="1"/>
    <col min="16125" max="16125" width="9" style="29" customWidth="1"/>
    <col min="16126" max="16127" width="9.81640625" style="29" customWidth="1"/>
    <col min="16128" max="16128" width="11.1796875" style="29" customWidth="1"/>
    <col min="16129" max="16129" width="2.81640625" style="29" customWidth="1"/>
    <col min="16130" max="16130" width="3.54296875" style="29" customWidth="1"/>
    <col min="16131" max="16384" width="9.1796875" style="29"/>
  </cols>
  <sheetData>
    <row r="1" spans="1:8" ht="46.5" customHeight="1" x14ac:dyDescent="0.35">
      <c r="A1" s="147" t="s">
        <v>243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5">
      <c r="A2" s="90" t="s">
        <v>0</v>
      </c>
      <c r="B2" s="90"/>
      <c r="C2" s="90"/>
      <c r="D2" s="90"/>
      <c r="E2" s="90"/>
      <c r="F2" s="90"/>
      <c r="G2" s="90"/>
      <c r="H2" s="90"/>
    </row>
    <row r="3" spans="1:8" x14ac:dyDescent="0.35">
      <c r="A3" s="127" t="s">
        <v>1</v>
      </c>
      <c r="B3" s="127"/>
      <c r="C3" s="127"/>
      <c r="D3" s="127"/>
      <c r="E3" s="148" t="str">
        <f ca="1">TEXT(TODAY(),"DD/MM/YYYY")</f>
        <v>22/08/2025</v>
      </c>
      <c r="F3" s="148"/>
      <c r="G3" s="148"/>
      <c r="H3" s="148"/>
    </row>
    <row r="4" spans="1:8" x14ac:dyDescent="0.35">
      <c r="A4" s="127" t="s">
        <v>2</v>
      </c>
      <c r="B4" s="127"/>
      <c r="C4" s="127"/>
      <c r="D4" s="127"/>
      <c r="E4" s="137" t="s">
        <v>193</v>
      </c>
      <c r="F4" s="137"/>
      <c r="G4" s="137"/>
      <c r="H4" s="137"/>
    </row>
    <row r="5" spans="1:8" x14ac:dyDescent="0.35">
      <c r="A5" s="127" t="s">
        <v>3</v>
      </c>
      <c r="B5" s="127"/>
      <c r="C5" s="127"/>
      <c r="D5" s="127"/>
      <c r="E5" s="148">
        <v>45890</v>
      </c>
      <c r="F5" s="148"/>
      <c r="G5" s="148"/>
      <c r="H5" s="148"/>
    </row>
    <row r="6" spans="1:8" ht="16.5" customHeight="1" x14ac:dyDescent="0.35">
      <c r="A6" s="127" t="s">
        <v>194</v>
      </c>
      <c r="B6" s="127"/>
      <c r="C6" s="127"/>
      <c r="D6" s="127"/>
      <c r="E6" s="135" t="s">
        <v>227</v>
      </c>
      <c r="F6" s="135"/>
      <c r="G6" s="135"/>
      <c r="H6" s="135"/>
    </row>
    <row r="7" spans="1:8" ht="15" customHeight="1" x14ac:dyDescent="0.35">
      <c r="A7" s="127" t="s">
        <v>4</v>
      </c>
      <c r="B7" s="127"/>
      <c r="C7" s="127"/>
      <c r="D7" s="127"/>
      <c r="E7" s="136" t="s">
        <v>195</v>
      </c>
      <c r="F7" s="136"/>
      <c r="G7" s="136"/>
      <c r="H7" s="136"/>
    </row>
    <row r="8" spans="1:8" x14ac:dyDescent="0.35">
      <c r="A8" s="127" t="s">
        <v>5</v>
      </c>
      <c r="B8" s="127"/>
      <c r="C8" s="127"/>
      <c r="D8" s="127"/>
      <c r="E8" s="134" t="s">
        <v>196</v>
      </c>
      <c r="F8" s="134"/>
      <c r="G8" s="134"/>
      <c r="H8" s="134"/>
    </row>
    <row r="9" spans="1:8" x14ac:dyDescent="0.35">
      <c r="A9" s="127" t="s">
        <v>160</v>
      </c>
      <c r="B9" s="127"/>
      <c r="C9" s="127"/>
      <c r="D9" s="127"/>
      <c r="E9" s="127" t="s">
        <v>197</v>
      </c>
      <c r="F9" s="127"/>
      <c r="G9" s="127"/>
      <c r="H9" s="127"/>
    </row>
    <row r="10" spans="1:8" x14ac:dyDescent="0.35">
      <c r="A10" s="119" t="s">
        <v>6</v>
      </c>
      <c r="B10" s="119"/>
      <c r="C10" s="119"/>
      <c r="D10" s="119"/>
      <c r="E10" s="119" t="s">
        <v>233</v>
      </c>
      <c r="F10" s="119"/>
      <c r="G10" s="119"/>
      <c r="H10" s="119"/>
    </row>
    <row r="11" spans="1:8" x14ac:dyDescent="0.35">
      <c r="A11" s="127" t="s">
        <v>7</v>
      </c>
      <c r="B11" s="127"/>
      <c r="C11" s="127"/>
      <c r="D11" s="127"/>
      <c r="E11" s="135" t="s">
        <v>198</v>
      </c>
      <c r="F11" s="135"/>
      <c r="G11" s="135"/>
      <c r="H11" s="135"/>
    </row>
    <row r="12" spans="1:8" ht="48.75" customHeight="1" x14ac:dyDescent="0.35">
      <c r="A12" s="127" t="s">
        <v>8</v>
      </c>
      <c r="B12" s="127"/>
      <c r="C12" s="127"/>
      <c r="D12" s="127"/>
      <c r="E12" s="135" t="s">
        <v>234</v>
      </c>
      <c r="F12" s="119"/>
      <c r="G12" s="119"/>
      <c r="H12" s="119"/>
    </row>
    <row r="13" spans="1:8" ht="48.75" customHeight="1" x14ac:dyDescent="0.35">
      <c r="A13" s="136" t="s">
        <v>9</v>
      </c>
      <c r="B13" s="136"/>
      <c r="C13" s="13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Unique Vistas, Survey No.59A/2B, 59A/16B 1/1/1, 59A/16B-2, Gut No. 59A/2/G/1, Gut No. 59A/2/G/2, near Hollyhock, Cosmos Lounge, Internal road, Chitalsar - Manpada, Thane west, Thane, Thane.</v>
      </c>
      <c r="D13" s="136"/>
      <c r="E13" s="136"/>
      <c r="F13" s="136"/>
      <c r="G13" s="136"/>
      <c r="H13" s="136"/>
    </row>
    <row r="14" spans="1:8" x14ac:dyDescent="0.35">
      <c r="A14" s="136" t="s">
        <v>199</v>
      </c>
      <c r="B14" s="136"/>
      <c r="C14" s="135" t="s">
        <v>200</v>
      </c>
      <c r="D14" s="135"/>
      <c r="E14" s="135"/>
      <c r="F14" s="135"/>
      <c r="G14" s="135"/>
      <c r="H14" s="135"/>
    </row>
    <row r="15" spans="1:8" ht="15.75" customHeight="1" x14ac:dyDescent="0.35">
      <c r="A15" s="136" t="s">
        <v>10</v>
      </c>
      <c r="B15" s="136"/>
      <c r="C15" s="119" t="s">
        <v>203</v>
      </c>
      <c r="D15" s="119"/>
      <c r="E15" s="136" t="s">
        <v>102</v>
      </c>
      <c r="F15" s="136"/>
      <c r="G15" s="135" t="s">
        <v>215</v>
      </c>
      <c r="H15" s="135"/>
    </row>
    <row r="16" spans="1:8" x14ac:dyDescent="0.35">
      <c r="A16" s="127" t="s">
        <v>12</v>
      </c>
      <c r="B16" s="127"/>
      <c r="C16" s="138" t="s">
        <v>202</v>
      </c>
      <c r="D16" s="138"/>
      <c r="E16" s="136" t="s">
        <v>11</v>
      </c>
      <c r="F16" s="136"/>
      <c r="G16" s="138" t="s">
        <v>201</v>
      </c>
      <c r="H16" s="138"/>
    </row>
    <row r="17" spans="1:8" x14ac:dyDescent="0.35">
      <c r="A17" s="127" t="s">
        <v>103</v>
      </c>
      <c r="B17" s="127"/>
      <c r="C17" s="138" t="s">
        <v>201</v>
      </c>
      <c r="D17" s="138"/>
      <c r="E17" s="136" t="s">
        <v>13</v>
      </c>
      <c r="F17" s="136"/>
      <c r="G17" s="135">
        <v>400607</v>
      </c>
      <c r="H17" s="135"/>
    </row>
    <row r="18" spans="1:8" ht="32.25" customHeight="1" x14ac:dyDescent="0.35">
      <c r="A18" s="127" t="s">
        <v>161</v>
      </c>
      <c r="B18" s="127"/>
      <c r="C18" s="136" t="s">
        <v>204</v>
      </c>
      <c r="D18" s="136"/>
      <c r="E18" s="136" t="s">
        <v>14</v>
      </c>
      <c r="F18" s="136"/>
      <c r="G18" s="135" t="s">
        <v>213</v>
      </c>
      <c r="H18" s="135"/>
    </row>
    <row r="19" spans="1:8" ht="15" customHeight="1" x14ac:dyDescent="0.35">
      <c r="A19" s="136" t="s">
        <v>106</v>
      </c>
      <c r="B19" s="136"/>
      <c r="C19" s="136"/>
      <c r="D19" s="136"/>
      <c r="E19" s="119" t="s">
        <v>15</v>
      </c>
      <c r="F19" s="119"/>
      <c r="G19" s="119"/>
      <c r="H19" s="119"/>
    </row>
    <row r="20" spans="1:8" ht="18.75" customHeight="1" x14ac:dyDescent="0.35">
      <c r="A20" s="136"/>
      <c r="B20" s="136"/>
      <c r="C20" s="136"/>
      <c r="D20" s="136"/>
      <c r="E20" s="119"/>
      <c r="F20" s="119"/>
      <c r="G20" s="119"/>
      <c r="H20" s="119"/>
    </row>
    <row r="21" spans="1:8" ht="15" customHeight="1" x14ac:dyDescent="0.35">
      <c r="A21" s="136" t="s">
        <v>16</v>
      </c>
      <c r="B21" s="136"/>
      <c r="C21" s="136"/>
      <c r="D21" s="136"/>
      <c r="E21" s="135" t="s">
        <v>17</v>
      </c>
      <c r="F21" s="135"/>
      <c r="G21" s="135"/>
      <c r="H21" s="135"/>
    </row>
    <row r="22" spans="1:8" ht="15" customHeight="1" x14ac:dyDescent="0.35">
      <c r="A22" s="127" t="s">
        <v>18</v>
      </c>
      <c r="B22" s="127"/>
      <c r="C22" s="127"/>
      <c r="D22" s="127"/>
      <c r="E22" s="135" t="str">
        <f>IF(AND(G16="Mumbai"),"Upper Class","Middle Class")</f>
        <v>Middle Class</v>
      </c>
      <c r="F22" s="135"/>
      <c r="G22" s="135"/>
      <c r="H22" s="135"/>
    </row>
    <row r="23" spans="1:8" x14ac:dyDescent="0.35">
      <c r="A23" s="127" t="s">
        <v>19</v>
      </c>
      <c r="B23" s="127"/>
      <c r="C23" s="127"/>
      <c r="D23" s="127"/>
      <c r="E23" s="135" t="s">
        <v>20</v>
      </c>
      <c r="F23" s="135"/>
      <c r="G23" s="135"/>
      <c r="H23" s="135"/>
    </row>
    <row r="24" spans="1:8" ht="15.75" customHeight="1" x14ac:dyDescent="0.35">
      <c r="A24" s="127" t="s">
        <v>21</v>
      </c>
      <c r="B24" s="127"/>
      <c r="C24" s="127"/>
      <c r="D24" s="127"/>
      <c r="E24" s="135" t="str">
        <f>IF(AND(G16="Mumbai"),"Developed","Developing")</f>
        <v>Developing</v>
      </c>
      <c r="F24" s="135"/>
      <c r="G24" s="135"/>
      <c r="H24" s="135"/>
    </row>
    <row r="25" spans="1:8" x14ac:dyDescent="0.35">
      <c r="A25" s="127" t="s">
        <v>22</v>
      </c>
      <c r="B25" s="127"/>
      <c r="C25" s="127"/>
      <c r="D25" s="127"/>
      <c r="E25" s="135" t="s">
        <v>23</v>
      </c>
      <c r="F25" s="135"/>
      <c r="G25" s="135"/>
      <c r="H25" s="135"/>
    </row>
    <row r="26" spans="1:8" x14ac:dyDescent="0.35">
      <c r="A26" s="127" t="s">
        <v>113</v>
      </c>
      <c r="B26" s="127"/>
      <c r="C26" s="127"/>
      <c r="D26" s="127"/>
      <c r="E26" s="135" t="s">
        <v>114</v>
      </c>
      <c r="F26" s="135"/>
      <c r="G26" s="135"/>
      <c r="H26" s="135"/>
    </row>
    <row r="27" spans="1:8" ht="15" customHeight="1" x14ac:dyDescent="0.35">
      <c r="A27" s="136" t="s">
        <v>34</v>
      </c>
      <c r="B27" s="136"/>
      <c r="C27" s="136"/>
      <c r="D27" s="136"/>
      <c r="E27" s="137" t="s">
        <v>110</v>
      </c>
      <c r="F27" s="137"/>
      <c r="G27" s="137"/>
      <c r="H27" s="137"/>
    </row>
    <row r="28" spans="1:8" x14ac:dyDescent="0.35">
      <c r="A28" s="136" t="s">
        <v>125</v>
      </c>
      <c r="B28" s="136"/>
      <c r="C28" s="136"/>
      <c r="D28" s="136"/>
      <c r="E28" s="136" t="s">
        <v>35</v>
      </c>
      <c r="F28" s="136"/>
      <c r="G28" s="136"/>
      <c r="H28" s="136"/>
    </row>
    <row r="29" spans="1:8" s="30" customFormat="1" x14ac:dyDescent="0.35">
      <c r="A29" s="133" t="s">
        <v>126</v>
      </c>
      <c r="B29" s="133"/>
      <c r="C29" s="129" t="s">
        <v>28</v>
      </c>
      <c r="D29" s="129"/>
      <c r="E29" s="129"/>
      <c r="F29" s="129" t="s">
        <v>30</v>
      </c>
      <c r="G29" s="129"/>
      <c r="H29" s="129"/>
    </row>
    <row r="30" spans="1:8" s="30" customFormat="1" x14ac:dyDescent="0.35">
      <c r="A30" s="132" t="s">
        <v>24</v>
      </c>
      <c r="B30" s="132" t="s">
        <v>29</v>
      </c>
      <c r="C30" s="112" t="s">
        <v>29</v>
      </c>
      <c r="D30" s="112"/>
      <c r="E30" s="112"/>
      <c r="F30" s="112" t="s">
        <v>205</v>
      </c>
      <c r="G30" s="112"/>
      <c r="H30" s="112"/>
    </row>
    <row r="31" spans="1:8" x14ac:dyDescent="0.35">
      <c r="A31" s="132" t="s">
        <v>25</v>
      </c>
      <c r="B31" s="132" t="s">
        <v>29</v>
      </c>
      <c r="C31" s="112" t="s">
        <v>29</v>
      </c>
      <c r="D31" s="112"/>
      <c r="E31" s="112"/>
      <c r="F31" s="112" t="s">
        <v>214</v>
      </c>
      <c r="G31" s="112"/>
      <c r="H31" s="112"/>
    </row>
    <row r="32" spans="1:8" s="30" customFormat="1" x14ac:dyDescent="0.35">
      <c r="A32" s="132" t="s">
        <v>27</v>
      </c>
      <c r="B32" s="132" t="s">
        <v>29</v>
      </c>
      <c r="C32" s="112" t="s">
        <v>29</v>
      </c>
      <c r="D32" s="112"/>
      <c r="E32" s="112"/>
      <c r="F32" s="112" t="s">
        <v>206</v>
      </c>
      <c r="G32" s="112"/>
      <c r="H32" s="112"/>
    </row>
    <row r="33" spans="1:8" x14ac:dyDescent="0.35">
      <c r="A33" s="132" t="s">
        <v>26</v>
      </c>
      <c r="B33" s="132" t="s">
        <v>29</v>
      </c>
      <c r="C33" s="112" t="s">
        <v>29</v>
      </c>
      <c r="D33" s="112"/>
      <c r="E33" s="112"/>
      <c r="F33" s="112" t="s">
        <v>207</v>
      </c>
      <c r="G33" s="112"/>
      <c r="H33" s="112"/>
    </row>
    <row r="34" spans="1:8" x14ac:dyDescent="0.35">
      <c r="A34" s="127" t="s">
        <v>31</v>
      </c>
      <c r="B34" s="127"/>
      <c r="C34" s="127"/>
      <c r="D34" s="127"/>
      <c r="E34" s="127"/>
      <c r="F34" s="127"/>
      <c r="G34" s="127"/>
      <c r="H34" s="127"/>
    </row>
    <row r="35" spans="1:8" ht="15.75" customHeight="1" x14ac:dyDescent="0.35">
      <c r="A35" s="90" t="s">
        <v>32</v>
      </c>
      <c r="B35" s="90"/>
      <c r="C35" s="130">
        <v>19.240360500000001</v>
      </c>
      <c r="D35" s="130"/>
      <c r="E35" s="90" t="s">
        <v>33</v>
      </c>
      <c r="F35" s="90"/>
      <c r="G35" s="131">
        <v>72.968652199999994</v>
      </c>
      <c r="H35" s="131"/>
    </row>
    <row r="36" spans="1:8" ht="15.75" customHeight="1" x14ac:dyDescent="0.35">
      <c r="A36" s="90" t="s">
        <v>244</v>
      </c>
      <c r="B36" s="90"/>
      <c r="C36" s="206" t="s">
        <v>245</v>
      </c>
      <c r="D36" s="207"/>
      <c r="E36" s="207"/>
      <c r="F36" s="207"/>
      <c r="G36" s="207"/>
      <c r="H36" s="207"/>
    </row>
    <row r="37" spans="1:8" x14ac:dyDescent="0.35">
      <c r="A37" s="134" t="s">
        <v>36</v>
      </c>
      <c r="B37" s="134"/>
      <c r="C37" s="134"/>
      <c r="D37" s="134"/>
      <c r="E37" s="134"/>
      <c r="F37" s="134"/>
      <c r="G37" s="134"/>
      <c r="H37" s="134"/>
    </row>
    <row r="38" spans="1:8" x14ac:dyDescent="0.35">
      <c r="A38" s="127" t="s">
        <v>37</v>
      </c>
      <c r="B38" s="127"/>
      <c r="C38" s="127"/>
      <c r="D38" s="127"/>
      <c r="E38" s="128">
        <v>42572.04</v>
      </c>
      <c r="F38" s="128"/>
      <c r="G38" s="128"/>
      <c r="H38" s="128"/>
    </row>
    <row r="39" spans="1:8" x14ac:dyDescent="0.35">
      <c r="A39" s="127" t="s">
        <v>38</v>
      </c>
      <c r="B39" s="127"/>
      <c r="C39" s="127"/>
      <c r="D39" s="127"/>
      <c r="E39" s="149">
        <v>2.5</v>
      </c>
      <c r="F39" s="149"/>
      <c r="G39" s="149"/>
      <c r="H39" s="149"/>
    </row>
    <row r="40" spans="1:8" x14ac:dyDescent="0.35">
      <c r="A40" s="127" t="s">
        <v>39</v>
      </c>
      <c r="B40" s="127"/>
      <c r="C40" s="127"/>
      <c r="D40" s="127"/>
      <c r="E40" s="149">
        <f>E42/E38-E39</f>
        <v>0</v>
      </c>
      <c r="F40" s="149"/>
      <c r="G40" s="149"/>
      <c r="H40" s="149"/>
    </row>
    <row r="41" spans="1:8" x14ac:dyDescent="0.35">
      <c r="A41" s="127" t="s">
        <v>40</v>
      </c>
      <c r="B41" s="127"/>
      <c r="C41" s="127"/>
      <c r="D41" s="127"/>
      <c r="E41" s="149">
        <f>E39+E40</f>
        <v>2.5</v>
      </c>
      <c r="F41" s="149"/>
      <c r="G41" s="149"/>
      <c r="H41" s="149"/>
    </row>
    <row r="42" spans="1:8" x14ac:dyDescent="0.35">
      <c r="A42" s="127" t="s">
        <v>124</v>
      </c>
      <c r="B42" s="127"/>
      <c r="C42" s="127"/>
      <c r="D42" s="127"/>
      <c r="E42" s="150">
        <v>106430.1</v>
      </c>
      <c r="F42" s="150"/>
      <c r="G42" s="150"/>
      <c r="H42" s="150"/>
    </row>
    <row r="43" spans="1:8" x14ac:dyDescent="0.35">
      <c r="A43" s="119" t="s">
        <v>41</v>
      </c>
      <c r="B43" s="119"/>
      <c r="C43" s="119"/>
      <c r="D43" s="119"/>
      <c r="E43" s="119" t="s">
        <v>235</v>
      </c>
      <c r="F43" s="119"/>
      <c r="G43" s="119"/>
      <c r="H43" s="119"/>
    </row>
    <row r="44" spans="1:8" x14ac:dyDescent="0.35">
      <c r="A44" s="103" t="s">
        <v>42</v>
      </c>
      <c r="B44" s="103"/>
      <c r="C44" s="103"/>
      <c r="D44" s="103"/>
      <c r="E44" s="103"/>
      <c r="F44" s="103"/>
      <c r="G44" s="103"/>
      <c r="H44" s="103"/>
    </row>
    <row r="45" spans="1:8" x14ac:dyDescent="0.35">
      <c r="A45" s="135" t="s">
        <v>43</v>
      </c>
      <c r="B45" s="135"/>
      <c r="C45" s="135" t="s">
        <v>208</v>
      </c>
      <c r="D45" s="135"/>
      <c r="E45" s="135"/>
      <c r="F45" s="68" t="s">
        <v>44</v>
      </c>
      <c r="G45" s="143">
        <v>42165</v>
      </c>
      <c r="H45" s="143"/>
    </row>
    <row r="46" spans="1:8" x14ac:dyDescent="0.35">
      <c r="A46" s="119" t="s">
        <v>45</v>
      </c>
      <c r="B46" s="119"/>
      <c r="C46" s="135" t="str">
        <f>C45</f>
        <v>V.P.S04/0019/10TMC/TDD/1430/15</v>
      </c>
      <c r="D46" s="135"/>
      <c r="E46" s="135"/>
      <c r="F46" s="68" t="s">
        <v>44</v>
      </c>
      <c r="G46" s="143">
        <f>G45</f>
        <v>42165</v>
      </c>
      <c r="H46" s="143"/>
    </row>
    <row r="47" spans="1:8" s="32" customFormat="1" ht="36" customHeight="1" x14ac:dyDescent="0.35">
      <c r="A47" s="135" t="s">
        <v>46</v>
      </c>
      <c r="B47" s="135"/>
      <c r="C47" s="135" t="s">
        <v>209</v>
      </c>
      <c r="D47" s="135"/>
      <c r="E47" s="135"/>
      <c r="F47" s="31" t="s">
        <v>44</v>
      </c>
      <c r="G47" s="143">
        <v>43055</v>
      </c>
      <c r="H47" s="143"/>
    </row>
    <row r="48" spans="1:8" s="32" customFormat="1" x14ac:dyDescent="0.35">
      <c r="A48" s="135"/>
      <c r="B48" s="135"/>
      <c r="C48" s="163" t="s">
        <v>236</v>
      </c>
      <c r="D48" s="164"/>
      <c r="E48" s="164"/>
      <c r="F48" s="164"/>
      <c r="G48" s="164"/>
      <c r="H48" s="165"/>
    </row>
    <row r="49" spans="1:14" x14ac:dyDescent="0.35">
      <c r="A49" s="102" t="s">
        <v>47</v>
      </c>
      <c r="B49" s="102"/>
      <c r="C49" s="102" t="s">
        <v>141</v>
      </c>
      <c r="D49" s="103"/>
      <c r="E49" s="103" t="s">
        <v>48</v>
      </c>
      <c r="F49" s="63" t="s">
        <v>44</v>
      </c>
      <c r="G49" s="162" t="s">
        <v>29</v>
      </c>
      <c r="H49" s="162"/>
    </row>
    <row r="50" spans="1:14" x14ac:dyDescent="0.35">
      <c r="A50" s="161" t="s">
        <v>50</v>
      </c>
      <c r="B50" s="161"/>
      <c r="C50" s="161"/>
      <c r="D50" s="161"/>
      <c r="E50" s="161"/>
      <c r="F50" s="161"/>
      <c r="G50" s="161"/>
      <c r="H50" s="161"/>
    </row>
    <row r="51" spans="1:14" x14ac:dyDescent="0.35">
      <c r="A51" s="136" t="s">
        <v>123</v>
      </c>
      <c r="B51" s="136"/>
      <c r="C51" s="136"/>
      <c r="D51" s="127">
        <f>E42</f>
        <v>106430.1</v>
      </c>
      <c r="E51" s="127"/>
      <c r="F51" s="127"/>
      <c r="G51" s="127"/>
      <c r="H51" s="127"/>
    </row>
    <row r="52" spans="1:14" x14ac:dyDescent="0.35">
      <c r="A52" s="135" t="s">
        <v>51</v>
      </c>
      <c r="B52" s="119"/>
      <c r="C52" s="119"/>
      <c r="D52" s="119" t="s">
        <v>239</v>
      </c>
      <c r="E52" s="119"/>
      <c r="F52" s="119"/>
      <c r="G52" s="119"/>
      <c r="H52" s="119"/>
      <c r="I52" s="33"/>
    </row>
    <row r="53" spans="1:14" x14ac:dyDescent="0.35">
      <c r="A53" s="140" t="s">
        <v>52</v>
      </c>
      <c r="B53" s="141"/>
      <c r="C53" s="142"/>
      <c r="D53" s="139" t="s">
        <v>241</v>
      </c>
      <c r="E53" s="139"/>
      <c r="F53" s="139"/>
      <c r="G53" s="139"/>
      <c r="H53" s="139"/>
      <c r="I53" s="34"/>
    </row>
    <row r="54" spans="1:14" ht="15.75" customHeight="1" x14ac:dyDescent="0.35">
      <c r="A54" s="140" t="s">
        <v>121</v>
      </c>
      <c r="B54" s="141"/>
      <c r="C54" s="142"/>
      <c r="D54" s="139" t="s">
        <v>228</v>
      </c>
      <c r="E54" s="139"/>
      <c r="F54" s="139"/>
      <c r="G54" s="139"/>
      <c r="H54" s="139"/>
      <c r="I54" s="34"/>
    </row>
    <row r="55" spans="1:14" x14ac:dyDescent="0.35">
      <c r="A55" s="197"/>
      <c r="B55" s="198"/>
      <c r="C55" s="199"/>
      <c r="D55" s="139" t="s">
        <v>229</v>
      </c>
      <c r="E55" s="139"/>
      <c r="F55" s="139"/>
      <c r="G55" s="139"/>
      <c r="H55" s="139"/>
      <c r="I55" s="34"/>
    </row>
    <row r="56" spans="1:14" x14ac:dyDescent="0.35">
      <c r="A56" s="200"/>
      <c r="B56" s="201"/>
      <c r="C56" s="202"/>
      <c r="D56" s="139" t="s">
        <v>237</v>
      </c>
      <c r="E56" s="139"/>
      <c r="F56" s="139"/>
      <c r="G56" s="139"/>
      <c r="H56" s="139"/>
      <c r="I56" s="34"/>
    </row>
    <row r="57" spans="1:14" ht="15.75" customHeight="1" x14ac:dyDescent="0.35">
      <c r="A57" s="127" t="s">
        <v>49</v>
      </c>
      <c r="B57" s="127"/>
      <c r="C57" s="127"/>
      <c r="D57" s="135" t="s">
        <v>250</v>
      </c>
      <c r="E57" s="135"/>
      <c r="F57" s="135"/>
      <c r="G57" s="135"/>
      <c r="H57" s="135"/>
      <c r="J57" s="35"/>
      <c r="K57" s="33"/>
      <c r="N57" s="33"/>
    </row>
    <row r="58" spans="1:14" ht="15.75" customHeight="1" x14ac:dyDescent="0.35">
      <c r="A58" s="127" t="s">
        <v>119</v>
      </c>
      <c r="B58" s="127"/>
      <c r="C58" s="127"/>
      <c r="D58" s="196" t="str">
        <f>(IF(G49="NA","60 Years After Completion",IF(G49&lt;&gt;"NA",""&amp;60-ROUNDDOWN((E3-G49)/360,0)&amp;" Years"," ")))</f>
        <v>60 Years After Completion</v>
      </c>
      <c r="E58" s="196"/>
      <c r="F58" s="196"/>
      <c r="G58" s="196"/>
      <c r="H58" s="196"/>
      <c r="N58" s="33"/>
    </row>
    <row r="59" spans="1:14" ht="15.75" customHeight="1" x14ac:dyDescent="0.35">
      <c r="A59" s="127" t="s">
        <v>120</v>
      </c>
      <c r="B59" s="127"/>
      <c r="C59" s="127"/>
      <c r="D59" s="136" t="s">
        <v>23</v>
      </c>
      <c r="E59" s="136"/>
      <c r="F59" s="136"/>
      <c r="G59" s="136"/>
      <c r="H59" s="136"/>
      <c r="J59" s="36"/>
      <c r="K59" s="36"/>
    </row>
    <row r="60" spans="1:14" ht="15.75" customHeight="1" thickBot="1" x14ac:dyDescent="0.4">
      <c r="A60" s="166" t="s">
        <v>118</v>
      </c>
      <c r="B60" s="166"/>
      <c r="C60" s="166"/>
      <c r="D60" s="139" t="str">
        <f ca="1">(IF(G65&gt;95%,"Nothing",IF(G65&gt;0%,"Cement, Aggregate, Steel, etc",IF(G65=0%,"Work not yet Started"))))</f>
        <v>Cement, Aggregate, Steel, etc</v>
      </c>
      <c r="E60" s="139"/>
      <c r="F60" s="139"/>
      <c r="G60" s="139"/>
      <c r="H60" s="139"/>
      <c r="J60" s="36"/>
    </row>
    <row r="61" spans="1:14" ht="15.75" customHeight="1" x14ac:dyDescent="0.35">
      <c r="A61" s="170" t="s">
        <v>179</v>
      </c>
      <c r="B61" s="171"/>
      <c r="C61" s="172" t="str">
        <f>D54</f>
        <v>Building No.3 = LG 1 to LG 3 + G/St + 1st to 29th Floor</v>
      </c>
      <c r="D61" s="173"/>
      <c r="E61" s="173"/>
      <c r="F61" s="173"/>
      <c r="G61" s="173"/>
      <c r="H61" s="174"/>
      <c r="I61" s="22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Plaster, External Plaster, Flooring upto 23 Floor, Painting upto 22 Floor, Finishing upto 5 Floor Completed</v>
      </c>
      <c r="J61" s="37"/>
    </row>
    <row r="62" spans="1:14" x14ac:dyDescent="0.35">
      <c r="A62" s="69" t="s">
        <v>181</v>
      </c>
      <c r="B62" s="70">
        <v>0</v>
      </c>
      <c r="C62" s="70" t="s">
        <v>101</v>
      </c>
      <c r="D62" s="70">
        <v>1</v>
      </c>
      <c r="E62" s="70" t="s">
        <v>100</v>
      </c>
      <c r="F62" s="70">
        <v>3</v>
      </c>
      <c r="G62" s="70" t="s">
        <v>112</v>
      </c>
      <c r="H62" s="28">
        <f ca="1">--TRIM(RIGHT(SUBSTITUTE(LEFT(C61,_xlfn.AGGREGATE(16,6,FIND({0,1,2,3,4,5,6,7,8,9},C61,ROW(INDIRECT("1:"&amp;LEN(C61)))),1))," ",REPT(" ",LEN(C61))),LEN(C61)))</f>
        <v>29</v>
      </c>
      <c r="I62" s="23"/>
      <c r="J62" s="38"/>
    </row>
    <row r="63" spans="1:14" ht="48.75" customHeight="1" x14ac:dyDescent="0.35">
      <c r="A63" s="168" t="s">
        <v>122</v>
      </c>
      <c r="B63" s="169"/>
      <c r="C63" s="175" t="str">
        <f ca="1">I61</f>
        <v>Excavation work Completed. Plinth work completed, RCC Slab, Brickwork, Internal Plaster, External Plaster, Flooring upto 23 Floor, Painting upto 22 Floor, Finishing upto 5 Floor Completed</v>
      </c>
      <c r="D63" s="175"/>
      <c r="E63" s="175"/>
      <c r="F63" s="175"/>
      <c r="G63" s="175"/>
      <c r="H63" s="176"/>
      <c r="I63" s="23" t="s">
        <v>140</v>
      </c>
      <c r="J63" s="38"/>
    </row>
    <row r="64" spans="1:14" ht="15.75" customHeight="1" x14ac:dyDescent="0.35">
      <c r="A64" s="145" t="s">
        <v>53</v>
      </c>
      <c r="B64" s="144"/>
      <c r="C64" s="64" t="s">
        <v>178</v>
      </c>
      <c r="D64" s="64" t="s">
        <v>115</v>
      </c>
      <c r="E64" s="144" t="s">
        <v>117</v>
      </c>
      <c r="F64" s="144"/>
      <c r="G64" s="144" t="s">
        <v>116</v>
      </c>
      <c r="H64" s="167"/>
      <c r="I64" s="21" t="s">
        <v>180</v>
      </c>
      <c r="J64" s="39">
        <f ca="1">H62*25%</f>
        <v>7.25</v>
      </c>
    </row>
    <row r="65" spans="1:10" x14ac:dyDescent="0.35">
      <c r="A65" s="144" t="s">
        <v>167</v>
      </c>
      <c r="B65" s="144"/>
      <c r="C65" s="40">
        <f ca="1">J66</f>
        <v>29</v>
      </c>
      <c r="D65" s="79">
        <f ca="1">((100/H62)*C65)/100</f>
        <v>1</v>
      </c>
      <c r="E65" s="195">
        <f ca="1">(((C66/H62*10)+(40/(D62+F62+H62)*C67)+(7.5/(H62)*C68)+(7.5/(H62)*C69)+(10/H62*C70)+(10/H62*C71)+(5/H62*C72)+(5/H62*C73)+(5/H62*C74))/100)</f>
        <v>0.8758620689655171</v>
      </c>
      <c r="F65" s="195"/>
      <c r="G65" s="195">
        <f ca="1">((((C65/H62)*20)+((C66/H62)*25)+(30/(H62+F62+D62)*C67)+(5/H62*C68)+(5/H62*C69)+(5/H62*C70)+(5/H62*C71)+(0/H62*C72)+(0/H62*C73)+(5/H62*C74))/100)</f>
        <v>0.93965517241379315</v>
      </c>
      <c r="H65" s="195"/>
      <c r="I65" s="21" t="s">
        <v>135</v>
      </c>
      <c r="J65" s="41">
        <f ca="1">H62*50%</f>
        <v>14.5</v>
      </c>
    </row>
    <row r="66" spans="1:10" x14ac:dyDescent="0.35">
      <c r="A66" s="144" t="s">
        <v>54</v>
      </c>
      <c r="B66" s="144"/>
      <c r="C66" s="42">
        <f ca="1">J74</f>
        <v>29</v>
      </c>
      <c r="D66" s="79">
        <f ca="1">((100/H62)*C66)/100</f>
        <v>1</v>
      </c>
      <c r="E66" s="195"/>
      <c r="F66" s="195"/>
      <c r="G66" s="195"/>
      <c r="H66" s="195"/>
      <c r="I66" s="21" t="s">
        <v>136</v>
      </c>
      <c r="J66" s="41">
        <f ca="1">H62</f>
        <v>29</v>
      </c>
    </row>
    <row r="67" spans="1:10" ht="15.75" customHeight="1" x14ac:dyDescent="0.35">
      <c r="A67" s="146" t="s">
        <v>168</v>
      </c>
      <c r="B67" s="146"/>
      <c r="C67" s="42">
        <v>33</v>
      </c>
      <c r="D67" s="79">
        <f ca="1">((100/(D62+F62+H62))*C67)/100</f>
        <v>1</v>
      </c>
      <c r="E67" s="195"/>
      <c r="F67" s="195"/>
      <c r="G67" s="195"/>
      <c r="H67" s="195"/>
      <c r="I67" s="21" t="s">
        <v>137</v>
      </c>
      <c r="J67" s="43">
        <f ca="1">(IF(B62&gt;1,(H62/(B62+2)),H62/4))</f>
        <v>7.25</v>
      </c>
    </row>
    <row r="68" spans="1:10" ht="15.75" customHeight="1" x14ac:dyDescent="0.35">
      <c r="A68" s="144" t="s">
        <v>175</v>
      </c>
      <c r="B68" s="144" t="s">
        <v>169</v>
      </c>
      <c r="C68" s="42">
        <f>C67-D62-F62</f>
        <v>29</v>
      </c>
      <c r="D68" s="79">
        <f ca="1">((100/H62)*C68)/100</f>
        <v>1</v>
      </c>
      <c r="E68" s="195"/>
      <c r="F68" s="195"/>
      <c r="G68" s="195"/>
      <c r="H68" s="195"/>
      <c r="I68" s="21" t="s">
        <v>138</v>
      </c>
      <c r="J68" s="43">
        <f ca="1">(IF(B62&gt;1,(H62/(B62+2)+J67),H62/4+J67))</f>
        <v>14.5</v>
      </c>
    </row>
    <row r="69" spans="1:10" ht="15.75" customHeight="1" x14ac:dyDescent="0.35">
      <c r="A69" s="144" t="s">
        <v>176</v>
      </c>
      <c r="B69" s="144" t="s">
        <v>169</v>
      </c>
      <c r="C69" s="42">
        <v>29</v>
      </c>
      <c r="D69" s="79">
        <f ca="1">((100/H62)*C69)/100</f>
        <v>1</v>
      </c>
      <c r="E69" s="195"/>
      <c r="F69" s="195"/>
      <c r="G69" s="195"/>
      <c r="H69" s="195"/>
      <c r="I69" s="21" t="s">
        <v>185</v>
      </c>
      <c r="J69" s="43">
        <f>(IF(B62&gt;1,(H62/(B62+2)+J68),0))</f>
        <v>0</v>
      </c>
    </row>
    <row r="70" spans="1:10" ht="15" customHeight="1" x14ac:dyDescent="0.35">
      <c r="A70" s="144" t="s">
        <v>174</v>
      </c>
      <c r="B70" s="144" t="s">
        <v>171</v>
      </c>
      <c r="C70" s="42">
        <v>29</v>
      </c>
      <c r="D70" s="79">
        <f ca="1">((100/(H62))*C70)/100</f>
        <v>1</v>
      </c>
      <c r="E70" s="195"/>
      <c r="F70" s="195"/>
      <c r="G70" s="195"/>
      <c r="H70" s="195"/>
      <c r="I70" s="21" t="s">
        <v>182</v>
      </c>
      <c r="J70" s="43">
        <f>(IF(B62&gt;2,(H62/(B62+2)+J69),0))</f>
        <v>0</v>
      </c>
    </row>
    <row r="71" spans="1:10" ht="15.75" customHeight="1" x14ac:dyDescent="0.35">
      <c r="A71" s="144" t="s">
        <v>170</v>
      </c>
      <c r="B71" s="144" t="s">
        <v>170</v>
      </c>
      <c r="C71" s="40">
        <v>23</v>
      </c>
      <c r="D71" s="79">
        <f ca="1">((100/H62)*C71)/100</f>
        <v>0.7931034482758621</v>
      </c>
      <c r="E71" s="195"/>
      <c r="F71" s="195"/>
      <c r="G71" s="195"/>
      <c r="H71" s="195"/>
      <c r="I71" s="21" t="s">
        <v>183</v>
      </c>
      <c r="J71" s="44">
        <f>(IF(B62&gt;3,(H62/(B62+2)+J70),0))</f>
        <v>0</v>
      </c>
    </row>
    <row r="72" spans="1:10" ht="15.75" customHeight="1" x14ac:dyDescent="0.35">
      <c r="A72" s="144" t="s">
        <v>177</v>
      </c>
      <c r="B72" s="144"/>
      <c r="C72" s="40">
        <v>22</v>
      </c>
      <c r="D72" s="79">
        <f ca="1">((100/H62)*C72)/100</f>
        <v>0.75862068965517238</v>
      </c>
      <c r="E72" s="195"/>
      <c r="F72" s="195"/>
      <c r="G72" s="195"/>
      <c r="H72" s="195"/>
      <c r="I72" s="21" t="s">
        <v>184</v>
      </c>
      <c r="J72" s="43">
        <f>(IF(B62&gt;4,(H62/(B62+2)+J71),0))</f>
        <v>0</v>
      </c>
    </row>
    <row r="73" spans="1:10" ht="15.75" customHeight="1" x14ac:dyDescent="0.35">
      <c r="A73" s="144" t="s">
        <v>172</v>
      </c>
      <c r="B73" s="144" t="s">
        <v>172</v>
      </c>
      <c r="C73" s="40">
        <v>5</v>
      </c>
      <c r="D73" s="79">
        <f ca="1">((100/(H62))*C73)/100</f>
        <v>0.17241379310344826</v>
      </c>
      <c r="E73" s="195"/>
      <c r="F73" s="195"/>
      <c r="G73" s="195"/>
      <c r="H73" s="195"/>
      <c r="I73" s="21" t="s">
        <v>186</v>
      </c>
      <c r="J73" s="43">
        <f ca="1">(IF(B62=1,(H62/(B62+3)+J68),IF(B62=0,(H62/4+J68),IF(B62&gt;1,0))))</f>
        <v>21.75</v>
      </c>
    </row>
    <row r="74" spans="1:10" ht="16" thickBot="1" x14ac:dyDescent="0.4">
      <c r="A74" s="144" t="s">
        <v>173</v>
      </c>
      <c r="B74" s="144"/>
      <c r="C74" s="40">
        <v>0</v>
      </c>
      <c r="D74" s="79">
        <f ca="1">((100/(H62))*C74)/100</f>
        <v>0</v>
      </c>
      <c r="E74" s="195"/>
      <c r="F74" s="195"/>
      <c r="G74" s="195"/>
      <c r="H74" s="195"/>
      <c r="I74" s="24" t="s">
        <v>139</v>
      </c>
      <c r="J74" s="45">
        <f ca="1">(IF(B62&gt;1.5,(H62/(B62+2)+J68+MAX(0,J69-J68)+MAX(0,J70-J69)+MAX(0,J71-J70)+MAX(0,J72-J71)+MAX(0,J73-J72)),IF(B62=1,(H62/(B62+3)+J73),IF(B62=0,H62/4+J73))))</f>
        <v>29</v>
      </c>
    </row>
    <row r="75" spans="1:10" ht="15.75" customHeight="1" x14ac:dyDescent="0.35">
      <c r="A75" s="102" t="s">
        <v>179</v>
      </c>
      <c r="B75" s="102"/>
      <c r="C75" s="102" t="str">
        <f>D56</f>
        <v>Building No.4 = LG 1 to LG 3 + G/St + 1st to 29th Floor</v>
      </c>
      <c r="D75" s="102"/>
      <c r="E75" s="102"/>
      <c r="F75" s="102"/>
      <c r="G75" s="102"/>
      <c r="H75" s="102"/>
      <c r="I75" s="22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Excavation work Completed. Plinth work completed, RCC Slab, Brickwork, Internal Plaster upto 27 Floor, External Plaster upto 20 Floor, Flooring upto 8 Floor, Painting upto 6 Floor Completed</v>
      </c>
      <c r="J75" s="37"/>
    </row>
    <row r="76" spans="1:10" x14ac:dyDescent="0.35">
      <c r="A76" s="78" t="s">
        <v>181</v>
      </c>
      <c r="B76" s="78">
        <v>0</v>
      </c>
      <c r="C76" s="78" t="s">
        <v>101</v>
      </c>
      <c r="D76" s="78">
        <v>1</v>
      </c>
      <c r="E76" s="78" t="s">
        <v>100</v>
      </c>
      <c r="F76" s="78">
        <v>3</v>
      </c>
      <c r="G76" s="78" t="s">
        <v>112</v>
      </c>
      <c r="H76" s="78">
        <f ca="1">--TRIM(RIGHT(SUBSTITUTE(LEFT(C75,_xlfn.AGGREGATE(16,6,FIND({0,1,2,3,4,5,6,7,8,9},C75,ROW(INDIRECT("1:"&amp;LEN(C75)))),1))," ",REPT(" ",LEN(C75))),LEN(C75)))</f>
        <v>29</v>
      </c>
      <c r="I76" s="23"/>
      <c r="J76" s="38"/>
    </row>
    <row r="77" spans="1:10" ht="48.5" customHeight="1" x14ac:dyDescent="0.35">
      <c r="A77" s="103" t="s">
        <v>122</v>
      </c>
      <c r="B77" s="103"/>
      <c r="C77" s="102" t="str">
        <f ca="1">I75</f>
        <v>Excavation work Completed. Plinth work completed, RCC Slab, Brickwork, Internal Plaster upto 27 Floor, External Plaster upto 20 Floor, Flooring upto 8 Floor, Painting upto 6 Floor Completed</v>
      </c>
      <c r="D77" s="102"/>
      <c r="E77" s="102"/>
      <c r="F77" s="102"/>
      <c r="G77" s="102"/>
      <c r="H77" s="102"/>
      <c r="I77" s="23" t="s">
        <v>140</v>
      </c>
      <c r="J77" s="38"/>
    </row>
    <row r="78" spans="1:10" ht="15.75" customHeight="1" x14ac:dyDescent="0.35">
      <c r="A78" s="104" t="s">
        <v>53</v>
      </c>
      <c r="B78" s="105"/>
      <c r="C78" s="73" t="s">
        <v>178</v>
      </c>
      <c r="D78" s="73" t="s">
        <v>115</v>
      </c>
      <c r="E78" s="105" t="s">
        <v>117</v>
      </c>
      <c r="F78" s="105"/>
      <c r="G78" s="105" t="s">
        <v>116</v>
      </c>
      <c r="H78" s="106"/>
      <c r="I78" s="21" t="s">
        <v>180</v>
      </c>
      <c r="J78" s="39">
        <f ca="1">H76*25%</f>
        <v>7.25</v>
      </c>
    </row>
    <row r="79" spans="1:10" x14ac:dyDescent="0.35">
      <c r="A79" s="104" t="s">
        <v>167</v>
      </c>
      <c r="B79" s="105"/>
      <c r="C79" s="46">
        <f ca="1">J80</f>
        <v>29</v>
      </c>
      <c r="D79" s="74">
        <f ca="1">((100/H76)*C79)/100</f>
        <v>1</v>
      </c>
      <c r="E79" s="107">
        <f ca="1">(((C80/H76*10)+(40/(D76+F76+H76)*C81)+(7.5/(H76)*C82)+(7.5/(H76)*C83)+(10/H76*C84)+(10/H76*C85)+(5/H76*C86)+(5/H76*C87)+(5/H76*C88))/100)</f>
        <v>0.75172413793103443</v>
      </c>
      <c r="F79" s="107"/>
      <c r="G79" s="107">
        <f ca="1">((((C79/H76)*20)+((C80/H76)*25)+(30/(H76+F76+D76)*C81)+(5/H76*C82)+(5/H76*C83)+(5/H76*C84)+(5/H76*C85)+(0/H76*C86)+(0/H76*C87)+(5/H76*C88))/100)</f>
        <v>0.89482758620689662</v>
      </c>
      <c r="H79" s="109"/>
      <c r="I79" s="21" t="s">
        <v>135</v>
      </c>
      <c r="J79" s="41">
        <f ca="1">H76*50%</f>
        <v>14.5</v>
      </c>
    </row>
    <row r="80" spans="1:10" x14ac:dyDescent="0.35">
      <c r="A80" s="104" t="s">
        <v>54</v>
      </c>
      <c r="B80" s="105"/>
      <c r="C80" s="47">
        <f ca="1">J88</f>
        <v>29</v>
      </c>
      <c r="D80" s="74">
        <f ca="1">((100/H76)*C80)/100</f>
        <v>1</v>
      </c>
      <c r="E80" s="107"/>
      <c r="F80" s="107"/>
      <c r="G80" s="107"/>
      <c r="H80" s="109"/>
      <c r="I80" s="21" t="s">
        <v>136</v>
      </c>
      <c r="J80" s="41">
        <f ca="1">H76</f>
        <v>29</v>
      </c>
    </row>
    <row r="81" spans="1:17" ht="15.75" customHeight="1" x14ac:dyDescent="0.35">
      <c r="A81" s="111" t="s">
        <v>168</v>
      </c>
      <c r="B81" s="112"/>
      <c r="C81" s="47">
        <f>D76+F76+29</f>
        <v>33</v>
      </c>
      <c r="D81" s="74">
        <f ca="1">((100/(D76+F76+H76))*C81)/100</f>
        <v>1</v>
      </c>
      <c r="E81" s="107"/>
      <c r="F81" s="107"/>
      <c r="G81" s="107"/>
      <c r="H81" s="109"/>
      <c r="I81" s="21" t="s">
        <v>137</v>
      </c>
      <c r="J81" s="43">
        <f ca="1">(IF(B76&gt;1,(H76/(B76+2)),H76/4))</f>
        <v>7.25</v>
      </c>
    </row>
    <row r="82" spans="1:17" ht="15.75" customHeight="1" x14ac:dyDescent="0.35">
      <c r="A82" s="104" t="s">
        <v>175</v>
      </c>
      <c r="B82" s="105" t="s">
        <v>169</v>
      </c>
      <c r="C82" s="47">
        <v>29</v>
      </c>
      <c r="D82" s="74">
        <f ca="1">((100/H76)*C82)/100</f>
        <v>1</v>
      </c>
      <c r="E82" s="107"/>
      <c r="F82" s="107"/>
      <c r="G82" s="107"/>
      <c r="H82" s="109"/>
      <c r="I82" s="21" t="s">
        <v>138</v>
      </c>
      <c r="J82" s="43">
        <f ca="1">(IF(B76&gt;1,(H76/(B76+2)+J81),H76/4+J81))</f>
        <v>14.5</v>
      </c>
    </row>
    <row r="83" spans="1:17" ht="15.75" customHeight="1" x14ac:dyDescent="0.35">
      <c r="A83" s="104" t="s">
        <v>176</v>
      </c>
      <c r="B83" s="105" t="s">
        <v>169</v>
      </c>
      <c r="C83" s="47">
        <v>27</v>
      </c>
      <c r="D83" s="74">
        <f ca="1">((100/H76)*C83)/100</f>
        <v>0.93103448275862066</v>
      </c>
      <c r="E83" s="107"/>
      <c r="F83" s="107"/>
      <c r="G83" s="107"/>
      <c r="H83" s="109"/>
      <c r="I83" s="21" t="s">
        <v>185</v>
      </c>
      <c r="J83" s="43">
        <f>(IF(B76&gt;1,(H76/(B76+2)+J82),0))</f>
        <v>0</v>
      </c>
    </row>
    <row r="84" spans="1:17" ht="15" customHeight="1" x14ac:dyDescent="0.35">
      <c r="A84" s="104" t="s">
        <v>174</v>
      </c>
      <c r="B84" s="105" t="s">
        <v>171</v>
      </c>
      <c r="C84" s="47">
        <v>20</v>
      </c>
      <c r="D84" s="74">
        <f ca="1">((100/(H76))*C84)/100</f>
        <v>0.68965517241379304</v>
      </c>
      <c r="E84" s="107"/>
      <c r="F84" s="107"/>
      <c r="G84" s="107"/>
      <c r="H84" s="109"/>
      <c r="I84" s="21" t="s">
        <v>182</v>
      </c>
      <c r="J84" s="43">
        <f>(IF(B76&gt;2,(H76/(B76+2)+J83),0))</f>
        <v>0</v>
      </c>
    </row>
    <row r="85" spans="1:17" ht="15.75" customHeight="1" x14ac:dyDescent="0.35">
      <c r="A85" s="104" t="s">
        <v>170</v>
      </c>
      <c r="B85" s="105" t="s">
        <v>170</v>
      </c>
      <c r="C85" s="46">
        <v>8</v>
      </c>
      <c r="D85" s="74">
        <f ca="1">((100/H76)*C85)/100</f>
        <v>0.27586206896551724</v>
      </c>
      <c r="E85" s="107"/>
      <c r="F85" s="107"/>
      <c r="G85" s="107"/>
      <c r="H85" s="109"/>
      <c r="I85" s="21" t="s">
        <v>183</v>
      </c>
      <c r="J85" s="44">
        <f>(IF(B76&gt;3,(H76/(B76+2)+J84),0))</f>
        <v>0</v>
      </c>
    </row>
    <row r="86" spans="1:17" ht="15.75" customHeight="1" x14ac:dyDescent="0.35">
      <c r="A86" s="104" t="s">
        <v>177</v>
      </c>
      <c r="B86" s="105"/>
      <c r="C86" s="46">
        <v>6</v>
      </c>
      <c r="D86" s="74">
        <f ca="1">((100/H76)*C86)/100</f>
        <v>0.20689655172413793</v>
      </c>
      <c r="E86" s="107"/>
      <c r="F86" s="107"/>
      <c r="G86" s="107"/>
      <c r="H86" s="109"/>
      <c r="I86" s="21" t="s">
        <v>184</v>
      </c>
      <c r="J86" s="43">
        <f>(IF(B76&gt;4,(H76/(B76+2)+J85),0))</f>
        <v>0</v>
      </c>
    </row>
    <row r="87" spans="1:17" ht="15.75" customHeight="1" x14ac:dyDescent="0.35">
      <c r="A87" s="104" t="s">
        <v>172</v>
      </c>
      <c r="B87" s="105" t="s">
        <v>172</v>
      </c>
      <c r="C87" s="46">
        <v>0</v>
      </c>
      <c r="D87" s="74">
        <f ca="1">((100/(H76))*C87)/100</f>
        <v>0</v>
      </c>
      <c r="E87" s="107"/>
      <c r="F87" s="107"/>
      <c r="G87" s="107"/>
      <c r="H87" s="109"/>
      <c r="I87" s="21" t="s">
        <v>186</v>
      </c>
      <c r="J87" s="43">
        <f ca="1">(IF(B76=1,(H76/(B76+3)+J82),IF(B76=0,(H76/4+J82),IF(B76&gt;1,0))))</f>
        <v>21.75</v>
      </c>
    </row>
    <row r="88" spans="1:17" ht="16" thickBot="1" x14ac:dyDescent="0.4">
      <c r="A88" s="113" t="s">
        <v>173</v>
      </c>
      <c r="B88" s="114"/>
      <c r="C88" s="48">
        <v>0</v>
      </c>
      <c r="D88" s="75">
        <f ca="1">((100/(H76))*C88)/100</f>
        <v>0</v>
      </c>
      <c r="E88" s="108"/>
      <c r="F88" s="108"/>
      <c r="G88" s="108"/>
      <c r="H88" s="110"/>
      <c r="I88" s="24" t="s">
        <v>139</v>
      </c>
      <c r="J88" s="45">
        <f ca="1">(IF(B76&gt;1.5,(H76/(B76+2)+J82+MAX(0,J83-J82)+MAX(0,J84-J83)+MAX(0,J85-J84)+MAX(0,J86-J85)+MAX(0,J87-J86)),IF(B76=1,(H76/(B76+3)+J87),IF(B76=0,H76/4+J87))))</f>
        <v>29</v>
      </c>
    </row>
    <row r="89" spans="1:17" ht="15.75" customHeight="1" x14ac:dyDescent="0.35">
      <c r="A89" s="188" t="s">
        <v>179</v>
      </c>
      <c r="B89" s="189"/>
      <c r="C89" s="190" t="str">
        <f>D55</f>
        <v>Building No.5 = LG 1 to LG 3 + G/St + 1st to 29th Floor</v>
      </c>
      <c r="D89" s="191"/>
      <c r="E89" s="191"/>
      <c r="F89" s="191"/>
      <c r="G89" s="191"/>
      <c r="H89" s="192"/>
      <c r="I89" s="22" t="str">
        <f ca="1">(IF(E93&gt;99%,"All work completed. Please provide OC.",IF(E93&gt;89.8%,"Plinth, RCC, Brick, Plaster, Flooring, Painting work Completed. Finishing work is in process.",IF(E93&lt;94%,(IF(C93=0,"Work not yet Started.",IF(D93=25%,"Piling work in process",IF(D93=50%,"Excavation work in process",IF(D93=100%,"Excavation work Completed. ","0")))&amp;(IF(C94=0%,"",IF(C94=J95,"Footing work is process",IF(C94=J96,"Footing work Completed",IF(C94=J97,"1st Basement Completed",IF(C94=J98,"1st &amp; 2nd Basement Completed",IF(C94=J99,"1st to 3rd Basement Completed",IF(C94=J100,"1st to 4th Basement Completed",IF(C94=J101,"Plinth work is process",IF(C94=J102,"Plinth work completed","0")))))))))))&amp;(IF(C95=(D90+F90+H90),", RCC Slab",IF(C95&gt;0,", RCC upto "&amp;C95&amp;" Slab",""))&amp;(IF(C96=H90,", Brickwork",IF(C96&gt;0,", Brickwork upto "&amp;C96&amp;" Floor",""))&amp;(IF(C97=H90,", Internal Plaster",IF(C97&gt;0,", Internal Plaster upto "&amp;C97&amp;" Floor",""))&amp;(IF(C98=H90,", External Plaster",IF(C98&gt;0,", External Plaster upto "&amp;C98&amp;" Floor",""))&amp;(IF(C99=H90,", Flooring",IF(C99&gt;0,", Flooring upto "&amp;C99&amp;" Floor",""))&amp;(IF(C100=H90,", Painting",IF(C100&gt;0,", Painting upto "&amp;C100&amp;" Floor",""))&amp;(IF(C101&gt;0,", Finishing upto "&amp;C101&amp;" Floor","")&amp;(IF(C95&gt;0.5," Completed",""))))))))))))))</f>
        <v>Excavation work Completed. Plinth work completed, RCC Slab, Brickwork, Internal Plaster, External Plaster upto 28 Floor, Flooring upto 17 Floor, Painting upto 8 Floor Completed</v>
      </c>
      <c r="J89" s="37"/>
    </row>
    <row r="90" spans="1:17" x14ac:dyDescent="0.35">
      <c r="A90" s="61" t="s">
        <v>181</v>
      </c>
      <c r="B90" s="62">
        <v>0</v>
      </c>
      <c r="C90" s="62" t="s">
        <v>101</v>
      </c>
      <c r="D90" s="62">
        <v>1</v>
      </c>
      <c r="E90" s="62" t="s">
        <v>100</v>
      </c>
      <c r="F90" s="62">
        <v>3</v>
      </c>
      <c r="G90" s="62" t="s">
        <v>112</v>
      </c>
      <c r="H90" s="25">
        <f ca="1">--TRIM(RIGHT(SUBSTITUTE(LEFT(C89,_xlfn.AGGREGATE(16,6,FIND({0,1,2,3,4,5,6,7,8,9},C89,ROW(INDIRECT("1:"&amp;LEN(C89)))),1))," ",REPT(" ",LEN(C89))),LEN(C89)))</f>
        <v>29</v>
      </c>
      <c r="I90" s="23"/>
      <c r="J90" s="38"/>
    </row>
    <row r="91" spans="1:17" ht="48.5" customHeight="1" x14ac:dyDescent="0.35">
      <c r="A91" s="193" t="s">
        <v>122</v>
      </c>
      <c r="B91" s="103"/>
      <c r="C91" s="102" t="str">
        <f ca="1">I89</f>
        <v>Excavation work Completed. Plinth work completed, RCC Slab, Brickwork, Internal Plaster, External Plaster upto 28 Floor, Flooring upto 17 Floor, Painting upto 8 Floor Completed</v>
      </c>
      <c r="D91" s="102"/>
      <c r="E91" s="102"/>
      <c r="F91" s="102"/>
      <c r="G91" s="102"/>
      <c r="H91" s="194"/>
      <c r="I91" s="23" t="s">
        <v>140</v>
      </c>
      <c r="J91" s="38"/>
    </row>
    <row r="92" spans="1:17" ht="15.75" customHeight="1" x14ac:dyDescent="0.35">
      <c r="A92" s="104" t="s">
        <v>53</v>
      </c>
      <c r="B92" s="105"/>
      <c r="C92" s="58" t="s">
        <v>178</v>
      </c>
      <c r="D92" s="58" t="s">
        <v>115</v>
      </c>
      <c r="E92" s="105" t="s">
        <v>117</v>
      </c>
      <c r="F92" s="105"/>
      <c r="G92" s="105" t="s">
        <v>116</v>
      </c>
      <c r="H92" s="106"/>
      <c r="I92" s="21" t="s">
        <v>180</v>
      </c>
      <c r="J92" s="39">
        <f ca="1">H90*25%</f>
        <v>7.25</v>
      </c>
    </row>
    <row r="93" spans="1:17" x14ac:dyDescent="0.35">
      <c r="A93" s="104" t="s">
        <v>167</v>
      </c>
      <c r="B93" s="105"/>
      <c r="C93" s="46">
        <f ca="1">J94</f>
        <v>29</v>
      </c>
      <c r="D93" s="59">
        <f ca="1">((100/H90)*C93)/100</f>
        <v>1</v>
      </c>
      <c r="E93" s="107">
        <f ca="1">(((C94/H90*10)+(40/(D90+F90+H90)*C95)+(7.5/(H90)*C96)+(7.5/(H90)*C97)+(10/H90*C98)+(10/H90*C99)+(5/H90*C100)+(5/H90*C101)+(5/H90*C102))/100)</f>
        <v>0.81896551724137934</v>
      </c>
      <c r="F93" s="107"/>
      <c r="G93" s="107">
        <f ca="1">((((C93/H90)*20)+((C94/H90)*25)+(30/(H90+F90+D90)*C95)+(5/H90*C96)+(5/H90*C97)+(5/H90*C98)+(5/H90*C99)+(0/H90*C100)+(0/H90*C101)+(5/H90*C102))/100)</f>
        <v>0.92758620689655169</v>
      </c>
      <c r="H93" s="109"/>
      <c r="I93" s="21" t="s">
        <v>135</v>
      </c>
      <c r="J93" s="41">
        <f ca="1">H90*50%</f>
        <v>14.5</v>
      </c>
    </row>
    <row r="94" spans="1:17" x14ac:dyDescent="0.35">
      <c r="A94" s="104" t="s">
        <v>54</v>
      </c>
      <c r="B94" s="105"/>
      <c r="C94" s="47">
        <f ca="1">J102</f>
        <v>29</v>
      </c>
      <c r="D94" s="59">
        <f ca="1">((100/H90)*C94)/100</f>
        <v>1</v>
      </c>
      <c r="E94" s="107"/>
      <c r="F94" s="107"/>
      <c r="G94" s="107"/>
      <c r="H94" s="109"/>
      <c r="I94" s="21" t="s">
        <v>136</v>
      </c>
      <c r="J94" s="41">
        <f ca="1">H90</f>
        <v>29</v>
      </c>
    </row>
    <row r="95" spans="1:17" ht="15.75" customHeight="1" x14ac:dyDescent="0.35">
      <c r="A95" s="111" t="s">
        <v>168</v>
      </c>
      <c r="B95" s="112"/>
      <c r="C95" s="47">
        <f>D90+F90+29</f>
        <v>33</v>
      </c>
      <c r="D95" s="59">
        <f ca="1">((100/(D90+F90+H90))*C95)/100</f>
        <v>1</v>
      </c>
      <c r="E95" s="107"/>
      <c r="F95" s="107"/>
      <c r="G95" s="107"/>
      <c r="H95" s="109"/>
      <c r="I95" s="21" t="s">
        <v>137</v>
      </c>
      <c r="J95" s="43">
        <f ca="1">(IF(B90&gt;1,(H90/(B90+2)),H90/4))</f>
        <v>7.25</v>
      </c>
      <c r="K95" s="77"/>
      <c r="L95" s="77" t="s">
        <v>247</v>
      </c>
      <c r="M95" s="77"/>
      <c r="N95" s="77"/>
      <c r="O95" s="77"/>
      <c r="P95" s="77"/>
      <c r="Q95" s="77"/>
    </row>
    <row r="96" spans="1:17" ht="15.75" customHeight="1" x14ac:dyDescent="0.35">
      <c r="A96" s="104" t="s">
        <v>175</v>
      </c>
      <c r="B96" s="105" t="s">
        <v>169</v>
      </c>
      <c r="C96" s="47">
        <f>C95-D90-F90</f>
        <v>29</v>
      </c>
      <c r="D96" s="59">
        <f ca="1">((100/H90)*C96)/100</f>
        <v>1</v>
      </c>
      <c r="E96" s="107"/>
      <c r="F96" s="107"/>
      <c r="G96" s="107"/>
      <c r="H96" s="109"/>
      <c r="I96" s="21" t="s">
        <v>138</v>
      </c>
      <c r="J96" s="43">
        <f ca="1">(IF(B90&gt;1,(H90/(B90+2)+J95),H90/4+J95))</f>
        <v>14.5</v>
      </c>
    </row>
    <row r="97" spans="1:10" ht="15.75" customHeight="1" x14ac:dyDescent="0.35">
      <c r="A97" s="104" t="s">
        <v>176</v>
      </c>
      <c r="B97" s="105" t="s">
        <v>169</v>
      </c>
      <c r="C97" s="47">
        <v>29</v>
      </c>
      <c r="D97" s="59">
        <f ca="1">((100/H90)*C97)/100</f>
        <v>1</v>
      </c>
      <c r="E97" s="107"/>
      <c r="F97" s="107"/>
      <c r="G97" s="107"/>
      <c r="H97" s="109"/>
      <c r="I97" s="21" t="s">
        <v>185</v>
      </c>
      <c r="J97" s="43">
        <f>(IF(B90&gt;1,(H90/(B90+2)+J96),0))</f>
        <v>0</v>
      </c>
    </row>
    <row r="98" spans="1:10" ht="15" customHeight="1" x14ac:dyDescent="0.35">
      <c r="A98" s="104" t="s">
        <v>174</v>
      </c>
      <c r="B98" s="105" t="s">
        <v>171</v>
      </c>
      <c r="C98" s="47">
        <v>28</v>
      </c>
      <c r="D98" s="59">
        <f ca="1">((100/(H90))*C98)/100</f>
        <v>0.96551724137931028</v>
      </c>
      <c r="E98" s="107"/>
      <c r="F98" s="107"/>
      <c r="G98" s="107"/>
      <c r="H98" s="109"/>
      <c r="I98" s="21" t="s">
        <v>182</v>
      </c>
      <c r="J98" s="43">
        <f>(IF(B90&gt;2,(H90/(B90+2)+J97),0))</f>
        <v>0</v>
      </c>
    </row>
    <row r="99" spans="1:10" ht="15.75" customHeight="1" x14ac:dyDescent="0.35">
      <c r="A99" s="104" t="s">
        <v>170</v>
      </c>
      <c r="B99" s="105" t="s">
        <v>170</v>
      </c>
      <c r="C99" s="46">
        <v>17</v>
      </c>
      <c r="D99" s="59">
        <f ca="1">((100/H90)*C99)/100</f>
        <v>0.58620689655172409</v>
      </c>
      <c r="E99" s="107"/>
      <c r="F99" s="107"/>
      <c r="G99" s="107"/>
      <c r="H99" s="109"/>
      <c r="I99" s="21" t="s">
        <v>183</v>
      </c>
      <c r="J99" s="44">
        <f>(IF(B90&gt;3,(H90/(B90+2)+J98),0))</f>
        <v>0</v>
      </c>
    </row>
    <row r="100" spans="1:10" ht="15.75" customHeight="1" x14ac:dyDescent="0.35">
      <c r="A100" s="104" t="s">
        <v>177</v>
      </c>
      <c r="B100" s="105"/>
      <c r="C100" s="46">
        <v>8</v>
      </c>
      <c r="D100" s="59">
        <f ca="1">((100/H90)*C100)/100</f>
        <v>0.27586206896551724</v>
      </c>
      <c r="E100" s="107"/>
      <c r="F100" s="107"/>
      <c r="G100" s="107"/>
      <c r="H100" s="109"/>
      <c r="I100" s="21" t="s">
        <v>184</v>
      </c>
      <c r="J100" s="43">
        <f>(IF(B90&gt;4,(H90/(B90+2)+J99),0))</f>
        <v>0</v>
      </c>
    </row>
    <row r="101" spans="1:10" ht="15.75" customHeight="1" x14ac:dyDescent="0.35">
      <c r="A101" s="104" t="s">
        <v>172</v>
      </c>
      <c r="B101" s="105" t="s">
        <v>172</v>
      </c>
      <c r="C101" s="46">
        <v>0</v>
      </c>
      <c r="D101" s="59">
        <f ca="1">((100/(H90))*C101)/100</f>
        <v>0</v>
      </c>
      <c r="E101" s="107"/>
      <c r="F101" s="107"/>
      <c r="G101" s="107"/>
      <c r="H101" s="109"/>
      <c r="I101" s="21" t="s">
        <v>186</v>
      </c>
      <c r="J101" s="43">
        <f ca="1">(IF(B90=1,(H90/(B90+3)+J96),IF(B90=0,(H90/4+J96),IF(B90&gt;1,0))))</f>
        <v>21.75</v>
      </c>
    </row>
    <row r="102" spans="1:10" ht="16" thickBot="1" x14ac:dyDescent="0.4">
      <c r="A102" s="113" t="s">
        <v>173</v>
      </c>
      <c r="B102" s="114"/>
      <c r="C102" s="48">
        <v>0</v>
      </c>
      <c r="D102" s="60">
        <f ca="1">((100/(H90))*C102)/100</f>
        <v>0</v>
      </c>
      <c r="E102" s="108"/>
      <c r="F102" s="108"/>
      <c r="G102" s="108"/>
      <c r="H102" s="110"/>
      <c r="I102" s="24" t="s">
        <v>139</v>
      </c>
      <c r="J102" s="45">
        <f ca="1">(IF(B90&gt;1.5,(H90/(B90+2)+J96+MAX(0,J97-J96)+MAX(0,J98-J97)+MAX(0,J99-J98)+MAX(0,J100-J99)+MAX(0,J101-J100)),IF(B90=1,(H90/(B90+3)+J101),IF(B90=0,H90/4+J101))))</f>
        <v>29</v>
      </c>
    </row>
    <row r="103" spans="1:10" x14ac:dyDescent="0.35">
      <c r="A103" s="158" t="s">
        <v>155</v>
      </c>
      <c r="B103" s="159"/>
      <c r="C103" s="159"/>
      <c r="D103" s="159"/>
      <c r="E103" s="160"/>
      <c r="F103" s="158" t="str">
        <f ca="1">(IF(D60="Nothing","Yes",IF(D60="Cement, Aggregate, Steel, etc","Under Construction",IF(D60="Work not yet Started","Work not yet Started"))))</f>
        <v>Under Construction</v>
      </c>
      <c r="G103" s="159"/>
      <c r="H103" s="160"/>
    </row>
    <row r="104" spans="1:10" x14ac:dyDescent="0.35">
      <c r="A104" s="127" t="s">
        <v>55</v>
      </c>
      <c r="B104" s="127"/>
      <c r="C104" s="127"/>
      <c r="D104" s="127"/>
      <c r="E104" s="127"/>
      <c r="F104" s="127"/>
      <c r="G104" s="127"/>
      <c r="H104" s="127"/>
    </row>
    <row r="105" spans="1:10" ht="15" customHeight="1" x14ac:dyDescent="0.35">
      <c r="A105" s="103" t="s">
        <v>104</v>
      </c>
      <c r="B105" s="103"/>
      <c r="C105" s="102" t="s">
        <v>105</v>
      </c>
      <c r="D105" s="102"/>
      <c r="E105" s="102"/>
      <c r="F105" s="102"/>
      <c r="G105" s="102"/>
      <c r="H105" s="102"/>
    </row>
    <row r="106" spans="1:10" x14ac:dyDescent="0.35">
      <c r="A106" s="134" t="s">
        <v>56</v>
      </c>
      <c r="B106" s="134"/>
      <c r="C106" s="134"/>
      <c r="D106" s="134"/>
      <c r="E106" s="134"/>
      <c r="F106" s="134"/>
      <c r="G106" s="134"/>
      <c r="H106" s="134"/>
    </row>
    <row r="107" spans="1:10" ht="33.75" customHeight="1" x14ac:dyDescent="0.35">
      <c r="A107" s="102" t="s">
        <v>219</v>
      </c>
      <c r="B107" s="103"/>
      <c r="C107" s="103"/>
      <c r="D107" s="103"/>
      <c r="E107" s="103"/>
      <c r="F107" s="103">
        <v>10700</v>
      </c>
      <c r="G107" s="103"/>
      <c r="H107" s="103"/>
      <c r="I107" s="29" t="s">
        <v>218</v>
      </c>
    </row>
    <row r="108" spans="1:10" x14ac:dyDescent="0.35">
      <c r="A108" s="119" t="s">
        <v>220</v>
      </c>
      <c r="B108" s="119"/>
      <c r="C108" s="119"/>
      <c r="D108" s="119"/>
      <c r="E108" s="119"/>
      <c r="F108" s="119">
        <v>18000</v>
      </c>
      <c r="G108" s="119"/>
      <c r="H108" s="119"/>
    </row>
    <row r="109" spans="1:10" hidden="1" x14ac:dyDescent="0.35">
      <c r="A109" s="119" t="s">
        <v>111</v>
      </c>
      <c r="B109" s="119"/>
      <c r="C109" s="119"/>
      <c r="D109" s="119"/>
      <c r="E109" s="119"/>
      <c r="F109" s="119"/>
      <c r="G109" s="119"/>
      <c r="H109" s="119"/>
    </row>
    <row r="110" spans="1:10" s="49" customFormat="1" hidden="1" x14ac:dyDescent="0.3">
      <c r="A110" s="119" t="s">
        <v>127</v>
      </c>
      <c r="B110" s="119"/>
      <c r="C110" s="119"/>
      <c r="D110" s="119"/>
      <c r="E110" s="119"/>
      <c r="F110" s="119" t="s">
        <v>29</v>
      </c>
      <c r="G110" s="119"/>
      <c r="H110" s="119"/>
    </row>
    <row r="111" spans="1:10" s="49" customFormat="1" hidden="1" x14ac:dyDescent="0.3">
      <c r="A111" s="119" t="s">
        <v>128</v>
      </c>
      <c r="B111" s="119"/>
      <c r="C111" s="119"/>
      <c r="D111" s="119"/>
      <c r="E111" s="119"/>
      <c r="F111" s="119" t="s">
        <v>29</v>
      </c>
      <c r="G111" s="119"/>
      <c r="H111" s="119"/>
    </row>
    <row r="112" spans="1:10" s="49" customFormat="1" hidden="1" x14ac:dyDescent="0.3">
      <c r="A112" s="119" t="s">
        <v>129</v>
      </c>
      <c r="B112" s="119"/>
      <c r="C112" s="119"/>
      <c r="D112" s="119"/>
      <c r="E112" s="119"/>
      <c r="F112" s="119" t="s">
        <v>29</v>
      </c>
      <c r="G112" s="119"/>
      <c r="H112" s="119"/>
    </row>
    <row r="113" spans="1:8" s="49" customFormat="1" hidden="1" x14ac:dyDescent="0.3">
      <c r="A113" s="119" t="s">
        <v>130</v>
      </c>
      <c r="B113" s="119"/>
      <c r="C113" s="119"/>
      <c r="D113" s="119"/>
      <c r="E113" s="119"/>
      <c r="F113" s="119" t="s">
        <v>29</v>
      </c>
      <c r="G113" s="119"/>
      <c r="H113" s="119"/>
    </row>
    <row r="114" spans="1:8" s="49" customFormat="1" hidden="1" x14ac:dyDescent="0.3">
      <c r="A114" s="119" t="s">
        <v>131</v>
      </c>
      <c r="B114" s="119"/>
      <c r="C114" s="119"/>
      <c r="D114" s="119"/>
      <c r="E114" s="119"/>
      <c r="F114" s="119" t="s">
        <v>29</v>
      </c>
      <c r="G114" s="119"/>
      <c r="H114" s="119"/>
    </row>
    <row r="115" spans="1:8" s="49" customFormat="1" hidden="1" x14ac:dyDescent="0.3">
      <c r="A115" s="119" t="s">
        <v>132</v>
      </c>
      <c r="B115" s="119"/>
      <c r="C115" s="119"/>
      <c r="D115" s="119"/>
      <c r="E115" s="119"/>
      <c r="F115" s="119" t="s">
        <v>29</v>
      </c>
      <c r="G115" s="119"/>
      <c r="H115" s="119"/>
    </row>
    <row r="116" spans="1:8" s="49" customFormat="1" hidden="1" x14ac:dyDescent="0.3">
      <c r="A116" s="119" t="s">
        <v>133</v>
      </c>
      <c r="B116" s="119"/>
      <c r="C116" s="119"/>
      <c r="D116" s="119"/>
      <c r="E116" s="119"/>
      <c r="F116" s="119" t="s">
        <v>29</v>
      </c>
      <c r="G116" s="119"/>
      <c r="H116" s="119"/>
    </row>
    <row r="117" spans="1:8" s="49" customFormat="1" hidden="1" x14ac:dyDescent="0.3">
      <c r="A117" s="119" t="s">
        <v>134</v>
      </c>
      <c r="B117" s="119"/>
      <c r="C117" s="119"/>
      <c r="D117" s="119"/>
      <c r="E117" s="119"/>
      <c r="F117" s="119" t="s">
        <v>29</v>
      </c>
      <c r="G117" s="119"/>
      <c r="H117" s="119"/>
    </row>
    <row r="118" spans="1:8" x14ac:dyDescent="0.35">
      <c r="A118" s="119" t="s">
        <v>57</v>
      </c>
      <c r="B118" s="119"/>
      <c r="C118" s="119"/>
      <c r="D118" s="119"/>
      <c r="E118" s="119"/>
      <c r="F118" s="135" t="s">
        <v>217</v>
      </c>
      <c r="G118" s="135"/>
      <c r="H118" s="135"/>
    </row>
    <row r="119" spans="1:8" s="50" customFormat="1" x14ac:dyDescent="0.35">
      <c r="A119" s="134" t="s">
        <v>58</v>
      </c>
      <c r="B119" s="134"/>
      <c r="C119" s="134"/>
      <c r="D119" s="134"/>
      <c r="E119" s="134"/>
      <c r="F119" s="119">
        <f>F107*0.8</f>
        <v>8560</v>
      </c>
      <c r="G119" s="119"/>
      <c r="H119" s="119"/>
    </row>
    <row r="120" spans="1:8" s="51" customFormat="1" ht="15.75" customHeight="1" x14ac:dyDescent="0.35">
      <c r="A120" s="153" t="s">
        <v>224</v>
      </c>
      <c r="B120" s="153"/>
      <c r="C120" s="153"/>
      <c r="D120" s="153"/>
      <c r="E120" s="153"/>
      <c r="F120" s="153"/>
      <c r="G120" s="153"/>
      <c r="H120" s="153"/>
    </row>
    <row r="121" spans="1:8" s="51" customFormat="1" ht="15.75" customHeight="1" x14ac:dyDescent="0.35">
      <c r="A121" s="126" t="s">
        <v>59</v>
      </c>
      <c r="B121" s="126"/>
      <c r="C121" s="125" t="s">
        <v>108</v>
      </c>
      <c r="D121" s="125"/>
      <c r="E121" s="157" t="s">
        <v>60</v>
      </c>
      <c r="F121" s="157"/>
      <c r="G121" s="126" t="s">
        <v>61</v>
      </c>
      <c r="H121" s="126"/>
    </row>
    <row r="122" spans="1:8" s="51" customFormat="1" x14ac:dyDescent="0.35">
      <c r="A122" s="85" t="s">
        <v>221</v>
      </c>
      <c r="B122" s="85"/>
      <c r="C122" s="123">
        <f>COUNT(D135:D146)</f>
        <v>12</v>
      </c>
      <c r="D122" s="86"/>
      <c r="E122" s="87">
        <f>SUM(D135:D146)</f>
        <v>5498.568737999999</v>
      </c>
      <c r="F122" s="124"/>
      <c r="G122" s="87">
        <f>SUM(F135:F146)</f>
        <v>8797.7099808000021</v>
      </c>
      <c r="H122" s="124"/>
    </row>
    <row r="123" spans="1:8" s="51" customFormat="1" x14ac:dyDescent="0.35">
      <c r="A123" s="153" t="s">
        <v>225</v>
      </c>
      <c r="B123" s="153"/>
      <c r="C123" s="153"/>
      <c r="D123" s="153"/>
      <c r="E123" s="153"/>
      <c r="F123" s="153"/>
      <c r="G123" s="153"/>
      <c r="H123" s="153"/>
    </row>
    <row r="124" spans="1:8" s="51" customFormat="1" ht="15.75" customHeight="1" x14ac:dyDescent="0.35">
      <c r="A124" s="126" t="s">
        <v>59</v>
      </c>
      <c r="B124" s="126"/>
      <c r="C124" s="125" t="s">
        <v>108</v>
      </c>
      <c r="D124" s="125"/>
      <c r="E124" s="157" t="s">
        <v>60</v>
      </c>
      <c r="F124" s="157"/>
      <c r="G124" s="126" t="s">
        <v>61</v>
      </c>
      <c r="H124" s="126"/>
    </row>
    <row r="125" spans="1:8" s="51" customFormat="1" x14ac:dyDescent="0.35">
      <c r="A125" s="85" t="s">
        <v>222</v>
      </c>
      <c r="B125" s="85"/>
      <c r="C125" s="86">
        <f>COUNT(D153:D160)*24+COUNT(D164:D169)*5</f>
        <v>222</v>
      </c>
      <c r="D125" s="86"/>
      <c r="E125" s="87">
        <f>SUM(D153:D160)*24+SUM(D164:D169)*5</f>
        <v>116086.77989999998</v>
      </c>
      <c r="F125" s="87"/>
      <c r="G125" s="87">
        <f>SUM(F153:F160)*24+SUM(F164:F169)*5</f>
        <v>179934.50884499997</v>
      </c>
      <c r="H125" s="87"/>
    </row>
    <row r="126" spans="1:8" s="51" customFormat="1" x14ac:dyDescent="0.35">
      <c r="A126" s="85" t="s">
        <v>221</v>
      </c>
      <c r="B126" s="85"/>
      <c r="C126" s="86">
        <f>COUNT(D173:D180)*24+COUNT(D182:D183,D186:D189)*5</f>
        <v>222</v>
      </c>
      <c r="D126" s="86"/>
      <c r="E126" s="87">
        <f>SUM(D173:D180)*24+SUM(D182:D183,D186:D189)*5</f>
        <v>159125.19152399994</v>
      </c>
      <c r="F126" s="87"/>
      <c r="G126" s="87">
        <f>SUM(F173:F180)*24+SUM(F182:F183,F186:F189)*5</f>
        <v>246644.04686219996</v>
      </c>
      <c r="H126" s="87"/>
    </row>
    <row r="127" spans="1:8" s="51" customFormat="1" x14ac:dyDescent="0.35">
      <c r="A127" s="85" t="s">
        <v>238</v>
      </c>
      <c r="B127" s="85"/>
      <c r="C127" s="86">
        <f>COUNT(D193:D200)*24+COUNT(D202:D203,D206:D209)*5</f>
        <v>222</v>
      </c>
      <c r="D127" s="86"/>
      <c r="E127" s="87">
        <f>SUM(D193:D200)*24+SUM(D202:D203,D206:D209)*5</f>
        <v>118181.85794999998</v>
      </c>
      <c r="F127" s="87"/>
      <c r="G127" s="87">
        <f>SUM(F193:F200)*24+SUM(F202:F203,F206:F209)*5</f>
        <v>183181.87982250002</v>
      </c>
      <c r="H127" s="87"/>
    </row>
    <row r="128" spans="1:8" s="51" customFormat="1" x14ac:dyDescent="0.35">
      <c r="A128" s="153" t="s">
        <v>63</v>
      </c>
      <c r="B128" s="153"/>
      <c r="C128" s="125">
        <f>SUM(C125:D127)</f>
        <v>666</v>
      </c>
      <c r="D128" s="125"/>
      <c r="E128" s="187">
        <f>SUM(E125:F127)</f>
        <v>393393.82937399991</v>
      </c>
      <c r="F128" s="187"/>
      <c r="G128" s="187">
        <f>SUM(G125:H127)</f>
        <v>609760.43552970001</v>
      </c>
      <c r="H128" s="187"/>
    </row>
    <row r="129" spans="1:14" s="50" customFormat="1" x14ac:dyDescent="0.35">
      <c r="A129" s="90" t="s">
        <v>64</v>
      </c>
      <c r="B129" s="90"/>
      <c r="C129" s="90"/>
      <c r="D129" s="90"/>
      <c r="E129" s="90"/>
      <c r="F129" s="90"/>
      <c r="G129" s="90"/>
      <c r="H129" s="90"/>
    </row>
    <row r="130" spans="1:14" x14ac:dyDescent="0.35">
      <c r="A130" s="90" t="s">
        <v>65</v>
      </c>
      <c r="B130" s="90"/>
      <c r="C130" s="90"/>
      <c r="D130" s="90"/>
      <c r="E130" s="90"/>
      <c r="F130" s="90"/>
      <c r="G130" s="90"/>
      <c r="H130" s="90"/>
    </row>
    <row r="131" spans="1:14" ht="47.25" customHeight="1" x14ac:dyDescent="0.35">
      <c r="A131" s="122" t="s">
        <v>158</v>
      </c>
      <c r="B131" s="122" t="s">
        <v>157</v>
      </c>
      <c r="C131" s="122" t="s">
        <v>66</v>
      </c>
      <c r="D131" s="122" t="s">
        <v>67</v>
      </c>
      <c r="E131" s="121" t="s">
        <v>68</v>
      </c>
      <c r="F131" s="80" t="s">
        <v>156</v>
      </c>
      <c r="G131" s="122" t="s">
        <v>69</v>
      </c>
      <c r="H131" s="122"/>
    </row>
    <row r="132" spans="1:14" s="66" customFormat="1" x14ac:dyDescent="0.35">
      <c r="A132" s="122"/>
      <c r="B132" s="122"/>
      <c r="C132" s="122"/>
      <c r="D132" s="122"/>
      <c r="E132" s="121"/>
      <c r="F132" s="81">
        <v>0.6</v>
      </c>
      <c r="G132" s="122"/>
      <c r="H132" s="122"/>
    </row>
    <row r="133" spans="1:14" x14ac:dyDescent="0.35">
      <c r="A133" s="90" t="s">
        <v>221</v>
      </c>
      <c r="B133" s="90"/>
      <c r="C133" s="90"/>
      <c r="D133" s="90"/>
      <c r="E133" s="90"/>
      <c r="F133" s="90"/>
      <c r="G133" s="90"/>
      <c r="H133" s="90"/>
    </row>
    <row r="134" spans="1:14" s="66" customFormat="1" x14ac:dyDescent="0.35">
      <c r="A134" s="91" t="s">
        <v>187</v>
      </c>
      <c r="B134" s="92"/>
      <c r="C134" s="92"/>
      <c r="D134" s="92"/>
      <c r="E134" s="92"/>
      <c r="F134" s="92"/>
      <c r="G134" s="92"/>
      <c r="H134" s="93"/>
    </row>
    <row r="135" spans="1:14" s="66" customFormat="1" x14ac:dyDescent="0.35">
      <c r="A135" s="94">
        <v>1</v>
      </c>
      <c r="B135" s="95"/>
      <c r="C135" s="26" t="s">
        <v>188</v>
      </c>
      <c r="D135" s="26">
        <f>(5.27*9.55+5.23*5)*10.764</f>
        <v>823.21457399999997</v>
      </c>
      <c r="E135" s="26">
        <v>0</v>
      </c>
      <c r="F135" s="26">
        <f>D135*(($F$132)+1)+E135</f>
        <v>1317.1433184</v>
      </c>
      <c r="G135" s="94" t="str">
        <f>A134</f>
        <v>Ground Floor for Commercial (Shop line)</v>
      </c>
      <c r="H135" s="95"/>
      <c r="I135" s="52"/>
      <c r="L135" s="115"/>
      <c r="M135" s="115"/>
      <c r="N135" s="52"/>
    </row>
    <row r="136" spans="1:14" s="66" customFormat="1" x14ac:dyDescent="0.35">
      <c r="A136" s="94">
        <f>A135+1</f>
        <v>2</v>
      </c>
      <c r="B136" s="95"/>
      <c r="C136" s="26" t="s">
        <v>188</v>
      </c>
      <c r="D136" s="26">
        <f t="shared" ref="D136:D137" si="0">(5.27*9.55+5.23*5)*10.764</f>
        <v>823.21457399999997</v>
      </c>
      <c r="E136" s="26">
        <v>0</v>
      </c>
      <c r="F136" s="26">
        <f t="shared" ref="F136:F137" si="1">D136*(($F$132)+1)+E136</f>
        <v>1317.1433184</v>
      </c>
      <c r="G136" s="94" t="str">
        <f t="shared" ref="G136:G146" si="2">G135</f>
        <v>Ground Floor for Commercial (Shop line)</v>
      </c>
      <c r="H136" s="95"/>
      <c r="I136" s="52"/>
      <c r="L136" s="115"/>
      <c r="M136" s="115"/>
      <c r="N136" s="52"/>
    </row>
    <row r="137" spans="1:14" s="66" customFormat="1" x14ac:dyDescent="0.35">
      <c r="A137" s="94">
        <f t="shared" ref="A137:A139" si="3">A136+1</f>
        <v>3</v>
      </c>
      <c r="B137" s="95"/>
      <c r="C137" s="26" t="s">
        <v>188</v>
      </c>
      <c r="D137" s="26">
        <f t="shared" si="0"/>
        <v>823.21457399999997</v>
      </c>
      <c r="E137" s="26">
        <v>0</v>
      </c>
      <c r="F137" s="26">
        <f t="shared" si="1"/>
        <v>1317.1433184</v>
      </c>
      <c r="G137" s="94" t="str">
        <f t="shared" si="2"/>
        <v>Ground Floor for Commercial (Shop line)</v>
      </c>
      <c r="H137" s="95"/>
      <c r="I137" s="52"/>
      <c r="L137" s="115"/>
      <c r="M137" s="115"/>
      <c r="N137" s="52"/>
    </row>
    <row r="138" spans="1:14" s="66" customFormat="1" x14ac:dyDescent="0.35">
      <c r="A138" s="94">
        <f t="shared" si="3"/>
        <v>4</v>
      </c>
      <c r="B138" s="95"/>
      <c r="C138" s="26" t="s">
        <v>188</v>
      </c>
      <c r="D138" s="26">
        <f>(3.86*6.04)*10.764</f>
        <v>250.95620159999999</v>
      </c>
      <c r="E138" s="26">
        <v>0</v>
      </c>
      <c r="F138" s="26">
        <f t="shared" ref="F138:F139" si="4">D138*(($F$132)+1)+E138</f>
        <v>401.52992255999999</v>
      </c>
      <c r="G138" s="94" t="str">
        <f t="shared" si="2"/>
        <v>Ground Floor for Commercial (Shop line)</v>
      </c>
      <c r="H138" s="95"/>
      <c r="I138" s="52"/>
      <c r="L138" s="115"/>
      <c r="M138" s="115"/>
      <c r="N138" s="52"/>
    </row>
    <row r="139" spans="1:14" s="66" customFormat="1" x14ac:dyDescent="0.35">
      <c r="A139" s="94">
        <f t="shared" si="3"/>
        <v>5</v>
      </c>
      <c r="B139" s="95"/>
      <c r="C139" s="26" t="s">
        <v>188</v>
      </c>
      <c r="D139" s="26">
        <f t="shared" ref="D139:D143" si="5">(3.86*6.04)*10.764</f>
        <v>250.95620159999999</v>
      </c>
      <c r="E139" s="26">
        <v>0</v>
      </c>
      <c r="F139" s="26">
        <f t="shared" si="4"/>
        <v>401.52992255999999</v>
      </c>
      <c r="G139" s="94" t="str">
        <f t="shared" si="2"/>
        <v>Ground Floor for Commercial (Shop line)</v>
      </c>
      <c r="H139" s="95"/>
      <c r="I139" s="52"/>
      <c r="L139" s="115"/>
      <c r="M139" s="115"/>
      <c r="N139" s="52"/>
    </row>
    <row r="140" spans="1:14" s="66" customFormat="1" x14ac:dyDescent="0.35">
      <c r="A140" s="94">
        <f t="shared" ref="A140:A146" si="6">A139+1</f>
        <v>6</v>
      </c>
      <c r="B140" s="95"/>
      <c r="C140" s="26" t="s">
        <v>188</v>
      </c>
      <c r="D140" s="26">
        <f t="shared" si="5"/>
        <v>250.95620159999999</v>
      </c>
      <c r="E140" s="26">
        <v>0</v>
      </c>
      <c r="F140" s="26">
        <f t="shared" ref="F140:F142" si="7">D140*(($F$132)+1)+E140</f>
        <v>401.52992255999999</v>
      </c>
      <c r="G140" s="94" t="str">
        <f t="shared" si="2"/>
        <v>Ground Floor for Commercial (Shop line)</v>
      </c>
      <c r="H140" s="95"/>
      <c r="I140" s="52">
        <f>9000000/F141</f>
        <v>22414.269757579881</v>
      </c>
      <c r="L140" s="115"/>
      <c r="M140" s="115"/>
      <c r="N140" s="52"/>
    </row>
    <row r="141" spans="1:14" s="66" customFormat="1" x14ac:dyDescent="0.35">
      <c r="A141" s="94">
        <f t="shared" si="6"/>
        <v>7</v>
      </c>
      <c r="B141" s="95"/>
      <c r="C141" s="26" t="s">
        <v>188</v>
      </c>
      <c r="D141" s="26">
        <f t="shared" si="5"/>
        <v>250.95620159999999</v>
      </c>
      <c r="E141" s="26">
        <v>0</v>
      </c>
      <c r="F141" s="26">
        <f t="shared" si="7"/>
        <v>401.52992255999999</v>
      </c>
      <c r="G141" s="94" t="str">
        <f t="shared" si="2"/>
        <v>Ground Floor for Commercial (Shop line)</v>
      </c>
      <c r="H141" s="95"/>
      <c r="I141" s="52"/>
      <c r="L141" s="115"/>
      <c r="M141" s="115"/>
      <c r="N141" s="52"/>
    </row>
    <row r="142" spans="1:14" s="66" customFormat="1" x14ac:dyDescent="0.35">
      <c r="A142" s="94">
        <f t="shared" si="6"/>
        <v>8</v>
      </c>
      <c r="B142" s="95"/>
      <c r="C142" s="26" t="s">
        <v>188</v>
      </c>
      <c r="D142" s="26">
        <f t="shared" si="5"/>
        <v>250.95620159999999</v>
      </c>
      <c r="E142" s="26">
        <v>0</v>
      </c>
      <c r="F142" s="26">
        <f t="shared" si="7"/>
        <v>401.52992255999999</v>
      </c>
      <c r="G142" s="94" t="str">
        <f t="shared" si="2"/>
        <v>Ground Floor for Commercial (Shop line)</v>
      </c>
      <c r="H142" s="95"/>
      <c r="I142" s="52"/>
      <c r="L142" s="115"/>
      <c r="M142" s="115"/>
      <c r="N142" s="52"/>
    </row>
    <row r="143" spans="1:14" s="66" customFormat="1" x14ac:dyDescent="0.35">
      <c r="A143" s="94">
        <f t="shared" si="6"/>
        <v>9</v>
      </c>
      <c r="B143" s="95"/>
      <c r="C143" s="26" t="s">
        <v>188</v>
      </c>
      <c r="D143" s="26">
        <f t="shared" si="5"/>
        <v>250.95620159999999</v>
      </c>
      <c r="E143" s="26">
        <v>0</v>
      </c>
      <c r="F143" s="26">
        <f t="shared" ref="F143:F144" si="8">D143*(($F$132)+1)+E143</f>
        <v>401.52992255999999</v>
      </c>
      <c r="G143" s="94" t="str">
        <f t="shared" si="2"/>
        <v>Ground Floor for Commercial (Shop line)</v>
      </c>
      <c r="H143" s="95"/>
      <c r="I143" s="52"/>
      <c r="L143" s="115"/>
      <c r="M143" s="115"/>
      <c r="N143" s="52"/>
    </row>
    <row r="144" spans="1:14" s="66" customFormat="1" x14ac:dyDescent="0.35">
      <c r="A144" s="94">
        <f t="shared" si="6"/>
        <v>10</v>
      </c>
      <c r="B144" s="95"/>
      <c r="C144" s="26" t="s">
        <v>188</v>
      </c>
      <c r="D144" s="26">
        <f>(3.86*8.22+3.86*4)*10.764</f>
        <v>507.7292688</v>
      </c>
      <c r="E144" s="26">
        <v>0</v>
      </c>
      <c r="F144" s="26">
        <f t="shared" si="8"/>
        <v>812.36683008</v>
      </c>
      <c r="G144" s="94" t="str">
        <f t="shared" si="2"/>
        <v>Ground Floor for Commercial (Shop line)</v>
      </c>
      <c r="H144" s="95"/>
      <c r="I144" s="52"/>
      <c r="L144" s="115"/>
      <c r="M144" s="115"/>
      <c r="N144" s="52"/>
    </row>
    <row r="145" spans="1:16" s="66" customFormat="1" x14ac:dyDescent="0.35">
      <c r="A145" s="94">
        <f t="shared" si="6"/>
        <v>11</v>
      </c>
      <c r="B145" s="95"/>
      <c r="C145" s="26" t="s">
        <v>188</v>
      </c>
      <c r="D145" s="26">
        <f t="shared" ref="D145:D146" si="9">(3.86*8.22+3.86*4)*10.764</f>
        <v>507.7292688</v>
      </c>
      <c r="E145" s="26">
        <v>0</v>
      </c>
      <c r="F145" s="26">
        <f t="shared" ref="F145:F146" si="10">D145*(($F$132)+1)+E145</f>
        <v>812.36683008</v>
      </c>
      <c r="G145" s="94" t="str">
        <f t="shared" si="2"/>
        <v>Ground Floor for Commercial (Shop line)</v>
      </c>
      <c r="H145" s="95"/>
      <c r="I145" s="52"/>
      <c r="L145" s="115"/>
      <c r="M145" s="115"/>
      <c r="N145" s="52"/>
    </row>
    <row r="146" spans="1:16" s="66" customFormat="1" x14ac:dyDescent="0.35">
      <c r="A146" s="94">
        <f t="shared" si="6"/>
        <v>12</v>
      </c>
      <c r="B146" s="95"/>
      <c r="C146" s="26" t="s">
        <v>188</v>
      </c>
      <c r="D146" s="26">
        <f t="shared" si="9"/>
        <v>507.7292688</v>
      </c>
      <c r="E146" s="26">
        <v>0</v>
      </c>
      <c r="F146" s="26">
        <f t="shared" si="10"/>
        <v>812.36683008</v>
      </c>
      <c r="G146" s="94" t="str">
        <f t="shared" si="2"/>
        <v>Ground Floor for Commercial (Shop line)</v>
      </c>
      <c r="H146" s="95"/>
      <c r="I146" s="52"/>
      <c r="L146" s="115"/>
      <c r="M146" s="115"/>
      <c r="N146" s="52"/>
    </row>
    <row r="147" spans="1:16" s="66" customFormat="1" x14ac:dyDescent="0.35">
      <c r="A147" s="94"/>
      <c r="B147" s="186"/>
      <c r="C147" s="186"/>
      <c r="D147" s="186"/>
      <c r="E147" s="186"/>
      <c r="F147" s="186"/>
      <c r="G147" s="186"/>
      <c r="H147" s="95"/>
      <c r="I147" s="52"/>
      <c r="N147" s="52"/>
    </row>
    <row r="148" spans="1:16" ht="47.25" customHeight="1" x14ac:dyDescent="0.35">
      <c r="A148" s="180" t="s">
        <v>159</v>
      </c>
      <c r="B148" s="181"/>
      <c r="C148" s="155" t="s">
        <v>66</v>
      </c>
      <c r="D148" s="155" t="s">
        <v>67</v>
      </c>
      <c r="E148" s="178" t="s">
        <v>68</v>
      </c>
      <c r="F148" s="67" t="s">
        <v>156</v>
      </c>
      <c r="G148" s="180" t="s">
        <v>69</v>
      </c>
      <c r="H148" s="181"/>
      <c r="I148" s="52"/>
    </row>
    <row r="149" spans="1:16" s="66" customFormat="1" x14ac:dyDescent="0.35">
      <c r="A149" s="182"/>
      <c r="B149" s="183"/>
      <c r="C149" s="156"/>
      <c r="D149" s="156"/>
      <c r="E149" s="179"/>
      <c r="F149" s="20">
        <v>0.55000000000000004</v>
      </c>
      <c r="G149" s="182"/>
      <c r="H149" s="183"/>
      <c r="I149" s="52"/>
    </row>
    <row r="150" spans="1:16" x14ac:dyDescent="0.35">
      <c r="A150" s="90" t="s">
        <v>222</v>
      </c>
      <c r="B150" s="90"/>
      <c r="C150" s="90"/>
      <c r="D150" s="90"/>
      <c r="E150" s="90"/>
      <c r="F150" s="90"/>
      <c r="G150" s="90"/>
      <c r="H150" s="90"/>
    </row>
    <row r="151" spans="1:16" x14ac:dyDescent="0.35">
      <c r="A151" s="90" t="s">
        <v>212</v>
      </c>
      <c r="B151" s="90"/>
      <c r="C151" s="90"/>
      <c r="D151" s="90"/>
      <c r="E151" s="90"/>
      <c r="F151" s="90"/>
      <c r="G151" s="90"/>
      <c r="H151" s="90"/>
    </row>
    <row r="152" spans="1:16" s="66" customFormat="1" x14ac:dyDescent="0.35">
      <c r="A152" s="91" t="s">
        <v>189</v>
      </c>
      <c r="B152" s="92"/>
      <c r="C152" s="92"/>
      <c r="D152" s="92"/>
      <c r="E152" s="92"/>
      <c r="F152" s="92"/>
      <c r="G152" s="92"/>
      <c r="H152" s="93"/>
      <c r="I152" s="52"/>
      <c r="P152" s="53"/>
    </row>
    <row r="153" spans="1:16" s="66" customFormat="1" ht="15.75" customHeight="1" x14ac:dyDescent="0.35">
      <c r="A153" s="94">
        <v>1</v>
      </c>
      <c r="B153" s="95"/>
      <c r="C153" s="26" t="s">
        <v>223</v>
      </c>
      <c r="D153" s="26">
        <f>(3.5*3.05+2.9*2.45+3.35*2.9+1.35*2.45+2.45*1.35+2.15*0.6+1.6*3.5+2.9*0.9)*10.764</f>
        <v>469.41803999999996</v>
      </c>
      <c r="E153" s="26">
        <v>0</v>
      </c>
      <c r="F153" s="26">
        <f t="shared" ref="F153:F155" si="11">D153*(($F$149)+1)+E153</f>
        <v>727.59796199999994</v>
      </c>
      <c r="G153" s="96" t="str">
        <f>A152</f>
        <v>1st to 8th, 10th to 12th, 14th to 17th, 19th to 22nd, 24th to 27th &amp; 29th Floor</v>
      </c>
      <c r="H153" s="97"/>
      <c r="I153" s="52">
        <f>8523200/F153</f>
        <v>11714.161453354924</v>
      </c>
      <c r="N153" s="66" t="str">
        <f t="shared" ref="N153:N160" ca="1" si="12">O153&amp;""&amp;" to "&amp;""&amp;P153</f>
        <v>101 to 2901</v>
      </c>
      <c r="O153" s="66">
        <v>101</v>
      </c>
      <c r="P153" s="66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2901</v>
      </c>
    </row>
    <row r="154" spans="1:16" s="66" customFormat="1" ht="15.75" customHeight="1" x14ac:dyDescent="0.35">
      <c r="A154" s="94">
        <v>2</v>
      </c>
      <c r="B154" s="95"/>
      <c r="C154" s="26" t="s">
        <v>223</v>
      </c>
      <c r="D154" s="26">
        <f>(3.5*3.05+2.9*2.45+3.35*2.9+1.35*2.45+2.45*1.35+2.15*0.6+2.9*0.9+1.6*3.5)*10.764</f>
        <v>469.41803999999996</v>
      </c>
      <c r="E154" s="26">
        <v>0</v>
      </c>
      <c r="F154" s="26">
        <f t="shared" si="11"/>
        <v>727.59796199999994</v>
      </c>
      <c r="G154" s="98"/>
      <c r="H154" s="99"/>
      <c r="I154" s="52" t="s">
        <v>231</v>
      </c>
      <c r="N154" s="66" t="str">
        <f t="shared" ca="1" si="12"/>
        <v>102 to 2902</v>
      </c>
      <c r="O154" s="66">
        <f t="shared" ref="O154:P154" si="13">O153+1</f>
        <v>102</v>
      </c>
      <c r="P154" s="66">
        <f t="shared" ca="1" si="13"/>
        <v>2902</v>
      </c>
    </row>
    <row r="155" spans="1:16" s="66" customFormat="1" ht="15.75" customHeight="1" x14ac:dyDescent="0.35">
      <c r="A155" s="94">
        <v>3</v>
      </c>
      <c r="B155" s="95"/>
      <c r="C155" s="26" t="s">
        <v>223</v>
      </c>
      <c r="D155" s="26">
        <f>(3.05*3.5+2.45*2.9+2.9*3.35+2.45*1.35+1.35*2.45+2.9*0.9+2.15*0.6+1.6*3.5)*10.764</f>
        <v>469.41803999999996</v>
      </c>
      <c r="E155" s="26">
        <v>0</v>
      </c>
      <c r="F155" s="26">
        <f t="shared" si="11"/>
        <v>727.59796199999994</v>
      </c>
      <c r="G155" s="98"/>
      <c r="H155" s="99"/>
      <c r="I155" s="52"/>
      <c r="N155" s="66" t="str">
        <f t="shared" ca="1" si="12"/>
        <v>103 to 2903</v>
      </c>
      <c r="O155" s="66">
        <f t="shared" ref="O155:P155" si="14">O154+1</f>
        <v>103</v>
      </c>
      <c r="P155" s="66">
        <f t="shared" ca="1" si="14"/>
        <v>2903</v>
      </c>
    </row>
    <row r="156" spans="1:16" s="66" customFormat="1" ht="15.75" customHeight="1" x14ac:dyDescent="0.35">
      <c r="A156" s="94">
        <v>4</v>
      </c>
      <c r="B156" s="95"/>
      <c r="C156" s="26" t="s">
        <v>190</v>
      </c>
      <c r="D156" s="26">
        <f>(3.05*3.5+3*1.55+2.75*2.45+3.2*2.9+3.35*3.35+0.9*3.8+2.45*1.35+1.35*2.45+2.15*0.6+0.6*1.25+1.6*2.7+2.9*0.4+3.35*0.75)*10.764</f>
        <v>674.17622999999992</v>
      </c>
      <c r="E156" s="26">
        <v>0</v>
      </c>
      <c r="F156" s="26">
        <f>D156*(($F$149)+1)+E156</f>
        <v>1044.9731565</v>
      </c>
      <c r="G156" s="98"/>
      <c r="H156" s="99"/>
      <c r="I156" s="52"/>
      <c r="N156" s="66" t="str">
        <f t="shared" ca="1" si="12"/>
        <v>104 to 2904</v>
      </c>
      <c r="O156" s="66">
        <f t="shared" ref="O156:P156" si="15">O155+1</f>
        <v>104</v>
      </c>
      <c r="P156" s="66">
        <f t="shared" ca="1" si="15"/>
        <v>2904</v>
      </c>
    </row>
    <row r="157" spans="1:16" s="66" customFormat="1" ht="15.75" customHeight="1" x14ac:dyDescent="0.35">
      <c r="A157" s="94">
        <v>5</v>
      </c>
      <c r="B157" s="95"/>
      <c r="C157" s="26" t="s">
        <v>223</v>
      </c>
      <c r="D157" s="26">
        <f>(3.5*3.05+2.9*2.45+3.35*2.9+1.35*2.45+2.45*1.35+2.9*0.9+1.6*3.5+2.15*0.6)*10.764</f>
        <v>469.41803999999996</v>
      </c>
      <c r="E157" s="26">
        <v>0</v>
      </c>
      <c r="F157" s="26">
        <f t="shared" ref="F157:F160" si="16">D157*(($F$149)+1)+E157</f>
        <v>727.59796199999994</v>
      </c>
      <c r="G157" s="98"/>
      <c r="H157" s="99"/>
      <c r="I157" s="52"/>
      <c r="N157" s="66" t="str">
        <f t="shared" ca="1" si="12"/>
        <v>105 to 2905</v>
      </c>
      <c r="O157" s="66">
        <f t="shared" ref="O157:P157" si="17">O156+1</f>
        <v>105</v>
      </c>
      <c r="P157" s="66">
        <f t="shared" ca="1" si="17"/>
        <v>2905</v>
      </c>
    </row>
    <row r="158" spans="1:16" s="66" customFormat="1" ht="15.75" customHeight="1" x14ac:dyDescent="0.35">
      <c r="A158" s="94">
        <v>6</v>
      </c>
      <c r="B158" s="95"/>
      <c r="C158" s="26" t="s">
        <v>223</v>
      </c>
      <c r="D158" s="26">
        <f>(3.5*3.05+2.9*2.45+3.35*2.9+2.15*0.6+1.35*2.45+2.45*1.35+2.9*0.9+1.6*3.5)*10.764</f>
        <v>469.41803999999996</v>
      </c>
      <c r="E158" s="26">
        <v>0</v>
      </c>
      <c r="F158" s="26">
        <f t="shared" si="16"/>
        <v>727.59796199999994</v>
      </c>
      <c r="G158" s="98"/>
      <c r="H158" s="99"/>
      <c r="I158" s="52"/>
      <c r="N158" s="66" t="str">
        <f t="shared" ca="1" si="12"/>
        <v>106 to 2906</v>
      </c>
      <c r="O158" s="66">
        <f t="shared" ref="O158:P158" si="18">O157+1</f>
        <v>106</v>
      </c>
      <c r="P158" s="66">
        <f t="shared" ca="1" si="18"/>
        <v>2906</v>
      </c>
    </row>
    <row r="159" spans="1:16" s="66" customFormat="1" ht="15.75" customHeight="1" x14ac:dyDescent="0.35">
      <c r="A159" s="94">
        <v>7</v>
      </c>
      <c r="B159" s="95"/>
      <c r="C159" s="26" t="s">
        <v>223</v>
      </c>
      <c r="D159" s="26">
        <f>(3.05*3.5+2.45*2.9+2.9*3.35+2.15*0.6+2.45*1.35+1.35*2.45+1.6*3.5+0.9*2.9)*10.764</f>
        <v>469.41803999999996</v>
      </c>
      <c r="E159" s="26">
        <v>0</v>
      </c>
      <c r="F159" s="26">
        <f t="shared" si="16"/>
        <v>727.59796199999994</v>
      </c>
      <c r="G159" s="98"/>
      <c r="H159" s="99"/>
      <c r="I159" s="52"/>
      <c r="N159" s="66" t="str">
        <f t="shared" ca="1" si="12"/>
        <v>107 to 2907</v>
      </c>
      <c r="O159" s="66">
        <f t="shared" ref="O159:P159" si="19">O158+1</f>
        <v>107</v>
      </c>
      <c r="P159" s="66">
        <f t="shared" ca="1" si="19"/>
        <v>2907</v>
      </c>
    </row>
    <row r="160" spans="1:16" s="66" customFormat="1" ht="15.75" customHeight="1" x14ac:dyDescent="0.35">
      <c r="A160" s="94">
        <v>8</v>
      </c>
      <c r="B160" s="95"/>
      <c r="C160" s="26" t="s">
        <v>190</v>
      </c>
      <c r="D160" s="26">
        <f>(3.05*3.5+3*1.55+2.75*2.45+3.2*2.9+3.35*3.35+0.9*3.8+2.45*1.35+1.35*2.45+2.15*0.6+0.6*1.25+1.6*2.7+2.9*0.4+3.35*0.75)*10.764</f>
        <v>674.17622999999992</v>
      </c>
      <c r="E160" s="26">
        <v>0</v>
      </c>
      <c r="F160" s="26">
        <f t="shared" si="16"/>
        <v>1044.9731565</v>
      </c>
      <c r="G160" s="100"/>
      <c r="H160" s="101"/>
      <c r="I160" s="52"/>
      <c r="N160" s="66" t="str">
        <f t="shared" ca="1" si="12"/>
        <v>108 to 2908</v>
      </c>
      <c r="O160" s="66">
        <f t="shared" ref="O160:P160" si="20">O159+1</f>
        <v>108</v>
      </c>
      <c r="P160" s="66">
        <f t="shared" ca="1" si="20"/>
        <v>2908</v>
      </c>
    </row>
    <row r="161" spans="1:16" s="66" customFormat="1" ht="15.75" customHeight="1" x14ac:dyDescent="0.35">
      <c r="A161" s="89" t="s">
        <v>191</v>
      </c>
      <c r="B161" s="89"/>
      <c r="C161" s="89"/>
      <c r="D161" s="89"/>
      <c r="E161" s="89"/>
      <c r="F161" s="89"/>
      <c r="G161" s="89"/>
      <c r="H161" s="89"/>
      <c r="I161" s="52"/>
      <c r="P161" s="53"/>
    </row>
    <row r="162" spans="1:16" s="66" customFormat="1" ht="15.75" customHeight="1" x14ac:dyDescent="0.35">
      <c r="A162" s="88">
        <v>1</v>
      </c>
      <c r="B162" s="88"/>
      <c r="C162" s="88" t="s">
        <v>192</v>
      </c>
      <c r="D162" s="88"/>
      <c r="E162" s="88"/>
      <c r="F162" s="88"/>
      <c r="G162" s="88" t="str">
        <f>A161</f>
        <v>9th, 13th, 18th, 23rd &amp; 28th Floor (Part Refuge Area)</v>
      </c>
      <c r="H162" s="88"/>
      <c r="I162" s="52">
        <v>11900000</v>
      </c>
      <c r="J162" s="52" t="e">
        <f>I162/F162</f>
        <v>#DIV/0!</v>
      </c>
      <c r="N162" s="66" t="str">
        <f t="shared" ref="N162:N169" ca="1" si="21">O162&amp;""&amp;",..,"&amp;""&amp;P162</f>
        <v>901,..,2801</v>
      </c>
      <c r="O162" s="66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</f>
        <v>901</v>
      </c>
      <c r="P162" s="66">
        <f ca="1">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2801</v>
      </c>
    </row>
    <row r="163" spans="1:16" s="66" customFormat="1" ht="15.75" customHeight="1" x14ac:dyDescent="0.35">
      <c r="A163" s="88">
        <v>2</v>
      </c>
      <c r="B163" s="88"/>
      <c r="C163" s="88"/>
      <c r="D163" s="88"/>
      <c r="E163" s="88"/>
      <c r="F163" s="88"/>
      <c r="G163" s="88"/>
      <c r="H163" s="88"/>
      <c r="I163" s="52"/>
      <c r="N163" s="66" t="str">
        <f t="shared" ca="1" si="21"/>
        <v>902,..,2802</v>
      </c>
      <c r="O163" s="66">
        <f t="shared" ref="O163:P163" ca="1" si="22">O162+1</f>
        <v>902</v>
      </c>
      <c r="P163" s="66">
        <f t="shared" ca="1" si="22"/>
        <v>2802</v>
      </c>
    </row>
    <row r="164" spans="1:16" s="66" customFormat="1" ht="15.75" customHeight="1" x14ac:dyDescent="0.35">
      <c r="A164" s="88">
        <v>3</v>
      </c>
      <c r="B164" s="88"/>
      <c r="C164" s="26" t="s">
        <v>223</v>
      </c>
      <c r="D164" s="26">
        <f>(3.05*3.5+2.45*2.9+2.9*3.35+2.45*1.35+1.35*2.45+2.9*0.9+2.15*0.6+1.6*3.5)*10.764</f>
        <v>469.41803999999996</v>
      </c>
      <c r="E164" s="26">
        <v>0</v>
      </c>
      <c r="F164" s="26">
        <f t="shared" ref="F164:F165" si="23">D164*(($F$149)+1)+E164</f>
        <v>727.59796199999994</v>
      </c>
      <c r="G164" s="88"/>
      <c r="H164" s="88"/>
      <c r="I164" s="52"/>
      <c r="N164" s="66" t="str">
        <f t="shared" ca="1" si="21"/>
        <v>903,..,2803</v>
      </c>
      <c r="O164" s="66">
        <f t="shared" ref="O164:P164" ca="1" si="24">O163+1</f>
        <v>903</v>
      </c>
      <c r="P164" s="66">
        <f t="shared" ca="1" si="24"/>
        <v>2803</v>
      </c>
    </row>
    <row r="165" spans="1:16" s="66" customFormat="1" ht="15.75" customHeight="1" x14ac:dyDescent="0.35">
      <c r="A165" s="88">
        <v>4</v>
      </c>
      <c r="B165" s="88"/>
      <c r="C165" s="26" t="s">
        <v>190</v>
      </c>
      <c r="D165" s="26">
        <f>(3.05*3.5+3*1.55+2.75*2.45+3.2*2.9+3.35*3.35+0.9*3.8+2.45*1.35+1.35*2.45+2.15*0.6+0.6*1.25+1.6*2.7+2.9*0.4+3.35*0.75)*10.764</f>
        <v>674.17622999999992</v>
      </c>
      <c r="E165" s="26">
        <v>0</v>
      </c>
      <c r="F165" s="26">
        <f t="shared" si="23"/>
        <v>1044.9731565</v>
      </c>
      <c r="G165" s="88"/>
      <c r="H165" s="88"/>
      <c r="I165" s="52"/>
      <c r="N165" s="66" t="str">
        <f t="shared" ca="1" si="21"/>
        <v>904,..,2804</v>
      </c>
      <c r="O165" s="66">
        <f t="shared" ref="O165:P165" ca="1" si="25">O164+1</f>
        <v>904</v>
      </c>
      <c r="P165" s="66">
        <f t="shared" ca="1" si="25"/>
        <v>2804</v>
      </c>
    </row>
    <row r="166" spans="1:16" s="66" customFormat="1" ht="15.75" customHeight="1" x14ac:dyDescent="0.35">
      <c r="A166" s="88">
        <v>5</v>
      </c>
      <c r="B166" s="88"/>
      <c r="C166" s="26" t="s">
        <v>223</v>
      </c>
      <c r="D166" s="26">
        <f>(3.5*3.05+2.9*2.45+3.35*2.9+1.35*2.45+2.45*1.35+2.9*0.9+1.6*3.5+2.15*0.6)*10.764</f>
        <v>469.41803999999996</v>
      </c>
      <c r="E166" s="26">
        <v>0</v>
      </c>
      <c r="F166" s="26">
        <f t="shared" ref="F166:F169" si="26">D166*(($F$149)+1)+E166</f>
        <v>727.59796199999994</v>
      </c>
      <c r="G166" s="88"/>
      <c r="H166" s="88"/>
      <c r="I166" s="52"/>
      <c r="N166" s="66" t="str">
        <f t="shared" ca="1" si="21"/>
        <v>905,..,2805</v>
      </c>
      <c r="O166" s="66">
        <f t="shared" ref="O166:P166" ca="1" si="27">O165+1</f>
        <v>905</v>
      </c>
      <c r="P166" s="66">
        <f t="shared" ca="1" si="27"/>
        <v>2805</v>
      </c>
    </row>
    <row r="167" spans="1:16" s="66" customFormat="1" ht="15.75" customHeight="1" x14ac:dyDescent="0.35">
      <c r="A167" s="88">
        <v>6</v>
      </c>
      <c r="B167" s="88"/>
      <c r="C167" s="26" t="s">
        <v>223</v>
      </c>
      <c r="D167" s="26">
        <f>(3.5*3.05+2.9*2.45+3.35*2.9+2.15*0.6+1.35*2.45+2.45*1.35+2.9*0.9+1.6*3.5)*10.764</f>
        <v>469.41803999999996</v>
      </c>
      <c r="E167" s="26">
        <v>0</v>
      </c>
      <c r="F167" s="26">
        <f t="shared" si="26"/>
        <v>727.59796199999994</v>
      </c>
      <c r="G167" s="88"/>
      <c r="H167" s="88"/>
      <c r="I167" s="52">
        <f>8500000/F167</f>
        <v>11682.275712586452</v>
      </c>
      <c r="N167" s="66" t="str">
        <f t="shared" ca="1" si="21"/>
        <v>906,..,2806</v>
      </c>
      <c r="O167" s="66">
        <f t="shared" ref="O167:P167" ca="1" si="28">O166+1</f>
        <v>906</v>
      </c>
      <c r="P167" s="66">
        <f t="shared" ca="1" si="28"/>
        <v>2806</v>
      </c>
    </row>
    <row r="168" spans="1:16" s="66" customFormat="1" ht="15.75" customHeight="1" x14ac:dyDescent="0.35">
      <c r="A168" s="88">
        <v>7</v>
      </c>
      <c r="B168" s="88"/>
      <c r="C168" s="26" t="s">
        <v>223</v>
      </c>
      <c r="D168" s="26">
        <f>(3.05*3.5+2.45*2.9+2.9*3.35+2.15*0.6+2.45*1.35+1.35*2.45+1.6*3.5+0.9*2.9)*10.764</f>
        <v>469.41803999999996</v>
      </c>
      <c r="E168" s="26">
        <v>0</v>
      </c>
      <c r="F168" s="26">
        <f t="shared" si="26"/>
        <v>727.59796199999994</v>
      </c>
      <c r="G168" s="88"/>
      <c r="H168" s="88"/>
      <c r="I168" s="52"/>
      <c r="N168" s="66" t="str">
        <f t="shared" ca="1" si="21"/>
        <v>907,..,2807</v>
      </c>
      <c r="O168" s="66">
        <f t="shared" ref="O168:P168" ca="1" si="29">O167+1</f>
        <v>907</v>
      </c>
      <c r="P168" s="66">
        <f t="shared" ca="1" si="29"/>
        <v>2807</v>
      </c>
    </row>
    <row r="169" spans="1:16" s="66" customFormat="1" ht="15.75" customHeight="1" x14ac:dyDescent="0.35">
      <c r="A169" s="88">
        <v>8</v>
      </c>
      <c r="B169" s="88"/>
      <c r="C169" s="26" t="s">
        <v>190</v>
      </c>
      <c r="D169" s="26">
        <f>(3.05*3.5+3*1.55+2.75*2.45+3.2*2.9+3.35*3.35+0.9*3.8+2.45*1.35+1.35*2.45+2.15*0.6+0.6*1.25+1.6*2.7+2.9*0.4+3.35*0.75)*10.764</f>
        <v>674.17622999999992</v>
      </c>
      <c r="E169" s="26">
        <v>0</v>
      </c>
      <c r="F169" s="26">
        <f t="shared" si="26"/>
        <v>1044.9731565</v>
      </c>
      <c r="G169" s="88"/>
      <c r="H169" s="88"/>
      <c r="I169" s="52">
        <f>10500000/F169</f>
        <v>10048.105001250336</v>
      </c>
      <c r="N169" s="66" t="str">
        <f t="shared" ca="1" si="21"/>
        <v>908,..,2808</v>
      </c>
      <c r="O169" s="66">
        <f t="shared" ref="O169:P169" ca="1" si="30">O168+1</f>
        <v>908</v>
      </c>
      <c r="P169" s="66">
        <f t="shared" ca="1" si="30"/>
        <v>2808</v>
      </c>
    </row>
    <row r="170" spans="1:16" x14ac:dyDescent="0.35">
      <c r="A170" s="90" t="s">
        <v>221</v>
      </c>
      <c r="B170" s="90"/>
      <c r="C170" s="90"/>
      <c r="D170" s="90"/>
      <c r="E170" s="90"/>
      <c r="F170" s="90"/>
      <c r="G170" s="90"/>
      <c r="H170" s="90"/>
    </row>
    <row r="171" spans="1:16" x14ac:dyDescent="0.35">
      <c r="A171" s="90" t="s">
        <v>212</v>
      </c>
      <c r="B171" s="90"/>
      <c r="C171" s="90"/>
      <c r="D171" s="90"/>
      <c r="E171" s="90"/>
      <c r="F171" s="90"/>
      <c r="G171" s="90"/>
      <c r="H171" s="90"/>
    </row>
    <row r="172" spans="1:16" s="66" customFormat="1" x14ac:dyDescent="0.35">
      <c r="A172" s="91" t="s">
        <v>189</v>
      </c>
      <c r="B172" s="92"/>
      <c r="C172" s="92"/>
      <c r="D172" s="92"/>
      <c r="E172" s="92"/>
      <c r="F172" s="92"/>
      <c r="G172" s="92"/>
      <c r="H172" s="93"/>
      <c r="I172" s="52"/>
      <c r="P172" s="53"/>
    </row>
    <row r="173" spans="1:16" s="66" customFormat="1" ht="15.75" customHeight="1" x14ac:dyDescent="0.35">
      <c r="A173" s="94">
        <v>1</v>
      </c>
      <c r="B173" s="95"/>
      <c r="C173" s="26" t="s">
        <v>190</v>
      </c>
      <c r="D173" s="26">
        <f>(5.2*3.65+1.7*1.65+2.74*2.45+2.9*3.5+3.05*3.2+1.2*2.45+2.45*1.5+1*0.6+2.15*0.6+1.7*3.5+0.75*3.05+1.2*1.2)*10.764</f>
        <v>716.78014199999984</v>
      </c>
      <c r="E173" s="26">
        <v>0</v>
      </c>
      <c r="F173" s="26">
        <f t="shared" ref="F173:F177" si="31">D173*(($F$149)+1)+E173</f>
        <v>1111.0092200999998</v>
      </c>
      <c r="G173" s="96" t="str">
        <f>A172</f>
        <v>1st to 8th, 10th to 12th, 14th to 17th, 19th to 22nd, 24th to 27th &amp; 29th Floor</v>
      </c>
      <c r="H173" s="97"/>
      <c r="I173" s="52"/>
      <c r="N173" s="66" t="str">
        <f t="shared" ref="N173:N178" ca="1" si="32">O173&amp;""&amp;" to "&amp;""&amp;P173</f>
        <v>101 to 2901</v>
      </c>
      <c r="O173" s="66">
        <v>101</v>
      </c>
      <c r="P173" s="66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2901</v>
      </c>
    </row>
    <row r="174" spans="1:16" s="66" customFormat="1" ht="15.75" customHeight="1" x14ac:dyDescent="0.35">
      <c r="A174" s="94">
        <v>2</v>
      </c>
      <c r="B174" s="95"/>
      <c r="C174" s="26" t="s">
        <v>190</v>
      </c>
      <c r="D174" s="26">
        <f>(5.2*3.65+1.7*1.65+2.74*2.45+2.9*3.5+3.05*3.2+1.2*2.45+2.45*1.5+1*0.6+2.15*0.6+1.7*3.5+0.75*3.05+1.2*1.2)*10.764</f>
        <v>716.78014199999984</v>
      </c>
      <c r="E174" s="26">
        <v>0</v>
      </c>
      <c r="F174" s="26">
        <f>D174*(($F$149)+1)+E174</f>
        <v>1111.0092200999998</v>
      </c>
      <c r="G174" s="98"/>
      <c r="H174" s="99"/>
      <c r="I174" s="52"/>
      <c r="N174" s="66" t="str">
        <f t="shared" ca="1" si="32"/>
        <v>102 to 2902</v>
      </c>
      <c r="O174" s="66">
        <f t="shared" ref="O174:P177" si="33">O173+1</f>
        <v>102</v>
      </c>
      <c r="P174" s="66">
        <f t="shared" ca="1" si="33"/>
        <v>2902</v>
      </c>
    </row>
    <row r="175" spans="1:16" s="66" customFormat="1" ht="15.75" customHeight="1" x14ac:dyDescent="0.35">
      <c r="A175" s="94">
        <v>3</v>
      </c>
      <c r="B175" s="95"/>
      <c r="C175" s="26" t="s">
        <v>190</v>
      </c>
      <c r="D175" s="26">
        <f t="shared" ref="D175:D189" si="34">(5.2*3.65+1.7*1.65+2.74*2.45+2.9*3.5+3.05*3.2+1.2*2.45+2.45*1.5+1*0.6+2.15*0.6+1.7*3.5+0.75*3.05+1.2*1.2)*10.764</f>
        <v>716.78014199999984</v>
      </c>
      <c r="E175" s="26">
        <v>0</v>
      </c>
      <c r="F175" s="26">
        <f t="shared" si="31"/>
        <v>1111.0092200999998</v>
      </c>
      <c r="G175" s="98"/>
      <c r="H175" s="99"/>
      <c r="I175" s="52"/>
      <c r="N175" s="66" t="str">
        <f t="shared" ca="1" si="32"/>
        <v>103 to 2903</v>
      </c>
      <c r="O175" s="66">
        <f t="shared" si="33"/>
        <v>103</v>
      </c>
      <c r="P175" s="66">
        <f t="shared" ca="1" si="33"/>
        <v>2903</v>
      </c>
    </row>
    <row r="176" spans="1:16" s="66" customFormat="1" ht="15.75" customHeight="1" x14ac:dyDescent="0.35">
      <c r="A176" s="94">
        <v>4</v>
      </c>
      <c r="B176" s="95"/>
      <c r="C176" s="26" t="s">
        <v>190</v>
      </c>
      <c r="D176" s="26">
        <f t="shared" si="34"/>
        <v>716.78014199999984</v>
      </c>
      <c r="E176" s="26">
        <v>0</v>
      </c>
      <c r="F176" s="26">
        <f>D176*(($F$149)+1)+E176</f>
        <v>1111.0092200999998</v>
      </c>
      <c r="G176" s="98"/>
      <c r="H176" s="99"/>
      <c r="I176" s="52"/>
      <c r="N176" s="66" t="str">
        <f t="shared" ca="1" si="32"/>
        <v>104 to 2904</v>
      </c>
      <c r="O176" s="66">
        <f t="shared" si="33"/>
        <v>104</v>
      </c>
      <c r="P176" s="66">
        <f t="shared" ca="1" si="33"/>
        <v>2904</v>
      </c>
    </row>
    <row r="177" spans="1:16" s="66" customFormat="1" ht="15.75" customHeight="1" x14ac:dyDescent="0.35">
      <c r="A177" s="94">
        <v>5</v>
      </c>
      <c r="B177" s="95"/>
      <c r="C177" s="26" t="s">
        <v>190</v>
      </c>
      <c r="D177" s="26">
        <f t="shared" si="34"/>
        <v>716.78014199999984</v>
      </c>
      <c r="E177" s="26">
        <v>0</v>
      </c>
      <c r="F177" s="26">
        <f t="shared" si="31"/>
        <v>1111.0092200999998</v>
      </c>
      <c r="G177" s="98"/>
      <c r="H177" s="99"/>
      <c r="I177" s="52"/>
      <c r="N177" s="66" t="str">
        <f t="shared" ca="1" si="32"/>
        <v>105 to 2905</v>
      </c>
      <c r="O177" s="66">
        <f t="shared" si="33"/>
        <v>105</v>
      </c>
      <c r="P177" s="66">
        <f t="shared" ca="1" si="33"/>
        <v>2905</v>
      </c>
    </row>
    <row r="178" spans="1:16" s="66" customFormat="1" ht="15.75" customHeight="1" x14ac:dyDescent="0.35">
      <c r="A178" s="94">
        <v>6</v>
      </c>
      <c r="B178" s="95"/>
      <c r="C178" s="26" t="s">
        <v>190</v>
      </c>
      <c r="D178" s="26">
        <f t="shared" si="34"/>
        <v>716.78014199999984</v>
      </c>
      <c r="E178" s="26">
        <v>0</v>
      </c>
      <c r="F178" s="26">
        <f t="shared" ref="F178:F179" si="35">D178*(($F$149)+1)+E178</f>
        <v>1111.0092200999998</v>
      </c>
      <c r="G178" s="98"/>
      <c r="H178" s="99"/>
      <c r="I178" s="52"/>
      <c r="N178" s="66" t="str">
        <f t="shared" ca="1" si="32"/>
        <v>106 to 2906</v>
      </c>
      <c r="O178" s="66">
        <f t="shared" ref="O178:P178" si="36">O177+1</f>
        <v>106</v>
      </c>
      <c r="P178" s="66">
        <f t="shared" ca="1" si="36"/>
        <v>2906</v>
      </c>
    </row>
    <row r="179" spans="1:16" s="66" customFormat="1" ht="15.75" customHeight="1" x14ac:dyDescent="0.35">
      <c r="A179" s="94">
        <v>7</v>
      </c>
      <c r="B179" s="95"/>
      <c r="C179" s="26" t="s">
        <v>190</v>
      </c>
      <c r="D179" s="26">
        <f t="shared" si="34"/>
        <v>716.78014199999984</v>
      </c>
      <c r="E179" s="26">
        <v>0</v>
      </c>
      <c r="F179" s="26">
        <f t="shared" si="35"/>
        <v>1111.0092200999998</v>
      </c>
      <c r="G179" s="98"/>
      <c r="H179" s="99"/>
      <c r="I179" s="52"/>
      <c r="N179" s="66" t="str">
        <f t="shared" ref="N179:N180" ca="1" si="37">O179&amp;""&amp;" to "&amp;""&amp;P179</f>
        <v>107 to 2907</v>
      </c>
      <c r="O179" s="66">
        <f t="shared" ref="O179:P179" si="38">O178+1</f>
        <v>107</v>
      </c>
      <c r="P179" s="66">
        <f t="shared" ca="1" si="38"/>
        <v>2907</v>
      </c>
    </row>
    <row r="180" spans="1:16" s="66" customFormat="1" ht="15.75" customHeight="1" x14ac:dyDescent="0.35">
      <c r="A180" s="94">
        <v>8</v>
      </c>
      <c r="B180" s="95"/>
      <c r="C180" s="26" t="s">
        <v>190</v>
      </c>
      <c r="D180" s="26">
        <f t="shared" si="34"/>
        <v>716.78014199999984</v>
      </c>
      <c r="E180" s="26">
        <v>0</v>
      </c>
      <c r="F180" s="26">
        <f t="shared" ref="F180" si="39">D180*(($F$149)+1)+E180</f>
        <v>1111.0092200999998</v>
      </c>
      <c r="G180" s="100"/>
      <c r="H180" s="101"/>
      <c r="I180" s="52"/>
      <c r="N180" s="66" t="str">
        <f t="shared" ca="1" si="37"/>
        <v>108 to 2908</v>
      </c>
      <c r="O180" s="66">
        <f t="shared" ref="O180:P180" si="40">O179+1</f>
        <v>108</v>
      </c>
      <c r="P180" s="66">
        <f t="shared" ca="1" si="40"/>
        <v>2908</v>
      </c>
    </row>
    <row r="181" spans="1:16" s="66" customFormat="1" ht="15.75" customHeight="1" x14ac:dyDescent="0.35">
      <c r="A181" s="91" t="s">
        <v>191</v>
      </c>
      <c r="B181" s="92"/>
      <c r="C181" s="92"/>
      <c r="D181" s="92"/>
      <c r="E181" s="92"/>
      <c r="F181" s="92"/>
      <c r="G181" s="92"/>
      <c r="H181" s="93"/>
      <c r="I181" s="52"/>
      <c r="P181" s="53"/>
    </row>
    <row r="182" spans="1:16" s="66" customFormat="1" ht="15.75" customHeight="1" x14ac:dyDescent="0.35">
      <c r="A182" s="94">
        <v>1</v>
      </c>
      <c r="B182" s="95"/>
      <c r="C182" s="26" t="s">
        <v>190</v>
      </c>
      <c r="D182" s="26">
        <f t="shared" si="34"/>
        <v>716.78014199999984</v>
      </c>
      <c r="E182" s="26">
        <v>0</v>
      </c>
      <c r="F182" s="26">
        <f t="shared" ref="F182:F186" si="41">D182*(($F$149)+1)+E182</f>
        <v>1111.0092200999998</v>
      </c>
      <c r="G182" s="96" t="str">
        <f>A181</f>
        <v>9th, 13th, 18th, 23rd &amp; 28th Floor (Part Refuge Area)</v>
      </c>
      <c r="H182" s="97"/>
      <c r="I182" s="52">
        <v>11900000</v>
      </c>
      <c r="J182" s="52">
        <f>I182/F182</f>
        <v>10710.982217527326</v>
      </c>
      <c r="N182" s="66" t="str">
        <f t="shared" ref="N182:N187" ca="1" si="42">O182&amp;""&amp;",..,"&amp;""&amp;P182</f>
        <v>901,..,2801</v>
      </c>
      <c r="O182" s="66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</f>
        <v>901</v>
      </c>
      <c r="P182" s="66">
        <f ca="1">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2801</v>
      </c>
    </row>
    <row r="183" spans="1:16" s="66" customFormat="1" ht="15.75" customHeight="1" x14ac:dyDescent="0.35">
      <c r="A183" s="94">
        <v>2</v>
      </c>
      <c r="B183" s="95"/>
      <c r="C183" s="26" t="s">
        <v>190</v>
      </c>
      <c r="D183" s="26">
        <f t="shared" si="34"/>
        <v>716.78014199999984</v>
      </c>
      <c r="E183" s="26">
        <v>0</v>
      </c>
      <c r="F183" s="26">
        <f t="shared" si="41"/>
        <v>1111.0092200999998</v>
      </c>
      <c r="G183" s="98"/>
      <c r="H183" s="99"/>
      <c r="I183" s="52"/>
      <c r="N183" s="66" t="str">
        <f t="shared" ca="1" si="42"/>
        <v>902,..,2802</v>
      </c>
      <c r="O183" s="66">
        <f t="shared" ref="O183:P186" ca="1" si="43">O182+1</f>
        <v>902</v>
      </c>
      <c r="P183" s="66">
        <f t="shared" ca="1" si="43"/>
        <v>2802</v>
      </c>
    </row>
    <row r="184" spans="1:16" s="66" customFormat="1" ht="15.75" customHeight="1" x14ac:dyDescent="0.35">
      <c r="A184" s="94">
        <v>3</v>
      </c>
      <c r="B184" s="95"/>
      <c r="C184" s="96" t="s">
        <v>192</v>
      </c>
      <c r="D184" s="184"/>
      <c r="E184" s="184"/>
      <c r="F184" s="97"/>
      <c r="G184" s="98"/>
      <c r="H184" s="99"/>
      <c r="I184" s="52"/>
      <c r="N184" s="66" t="str">
        <f t="shared" ca="1" si="42"/>
        <v>903,..,2803</v>
      </c>
      <c r="O184" s="66">
        <f t="shared" ca="1" si="43"/>
        <v>903</v>
      </c>
      <c r="P184" s="66">
        <f t="shared" ca="1" si="43"/>
        <v>2803</v>
      </c>
    </row>
    <row r="185" spans="1:16" s="66" customFormat="1" ht="15.75" customHeight="1" x14ac:dyDescent="0.35">
      <c r="A185" s="94">
        <v>4</v>
      </c>
      <c r="B185" s="95"/>
      <c r="C185" s="100"/>
      <c r="D185" s="185"/>
      <c r="E185" s="185"/>
      <c r="F185" s="101"/>
      <c r="G185" s="98"/>
      <c r="H185" s="99"/>
      <c r="I185" s="52"/>
      <c r="N185" s="66" t="str">
        <f t="shared" ca="1" si="42"/>
        <v>904,..,2804</v>
      </c>
      <c r="O185" s="66">
        <f t="shared" ca="1" si="43"/>
        <v>904</v>
      </c>
      <c r="P185" s="66">
        <f t="shared" ca="1" si="43"/>
        <v>2804</v>
      </c>
    </row>
    <row r="186" spans="1:16" s="66" customFormat="1" ht="15.75" customHeight="1" x14ac:dyDescent="0.35">
      <c r="A186" s="94">
        <v>5</v>
      </c>
      <c r="B186" s="95"/>
      <c r="C186" s="26" t="s">
        <v>190</v>
      </c>
      <c r="D186" s="26">
        <f t="shared" si="34"/>
        <v>716.78014199999984</v>
      </c>
      <c r="E186" s="26">
        <v>0</v>
      </c>
      <c r="F186" s="26">
        <f t="shared" si="41"/>
        <v>1111.0092200999998</v>
      </c>
      <c r="G186" s="98"/>
      <c r="H186" s="99"/>
      <c r="I186" s="52"/>
      <c r="N186" s="66" t="str">
        <f t="shared" ca="1" si="42"/>
        <v>905,..,2805</v>
      </c>
      <c r="O186" s="66">
        <f t="shared" ca="1" si="43"/>
        <v>905</v>
      </c>
      <c r="P186" s="66">
        <f t="shared" ca="1" si="43"/>
        <v>2805</v>
      </c>
    </row>
    <row r="187" spans="1:16" s="66" customFormat="1" ht="15.75" customHeight="1" x14ac:dyDescent="0.35">
      <c r="A187" s="94">
        <v>6</v>
      </c>
      <c r="B187" s="95"/>
      <c r="C187" s="26" t="s">
        <v>190</v>
      </c>
      <c r="D187" s="26">
        <f t="shared" si="34"/>
        <v>716.78014199999984</v>
      </c>
      <c r="E187" s="26">
        <v>0</v>
      </c>
      <c r="F187" s="26">
        <f t="shared" ref="F187:F188" si="44">D187*(($F$149)+1)+E187</f>
        <v>1111.0092200999998</v>
      </c>
      <c r="G187" s="98"/>
      <c r="H187" s="99"/>
      <c r="I187" s="52">
        <f>8500000/F187</f>
        <v>7650.70158394809</v>
      </c>
      <c r="N187" s="66" t="str">
        <f t="shared" ca="1" si="42"/>
        <v>906,..,2806</v>
      </c>
      <c r="O187" s="66">
        <f t="shared" ref="O187:P187" ca="1" si="45">O186+1</f>
        <v>906</v>
      </c>
      <c r="P187" s="66">
        <f t="shared" ca="1" si="45"/>
        <v>2806</v>
      </c>
    </row>
    <row r="188" spans="1:16" s="66" customFormat="1" ht="15.75" customHeight="1" x14ac:dyDescent="0.35">
      <c r="A188" s="94">
        <v>7</v>
      </c>
      <c r="B188" s="95"/>
      <c r="C188" s="26" t="s">
        <v>190</v>
      </c>
      <c r="D188" s="26">
        <f t="shared" si="34"/>
        <v>716.78014199999984</v>
      </c>
      <c r="E188" s="26">
        <v>0</v>
      </c>
      <c r="F188" s="26">
        <f t="shared" si="44"/>
        <v>1111.0092200999998</v>
      </c>
      <c r="G188" s="98"/>
      <c r="H188" s="99"/>
      <c r="I188" s="52"/>
      <c r="N188" s="66" t="str">
        <f t="shared" ref="N188:N189" ca="1" si="46">O188&amp;""&amp;",..,"&amp;""&amp;P188</f>
        <v>907,..,2807</v>
      </c>
      <c r="O188" s="66">
        <f t="shared" ref="O188:P188" ca="1" si="47">O187+1</f>
        <v>907</v>
      </c>
      <c r="P188" s="66">
        <f t="shared" ca="1" si="47"/>
        <v>2807</v>
      </c>
    </row>
    <row r="189" spans="1:16" s="66" customFormat="1" ht="15.75" customHeight="1" x14ac:dyDescent="0.35">
      <c r="A189" s="94">
        <v>8</v>
      </c>
      <c r="B189" s="95"/>
      <c r="C189" s="26" t="s">
        <v>190</v>
      </c>
      <c r="D189" s="26">
        <f t="shared" si="34"/>
        <v>716.78014199999984</v>
      </c>
      <c r="E189" s="26">
        <v>0</v>
      </c>
      <c r="F189" s="26">
        <f t="shared" ref="F189" si="48">D189*(($F$149)+1)+E189</f>
        <v>1111.0092200999998</v>
      </c>
      <c r="G189" s="100"/>
      <c r="H189" s="101"/>
      <c r="I189" s="52">
        <f>10500000/F189</f>
        <v>9450.8666625241112</v>
      </c>
      <c r="N189" s="66" t="str">
        <f t="shared" ca="1" si="46"/>
        <v>908,..,2808</v>
      </c>
      <c r="O189" s="66">
        <f t="shared" ref="O189:P189" ca="1" si="49">O188+1</f>
        <v>908</v>
      </c>
      <c r="P189" s="66">
        <f t="shared" ca="1" si="49"/>
        <v>2808</v>
      </c>
    </row>
    <row r="190" spans="1:16" x14ac:dyDescent="0.35">
      <c r="A190" s="90" t="s">
        <v>238</v>
      </c>
      <c r="B190" s="90"/>
      <c r="C190" s="90"/>
      <c r="D190" s="90"/>
      <c r="E190" s="90"/>
      <c r="F190" s="90"/>
      <c r="G190" s="90"/>
      <c r="H190" s="90"/>
    </row>
    <row r="191" spans="1:16" x14ac:dyDescent="0.35">
      <c r="A191" s="90" t="s">
        <v>212</v>
      </c>
      <c r="B191" s="90"/>
      <c r="C191" s="90"/>
      <c r="D191" s="90"/>
      <c r="E191" s="90"/>
      <c r="F191" s="90"/>
      <c r="G191" s="90"/>
      <c r="H191" s="90"/>
    </row>
    <row r="192" spans="1:16" s="71" customFormat="1" x14ac:dyDescent="0.35">
      <c r="A192" s="91" t="s">
        <v>189</v>
      </c>
      <c r="B192" s="92"/>
      <c r="C192" s="92"/>
      <c r="D192" s="92"/>
      <c r="E192" s="92"/>
      <c r="F192" s="92"/>
      <c r="G192" s="92"/>
      <c r="H192" s="93"/>
      <c r="I192" s="52"/>
      <c r="P192" s="53"/>
    </row>
    <row r="193" spans="1:16" s="71" customFormat="1" ht="15.75" customHeight="1" x14ac:dyDescent="0.35">
      <c r="A193" s="94">
        <v>1</v>
      </c>
      <c r="B193" s="95"/>
      <c r="C193" s="26" t="s">
        <v>223</v>
      </c>
      <c r="D193" s="26">
        <f>(3.5*3.05+2.9*2.45+3.35*2.9+1.35*2.45+2.45*1.35+2.15*0.6+1.6*3.5+(3.35+2.9)*0.75)*10.764</f>
        <v>491.78024999999997</v>
      </c>
      <c r="E193" s="26">
        <v>0</v>
      </c>
      <c r="F193" s="26">
        <f t="shared" ref="F193:F195" si="50">D193*(($F$149)+1)+E193</f>
        <v>762.2593875</v>
      </c>
      <c r="G193" s="96" t="str">
        <f>A192</f>
        <v>1st to 8th, 10th to 12th, 14th to 17th, 19th to 22nd, 24th to 27th &amp; 29th Floor</v>
      </c>
      <c r="H193" s="97"/>
      <c r="I193" s="52">
        <f>8523200/F193</f>
        <v>11181.495616542998</v>
      </c>
      <c r="K193" s="76">
        <f>8000000/F193</f>
        <v>10495.115089678053</v>
      </c>
      <c r="N193" s="71" t="str">
        <f t="shared" ref="N193:N200" ca="1" si="51">O193&amp;""&amp;" to "&amp;""&amp;P193</f>
        <v>101 to 2901</v>
      </c>
      <c r="O193" s="71">
        <v>101</v>
      </c>
      <c r="P193" s="71">
        <f ca="1">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2901</v>
      </c>
    </row>
    <row r="194" spans="1:16" s="71" customFormat="1" ht="15.75" customHeight="1" x14ac:dyDescent="0.35">
      <c r="A194" s="94">
        <v>2</v>
      </c>
      <c r="B194" s="95"/>
      <c r="C194" s="26" t="s">
        <v>223</v>
      </c>
      <c r="D194" s="26">
        <f>(3.5*3.05+2.9*2.45+3.35*2.9+1.35*2.45+2.45*1.35+2.15*0.6+0.75*(3.35+2.9)+1.6*3.5)*10.764</f>
        <v>491.78024999999997</v>
      </c>
      <c r="E194" s="26">
        <v>0</v>
      </c>
      <c r="F194" s="26">
        <f t="shared" si="50"/>
        <v>762.2593875</v>
      </c>
      <c r="G194" s="98"/>
      <c r="H194" s="99"/>
      <c r="I194" s="52" t="s">
        <v>231</v>
      </c>
      <c r="K194" s="76">
        <f>10678571/F196</f>
        <v>9927.7328514711517</v>
      </c>
      <c r="N194" s="71" t="str">
        <f t="shared" ca="1" si="51"/>
        <v>102 to 2902</v>
      </c>
      <c r="O194" s="71">
        <f t="shared" ref="O194:P194" si="52">O193+1</f>
        <v>102</v>
      </c>
      <c r="P194" s="71">
        <f t="shared" ca="1" si="52"/>
        <v>2902</v>
      </c>
    </row>
    <row r="195" spans="1:16" s="71" customFormat="1" ht="15.75" customHeight="1" x14ac:dyDescent="0.35">
      <c r="A195" s="94">
        <v>3</v>
      </c>
      <c r="B195" s="95"/>
      <c r="C195" s="26" t="s">
        <v>223</v>
      </c>
      <c r="D195" s="26">
        <f>(3.05*3.5+2.45*2.9+2.9*3.35+2.45*1.35+1.35*2.45+(2.45+2.9)*0.75+2.15*0.6+1.6*3.5)*10.764</f>
        <v>484.51454999999999</v>
      </c>
      <c r="E195" s="26">
        <v>0</v>
      </c>
      <c r="F195" s="26">
        <f t="shared" si="50"/>
        <v>750.99755249999998</v>
      </c>
      <c r="G195" s="98"/>
      <c r="H195" s="99"/>
      <c r="I195" s="52"/>
      <c r="K195" s="76">
        <f>AVERAGE(K193:K194)</f>
        <v>10211.423970574602</v>
      </c>
      <c r="N195" s="71" t="str">
        <f t="shared" ca="1" si="51"/>
        <v>103 to 2903</v>
      </c>
      <c r="O195" s="71">
        <f t="shared" ref="O195:P195" si="53">O194+1</f>
        <v>103</v>
      </c>
      <c r="P195" s="71">
        <f t="shared" ca="1" si="53"/>
        <v>2903</v>
      </c>
    </row>
    <row r="196" spans="1:16" s="71" customFormat="1" ht="15.75" customHeight="1" x14ac:dyDescent="0.35">
      <c r="A196" s="94">
        <v>4</v>
      </c>
      <c r="B196" s="95"/>
      <c r="C196" s="26" t="s">
        <v>190</v>
      </c>
      <c r="D196" s="26">
        <f>(3.05*3.5+3*1.55+2.75*2.45+3.2*2.9+3.35*3.35+0.9*3.8+2.45*1.35+1.35*2.45+2.15*0.6+0.6*1.25+1.6*2.7+2.9*0.4+(2.45+3.35)*0.75)*10.764</f>
        <v>693.95507999999984</v>
      </c>
      <c r="E196" s="26">
        <v>0</v>
      </c>
      <c r="F196" s="26">
        <f>D196*(($F$149)+1)+E196</f>
        <v>1075.6303739999998</v>
      </c>
      <c r="G196" s="98"/>
      <c r="H196" s="99"/>
      <c r="I196" s="52"/>
      <c r="N196" s="71" t="str">
        <f t="shared" ca="1" si="51"/>
        <v>104 to 2904</v>
      </c>
      <c r="O196" s="71">
        <f t="shared" ref="O196:P196" si="54">O195+1</f>
        <v>104</v>
      </c>
      <c r="P196" s="71">
        <f t="shared" ca="1" si="54"/>
        <v>2904</v>
      </c>
    </row>
    <row r="197" spans="1:16" s="71" customFormat="1" ht="15.75" customHeight="1" x14ac:dyDescent="0.35">
      <c r="A197" s="94">
        <v>5</v>
      </c>
      <c r="B197" s="95"/>
      <c r="C197" s="26" t="s">
        <v>223</v>
      </c>
      <c r="D197" s="26">
        <f>(3.5*3.05+2.9*2.45+3.35*2.9+1.35*2.45+2.45*1.35+2.15*0.6+1.6*3.5+(3.35+2.9)*0.75)*10.764</f>
        <v>491.78024999999997</v>
      </c>
      <c r="E197" s="26">
        <v>0</v>
      </c>
      <c r="F197" s="26">
        <f t="shared" ref="F197:F200" si="55">D197*(($F$149)+1)+E197</f>
        <v>762.2593875</v>
      </c>
      <c r="G197" s="98"/>
      <c r="H197" s="99"/>
      <c r="I197" s="52"/>
      <c r="N197" s="71" t="str">
        <f t="shared" ca="1" si="51"/>
        <v>105 to 2905</v>
      </c>
      <c r="O197" s="71">
        <f t="shared" ref="O197:P197" si="56">O196+1</f>
        <v>105</v>
      </c>
      <c r="P197" s="71">
        <f t="shared" ca="1" si="56"/>
        <v>2905</v>
      </c>
    </row>
    <row r="198" spans="1:16" s="71" customFormat="1" ht="15.75" customHeight="1" x14ac:dyDescent="0.35">
      <c r="A198" s="94">
        <v>6</v>
      </c>
      <c r="B198" s="95"/>
      <c r="C198" s="26" t="s">
        <v>223</v>
      </c>
      <c r="D198" s="26">
        <f>(3.5*3.05+2.9*2.45+3.35*2.9+1.35*2.45+2.45*1.35+2.15*0.6+0.75*(3.35+2.9)+1.6*3.5)*10.764</f>
        <v>491.78024999999997</v>
      </c>
      <c r="E198" s="26">
        <v>0</v>
      </c>
      <c r="F198" s="26">
        <f t="shared" si="55"/>
        <v>762.2593875</v>
      </c>
      <c r="G198" s="98"/>
      <c r="H198" s="99"/>
      <c r="I198" s="52"/>
      <c r="N198" s="71" t="str">
        <f t="shared" ca="1" si="51"/>
        <v>106 to 2906</v>
      </c>
      <c r="O198" s="71">
        <f t="shared" ref="O198:P198" si="57">O197+1</f>
        <v>106</v>
      </c>
      <c r="P198" s="71">
        <f t="shared" ca="1" si="57"/>
        <v>2906</v>
      </c>
    </row>
    <row r="199" spans="1:16" s="71" customFormat="1" ht="15.75" customHeight="1" x14ac:dyDescent="0.35">
      <c r="A199" s="94">
        <v>7</v>
      </c>
      <c r="B199" s="95"/>
      <c r="C199" s="26" t="s">
        <v>223</v>
      </c>
      <c r="D199" s="26">
        <f>(3.05*3.5+2.45*2.9+1.6*2.9+2.45*1.35+1.35*2.45+1.4*0.6+1*2.9+1.75*2.9+1.6*3.5+0.75*2.9)*10.764</f>
        <v>491.10750000000007</v>
      </c>
      <c r="E199" s="26">
        <v>0</v>
      </c>
      <c r="F199" s="26">
        <f t="shared" si="55"/>
        <v>761.21662500000014</v>
      </c>
      <c r="G199" s="98"/>
      <c r="H199" s="99"/>
      <c r="I199" s="52"/>
      <c r="N199" s="71" t="str">
        <f t="shared" ca="1" si="51"/>
        <v>107 to 2907</v>
      </c>
      <c r="O199" s="71">
        <f t="shared" ref="O199:P199" si="58">O198+1</f>
        <v>107</v>
      </c>
      <c r="P199" s="71">
        <f t="shared" ca="1" si="58"/>
        <v>2907</v>
      </c>
    </row>
    <row r="200" spans="1:16" s="71" customFormat="1" ht="15.75" customHeight="1" x14ac:dyDescent="0.35">
      <c r="A200" s="94">
        <v>8</v>
      </c>
      <c r="B200" s="95"/>
      <c r="C200" s="26" t="s">
        <v>190</v>
      </c>
      <c r="D200" s="26">
        <f>(3.05*3.5+3*1.55+2.75*2.45+3.2*2.9+3.35*2.45+0.9*3.8+2.45*1.35+1.35*2.45+2.15*0.6+0.6*1.25+1.6*2.7+2.9*0.4+3.35*0.75)*10.764</f>
        <v>641.72276999999997</v>
      </c>
      <c r="E200" s="26">
        <v>0</v>
      </c>
      <c r="F200" s="26">
        <f t="shared" si="55"/>
        <v>994.67029349999996</v>
      </c>
      <c r="G200" s="100"/>
      <c r="H200" s="101"/>
      <c r="I200" s="52"/>
      <c r="N200" s="71" t="str">
        <f t="shared" ca="1" si="51"/>
        <v>108 to 2908</v>
      </c>
      <c r="O200" s="71">
        <f t="shared" ref="O200:P200" si="59">O199+1</f>
        <v>108</v>
      </c>
      <c r="P200" s="71">
        <f t="shared" ca="1" si="59"/>
        <v>2908</v>
      </c>
    </row>
    <row r="201" spans="1:16" s="71" customFormat="1" ht="15.75" customHeight="1" x14ac:dyDescent="0.35">
      <c r="A201" s="89" t="s">
        <v>191</v>
      </c>
      <c r="B201" s="89"/>
      <c r="C201" s="89"/>
      <c r="D201" s="89"/>
      <c r="E201" s="89"/>
      <c r="F201" s="89"/>
      <c r="G201" s="89"/>
      <c r="H201" s="89"/>
      <c r="I201" s="52"/>
      <c r="P201" s="53"/>
    </row>
    <row r="202" spans="1:16" s="71" customFormat="1" ht="15.75" customHeight="1" x14ac:dyDescent="0.35">
      <c r="A202" s="88">
        <v>1</v>
      </c>
      <c r="B202" s="88"/>
      <c r="C202" s="26" t="s">
        <v>223</v>
      </c>
      <c r="D202" s="26">
        <f>(3.5*3.05+2.9*2.45+3.35*2.9+1.35*2.45+2.45*1.35+2.15*0.6+1.6*3.5+(3.35+2.9)*0.75)*10.764</f>
        <v>491.78024999999997</v>
      </c>
      <c r="E202" s="26">
        <v>0</v>
      </c>
      <c r="F202" s="26">
        <f t="shared" ref="F202:F203" si="60">D202*(($F$149)+1)+E202</f>
        <v>762.2593875</v>
      </c>
      <c r="G202" s="88" t="str">
        <f>A201</f>
        <v>9th, 13th, 18th, 23rd &amp; 28th Floor (Part Refuge Area)</v>
      </c>
      <c r="H202" s="88"/>
      <c r="I202" s="52">
        <f>8523200/F202</f>
        <v>11181.495616542998</v>
      </c>
      <c r="N202" s="71" t="str">
        <f t="shared" ref="N202:N209" ca="1" si="61">O202&amp;""&amp;" to "&amp;""&amp;P202</f>
        <v>101 to 2801</v>
      </c>
      <c r="O202" s="71">
        <v>101</v>
      </c>
      <c r="P202" s="71">
        <f ca="1">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2801</v>
      </c>
    </row>
    <row r="203" spans="1:16" s="71" customFormat="1" ht="15.75" customHeight="1" x14ac:dyDescent="0.35">
      <c r="A203" s="88">
        <v>2</v>
      </c>
      <c r="B203" s="88"/>
      <c r="C203" s="26" t="s">
        <v>223</v>
      </c>
      <c r="D203" s="26">
        <f>(3.5*3.05+2.9*2.45+3.35*2.9+1.35*2.45+2.45*1.35+2.15*0.6+0.75*(3.35+2.9)+1.6*3.5)*10.764</f>
        <v>491.78024999999997</v>
      </c>
      <c r="E203" s="26">
        <v>0</v>
      </c>
      <c r="F203" s="26">
        <f t="shared" si="60"/>
        <v>762.2593875</v>
      </c>
      <c r="G203" s="88"/>
      <c r="H203" s="88"/>
      <c r="I203" s="52" t="s">
        <v>231</v>
      </c>
      <c r="N203" s="71" t="str">
        <f t="shared" ca="1" si="61"/>
        <v>102 to 2802</v>
      </c>
      <c r="O203" s="71">
        <f t="shared" ref="O203:P203" si="62">O202+1</f>
        <v>102</v>
      </c>
      <c r="P203" s="71">
        <f t="shared" ca="1" si="62"/>
        <v>2802</v>
      </c>
    </row>
    <row r="204" spans="1:16" s="71" customFormat="1" ht="15.75" customHeight="1" x14ac:dyDescent="0.35">
      <c r="A204" s="88">
        <v>3</v>
      </c>
      <c r="B204" s="88"/>
      <c r="C204" s="88" t="s">
        <v>192</v>
      </c>
      <c r="D204" s="88"/>
      <c r="E204" s="88"/>
      <c r="F204" s="88"/>
      <c r="G204" s="88"/>
      <c r="H204" s="88"/>
      <c r="I204" s="52"/>
      <c r="N204" s="71" t="str">
        <f t="shared" ca="1" si="61"/>
        <v>103 to 2803</v>
      </c>
      <c r="O204" s="71">
        <f t="shared" ref="O204:P204" si="63">O203+1</f>
        <v>103</v>
      </c>
      <c r="P204" s="71">
        <f t="shared" ca="1" si="63"/>
        <v>2803</v>
      </c>
    </row>
    <row r="205" spans="1:16" s="71" customFormat="1" ht="15.75" customHeight="1" x14ac:dyDescent="0.35">
      <c r="A205" s="88">
        <v>4</v>
      </c>
      <c r="B205" s="88"/>
      <c r="C205" s="88"/>
      <c r="D205" s="88"/>
      <c r="E205" s="88"/>
      <c r="F205" s="88"/>
      <c r="G205" s="88"/>
      <c r="H205" s="88"/>
      <c r="I205" s="52"/>
      <c r="N205" s="71" t="str">
        <f t="shared" ca="1" si="61"/>
        <v>104 to 2804</v>
      </c>
      <c r="O205" s="71">
        <f t="shared" ref="O205:P205" si="64">O204+1</f>
        <v>104</v>
      </c>
      <c r="P205" s="71">
        <f t="shared" ca="1" si="64"/>
        <v>2804</v>
      </c>
    </row>
    <row r="206" spans="1:16" s="71" customFormat="1" ht="15.75" customHeight="1" x14ac:dyDescent="0.35">
      <c r="A206" s="88">
        <v>5</v>
      </c>
      <c r="B206" s="88"/>
      <c r="C206" s="26" t="s">
        <v>223</v>
      </c>
      <c r="D206" s="26">
        <f>(3.5*3.05+2.9*2.45+3.35*2.9+1.35*2.45+2.45*1.35+2.15*0.6+1.6*3.5+(3.35+2.9)*0.75)*10.764</f>
        <v>491.78024999999997</v>
      </c>
      <c r="E206" s="26">
        <v>0</v>
      </c>
      <c r="F206" s="26">
        <f t="shared" ref="F206:F209" si="65">D206*(($F$149)+1)+E206</f>
        <v>762.2593875</v>
      </c>
      <c r="G206" s="88"/>
      <c r="H206" s="88"/>
      <c r="I206" s="52"/>
      <c r="N206" s="71" t="str">
        <f t="shared" ca="1" si="61"/>
        <v>105 to 2805</v>
      </c>
      <c r="O206" s="71">
        <f t="shared" ref="O206:P206" si="66">O205+1</f>
        <v>105</v>
      </c>
      <c r="P206" s="71">
        <f t="shared" ca="1" si="66"/>
        <v>2805</v>
      </c>
    </row>
    <row r="207" spans="1:16" s="71" customFormat="1" ht="15.75" customHeight="1" x14ac:dyDescent="0.35">
      <c r="A207" s="88">
        <v>6</v>
      </c>
      <c r="B207" s="88"/>
      <c r="C207" s="26" t="s">
        <v>223</v>
      </c>
      <c r="D207" s="26">
        <f>(3.5*3.05+2.9*2.45+3.35*2.9+1.35*2.45+2.45*1.35+2.15*0.6+0.75*(3.35+2.9)+1.6*3.5)*10.764</f>
        <v>491.78024999999997</v>
      </c>
      <c r="E207" s="26">
        <v>0</v>
      </c>
      <c r="F207" s="26">
        <f t="shared" si="65"/>
        <v>762.2593875</v>
      </c>
      <c r="G207" s="88"/>
      <c r="H207" s="88"/>
      <c r="I207" s="52"/>
      <c r="N207" s="71" t="str">
        <f t="shared" ca="1" si="61"/>
        <v>106 to 2806</v>
      </c>
      <c r="O207" s="71">
        <f t="shared" ref="O207:P207" si="67">O206+1</f>
        <v>106</v>
      </c>
      <c r="P207" s="71">
        <f t="shared" ca="1" si="67"/>
        <v>2806</v>
      </c>
    </row>
    <row r="208" spans="1:16" s="71" customFormat="1" ht="15.75" customHeight="1" x14ac:dyDescent="0.35">
      <c r="A208" s="88">
        <v>7</v>
      </c>
      <c r="B208" s="88"/>
      <c r="C208" s="26" t="s">
        <v>223</v>
      </c>
      <c r="D208" s="26">
        <f>(3.05*3.5+2.45*2.9+1.6*2.9+2.45*1.35+1.35*2.45+1.4*0.6+1*2.9+1.75*2.9+1.6*3.5+0.75*2.9)*10.764</f>
        <v>491.10750000000007</v>
      </c>
      <c r="E208" s="26">
        <v>0</v>
      </c>
      <c r="F208" s="26">
        <f t="shared" si="65"/>
        <v>761.21662500000014</v>
      </c>
      <c r="G208" s="88"/>
      <c r="H208" s="88"/>
      <c r="I208" s="52"/>
      <c r="N208" s="71" t="str">
        <f t="shared" ca="1" si="61"/>
        <v>107 to 2807</v>
      </c>
      <c r="O208" s="71">
        <f t="shared" ref="O208:P208" si="68">O207+1</f>
        <v>107</v>
      </c>
      <c r="P208" s="71">
        <f t="shared" ca="1" si="68"/>
        <v>2807</v>
      </c>
    </row>
    <row r="209" spans="1:16" s="71" customFormat="1" ht="15.75" customHeight="1" x14ac:dyDescent="0.35">
      <c r="A209" s="88">
        <v>8</v>
      </c>
      <c r="B209" s="88"/>
      <c r="C209" s="26" t="s">
        <v>190</v>
      </c>
      <c r="D209" s="26">
        <f>(3.05*3.5+3*1.55+2.75*2.45+3.2*2.9+3.35*2.45+0.9*3.8+2.45*1.35+1.35*2.45+2.15*0.6+0.6*1.25+1.6*2.7+2.9*0.4+3.35*0.75)*10.764</f>
        <v>641.72276999999997</v>
      </c>
      <c r="E209" s="26">
        <v>0</v>
      </c>
      <c r="F209" s="26">
        <f t="shared" si="65"/>
        <v>994.67029349999996</v>
      </c>
      <c r="G209" s="88"/>
      <c r="H209" s="88"/>
      <c r="I209" s="52"/>
      <c r="N209" s="71" t="str">
        <f t="shared" ca="1" si="61"/>
        <v>108 to 2808</v>
      </c>
      <c r="O209" s="71">
        <f t="shared" ref="O209:P209" si="69">O208+1</f>
        <v>108</v>
      </c>
      <c r="P209" s="71">
        <f t="shared" ca="1" si="69"/>
        <v>2808</v>
      </c>
    </row>
    <row r="210" spans="1:16" s="51" customFormat="1" x14ac:dyDescent="0.35">
      <c r="A210" s="154" t="s">
        <v>77</v>
      </c>
      <c r="B210" s="154"/>
      <c r="C210" s="154"/>
      <c r="D210" s="154"/>
      <c r="E210" s="154"/>
      <c r="F210" s="154"/>
      <c r="G210" s="154"/>
      <c r="H210" s="154"/>
    </row>
    <row r="211" spans="1:16" s="51" customFormat="1" x14ac:dyDescent="0.35">
      <c r="A211" s="27">
        <v>1</v>
      </c>
      <c r="B211" s="120" t="s">
        <v>249</v>
      </c>
      <c r="C211" s="120"/>
      <c r="D211" s="120"/>
      <c r="E211" s="120"/>
      <c r="F211" s="120"/>
      <c r="G211" s="120"/>
      <c r="H211" s="120"/>
    </row>
    <row r="212" spans="1:16" s="51" customFormat="1" x14ac:dyDescent="0.35">
      <c r="A212" s="27">
        <f>A211+1</f>
        <v>2</v>
      </c>
      <c r="B212" s="120" t="s">
        <v>210</v>
      </c>
      <c r="C212" s="120"/>
      <c r="D212" s="120"/>
      <c r="E212" s="120"/>
      <c r="F212" s="120"/>
      <c r="G212" s="120"/>
      <c r="H212" s="120"/>
    </row>
    <row r="213" spans="1:16" s="51" customFormat="1" x14ac:dyDescent="0.35">
      <c r="A213" s="27">
        <f t="shared" ref="A213:A216" si="70">A212+1</f>
        <v>3</v>
      </c>
      <c r="B213" s="120" t="s">
        <v>162</v>
      </c>
      <c r="C213" s="120"/>
      <c r="D213" s="120"/>
      <c r="E213" s="120"/>
      <c r="F213" s="120"/>
      <c r="G213" s="120"/>
      <c r="H213" s="120"/>
    </row>
    <row r="214" spans="1:16" s="51" customFormat="1" x14ac:dyDescent="0.35">
      <c r="A214" s="65">
        <f t="shared" si="70"/>
        <v>4</v>
      </c>
      <c r="B214" s="116" t="s">
        <v>211</v>
      </c>
      <c r="C214" s="117"/>
      <c r="D214" s="117"/>
      <c r="E214" s="117"/>
      <c r="F214" s="117"/>
      <c r="G214" s="117"/>
      <c r="H214" s="118"/>
    </row>
    <row r="215" spans="1:16" s="51" customFormat="1" x14ac:dyDescent="0.35">
      <c r="A215" s="65">
        <f t="shared" si="70"/>
        <v>5</v>
      </c>
      <c r="B215" s="116" t="s">
        <v>163</v>
      </c>
      <c r="C215" s="117"/>
      <c r="D215" s="117"/>
      <c r="E215" s="117"/>
      <c r="F215" s="117"/>
      <c r="G215" s="117"/>
      <c r="H215" s="118"/>
    </row>
    <row r="216" spans="1:16" s="51" customFormat="1" ht="31.5" customHeight="1" x14ac:dyDescent="0.35">
      <c r="A216" s="65">
        <f t="shared" si="70"/>
        <v>6</v>
      </c>
      <c r="B216" s="116" t="s">
        <v>232</v>
      </c>
      <c r="C216" s="117"/>
      <c r="D216" s="117"/>
      <c r="E216" s="117"/>
      <c r="F216" s="117"/>
      <c r="G216" s="117"/>
      <c r="H216" s="118"/>
    </row>
    <row r="217" spans="1:16" s="51" customFormat="1" x14ac:dyDescent="0.35">
      <c r="A217" s="65">
        <v>7</v>
      </c>
      <c r="B217" s="116" t="s">
        <v>164</v>
      </c>
      <c r="C217" s="117"/>
      <c r="D217" s="117"/>
      <c r="E217" s="117"/>
      <c r="F217" s="117"/>
      <c r="G217" s="117"/>
      <c r="H217" s="118"/>
    </row>
    <row r="218" spans="1:16" s="51" customFormat="1" hidden="1" x14ac:dyDescent="0.35">
      <c r="A218" s="65">
        <v>8</v>
      </c>
      <c r="B218" s="82" t="s">
        <v>226</v>
      </c>
      <c r="C218" s="83"/>
      <c r="D218" s="83"/>
      <c r="E218" s="83"/>
      <c r="F218" s="83"/>
      <c r="G218" s="83"/>
      <c r="H218" s="84"/>
    </row>
    <row r="219" spans="1:16" s="51" customFormat="1" x14ac:dyDescent="0.35">
      <c r="A219" s="65">
        <v>8</v>
      </c>
      <c r="B219" s="82" t="s">
        <v>242</v>
      </c>
      <c r="C219" s="83"/>
      <c r="D219" s="83"/>
      <c r="E219" s="83"/>
      <c r="F219" s="83"/>
      <c r="G219" s="83"/>
      <c r="H219" s="84"/>
    </row>
    <row r="220" spans="1:16" s="51" customFormat="1" x14ac:dyDescent="0.35">
      <c r="A220" s="65">
        <v>9</v>
      </c>
      <c r="B220" s="82" t="s">
        <v>216</v>
      </c>
      <c r="C220" s="83"/>
      <c r="D220" s="83"/>
      <c r="E220" s="83"/>
      <c r="F220" s="83"/>
      <c r="G220" s="83"/>
      <c r="H220" s="84"/>
    </row>
    <row r="221" spans="1:16" s="51" customFormat="1" x14ac:dyDescent="0.35">
      <c r="A221" s="65">
        <v>10</v>
      </c>
      <c r="B221" s="82" t="s">
        <v>230</v>
      </c>
      <c r="C221" s="83"/>
      <c r="D221" s="83"/>
      <c r="E221" s="83"/>
      <c r="F221" s="83"/>
      <c r="G221" s="83"/>
      <c r="H221" s="84"/>
    </row>
    <row r="222" spans="1:16" s="51" customFormat="1" x14ac:dyDescent="0.35">
      <c r="A222" s="72">
        <v>11</v>
      </c>
      <c r="B222" s="82" t="s">
        <v>240</v>
      </c>
      <c r="C222" s="83"/>
      <c r="D222" s="83"/>
      <c r="E222" s="83"/>
      <c r="F222" s="83"/>
      <c r="G222" s="83"/>
      <c r="H222" s="84"/>
    </row>
    <row r="223" spans="1:16" x14ac:dyDescent="0.35">
      <c r="A223" s="161" t="s">
        <v>70</v>
      </c>
      <c r="B223" s="161"/>
      <c r="C223" s="161"/>
      <c r="D223" s="161"/>
      <c r="E223" s="161"/>
      <c r="F223" s="161"/>
      <c r="G223" s="161"/>
      <c r="H223" s="161"/>
    </row>
    <row r="224" spans="1:16" x14ac:dyDescent="0.35">
      <c r="A224" s="127" t="s">
        <v>71</v>
      </c>
      <c r="B224" s="127"/>
      <c r="C224" s="127"/>
      <c r="D224" s="127"/>
      <c r="E224" s="127"/>
      <c r="F224" s="127"/>
      <c r="G224" s="127"/>
      <c r="H224" s="127"/>
    </row>
    <row r="225" spans="1:8" ht="15.75" customHeight="1" x14ac:dyDescent="0.35">
      <c r="A225" s="177" t="s">
        <v>72</v>
      </c>
      <c r="B225" s="177"/>
      <c r="C225" s="177"/>
      <c r="D225" s="177"/>
      <c r="E225" s="177"/>
      <c r="F225" s="177"/>
      <c r="G225" s="177"/>
      <c r="H225" s="177"/>
    </row>
    <row r="226" spans="1:8" x14ac:dyDescent="0.35">
      <c r="A226" s="127" t="s">
        <v>73</v>
      </c>
      <c r="B226" s="127"/>
      <c r="C226" s="127"/>
      <c r="D226" s="127"/>
      <c r="E226" s="127"/>
      <c r="F226" s="127"/>
      <c r="G226" s="127"/>
      <c r="H226" s="127"/>
    </row>
    <row r="227" spans="1:8" x14ac:dyDescent="0.35">
      <c r="A227" s="127" t="s">
        <v>74</v>
      </c>
      <c r="B227" s="127"/>
      <c r="C227" s="127"/>
      <c r="D227" s="127"/>
      <c r="E227" s="127"/>
      <c r="F227" s="127"/>
      <c r="G227" s="127"/>
      <c r="H227" s="127"/>
    </row>
    <row r="228" spans="1:8" x14ac:dyDescent="0.35">
      <c r="A228" s="127" t="s">
        <v>165</v>
      </c>
      <c r="B228" s="127"/>
      <c r="C228" s="127"/>
      <c r="D228" s="127"/>
      <c r="E228" s="127"/>
      <c r="F228" s="127"/>
      <c r="G228" s="127"/>
      <c r="H228" s="127"/>
    </row>
    <row r="229" spans="1:8" ht="35.25" customHeight="1" x14ac:dyDescent="0.35">
      <c r="A229" s="136" t="s">
        <v>166</v>
      </c>
      <c r="B229" s="136"/>
      <c r="C229" s="136"/>
      <c r="D229" s="136"/>
      <c r="E229" s="136"/>
      <c r="F229" s="136"/>
      <c r="G229" s="136"/>
      <c r="H229" s="136"/>
    </row>
    <row r="230" spans="1:8" x14ac:dyDescent="0.35">
      <c r="A230" s="152" t="s">
        <v>107</v>
      </c>
      <c r="B230" s="152"/>
      <c r="C230" s="152" t="s">
        <v>246</v>
      </c>
      <c r="D230" s="152"/>
      <c r="E230" s="152" t="s">
        <v>142</v>
      </c>
      <c r="F230" s="152"/>
      <c r="G230" s="152" t="s">
        <v>248</v>
      </c>
      <c r="H230" s="152"/>
    </row>
    <row r="231" spans="1:8" x14ac:dyDescent="0.35">
      <c r="A231" s="151" t="s">
        <v>109</v>
      </c>
      <c r="B231" s="151"/>
      <c r="C231" s="151"/>
      <c r="D231" s="151"/>
      <c r="E231" s="151"/>
      <c r="F231" s="151"/>
      <c r="G231" s="151"/>
      <c r="H231" s="151"/>
    </row>
    <row r="232" spans="1:8" x14ac:dyDescent="0.35">
      <c r="A232" s="151"/>
      <c r="B232" s="151"/>
      <c r="C232" s="151"/>
      <c r="D232" s="151"/>
      <c r="E232" s="151"/>
      <c r="F232" s="151"/>
      <c r="G232" s="151"/>
      <c r="H232" s="151"/>
    </row>
    <row r="233" spans="1:8" x14ac:dyDescent="0.35">
      <c r="A233" s="151"/>
      <c r="B233" s="151"/>
      <c r="C233" s="151"/>
      <c r="D233" s="151"/>
      <c r="E233" s="151"/>
      <c r="F233" s="151"/>
      <c r="G233" s="151"/>
      <c r="H233" s="151"/>
    </row>
    <row r="234" spans="1:8" x14ac:dyDescent="0.35">
      <c r="A234" s="151"/>
      <c r="B234" s="151"/>
      <c r="C234" s="151"/>
      <c r="D234" s="151"/>
      <c r="E234" s="151"/>
      <c r="F234" s="151"/>
      <c r="G234" s="151"/>
      <c r="H234" s="151"/>
    </row>
    <row r="235" spans="1:8" x14ac:dyDescent="0.35">
      <c r="A235" s="54" t="s">
        <v>75</v>
      </c>
      <c r="B235" s="55"/>
      <c r="C235" s="55"/>
      <c r="D235" s="54" t="str">
        <f>E8</f>
        <v>Unique Vistas</v>
      </c>
      <c r="F235" s="55"/>
      <c r="G235" s="55"/>
      <c r="H235" s="55"/>
    </row>
    <row r="236" spans="1:8" x14ac:dyDescent="0.35">
      <c r="A236" s="55"/>
      <c r="B236" s="55"/>
      <c r="C236" s="55"/>
      <c r="D236" s="55"/>
      <c r="E236" s="55"/>
      <c r="F236" s="55"/>
      <c r="G236" s="55"/>
      <c r="H236" s="55"/>
    </row>
    <row r="237" spans="1:8" x14ac:dyDescent="0.35">
      <c r="A237" s="55"/>
      <c r="B237" s="55"/>
      <c r="C237" s="55"/>
      <c r="D237" s="55"/>
      <c r="E237" s="55"/>
      <c r="F237" s="55"/>
      <c r="G237" s="55"/>
      <c r="H237" s="55"/>
    </row>
    <row r="238" spans="1:8" ht="15" customHeight="1" x14ac:dyDescent="0.35"/>
    <row r="280" spans="1:1" x14ac:dyDescent="0.35">
      <c r="A280" s="57" t="s">
        <v>76</v>
      </c>
    </row>
  </sheetData>
  <mergeCells count="393">
    <mergeCell ref="A93:B93"/>
    <mergeCell ref="E93:F102"/>
    <mergeCell ref="G93:H102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D55:H55"/>
    <mergeCell ref="A89:B89"/>
    <mergeCell ref="C89:H89"/>
    <mergeCell ref="A91:B91"/>
    <mergeCell ref="C91:H91"/>
    <mergeCell ref="A92:B92"/>
    <mergeCell ref="E92:F92"/>
    <mergeCell ref="G92:H92"/>
    <mergeCell ref="D57:H57"/>
    <mergeCell ref="E65:F74"/>
    <mergeCell ref="G65:H74"/>
    <mergeCell ref="A73:B73"/>
    <mergeCell ref="A74:B74"/>
    <mergeCell ref="D58:H58"/>
    <mergeCell ref="A72:B72"/>
    <mergeCell ref="D56:H56"/>
    <mergeCell ref="A54:C56"/>
    <mergeCell ref="A170:H170"/>
    <mergeCell ref="A150:H150"/>
    <mergeCell ref="G126:H126"/>
    <mergeCell ref="A128:B128"/>
    <mergeCell ref="C128:D128"/>
    <mergeCell ref="E128:F128"/>
    <mergeCell ref="G128:H128"/>
    <mergeCell ref="A161:H161"/>
    <mergeCell ref="A151:H151"/>
    <mergeCell ref="A152:H152"/>
    <mergeCell ref="A153:B153"/>
    <mergeCell ref="G153:H160"/>
    <mergeCell ref="A154:B154"/>
    <mergeCell ref="A155:B155"/>
    <mergeCell ref="A156:B156"/>
    <mergeCell ref="A157:B157"/>
    <mergeCell ref="A158:B158"/>
    <mergeCell ref="A159:B159"/>
    <mergeCell ref="A160:B160"/>
    <mergeCell ref="A136:B136"/>
    <mergeCell ref="A137:B137"/>
    <mergeCell ref="A138:B138"/>
    <mergeCell ref="A142:B142"/>
    <mergeCell ref="G142:H142"/>
    <mergeCell ref="L146:M146"/>
    <mergeCell ref="A179:B179"/>
    <mergeCell ref="A180:B180"/>
    <mergeCell ref="A148:B149"/>
    <mergeCell ref="A188:B188"/>
    <mergeCell ref="A189:B189"/>
    <mergeCell ref="C184:F185"/>
    <mergeCell ref="A146:B146"/>
    <mergeCell ref="G146:H146"/>
    <mergeCell ref="A147:H147"/>
    <mergeCell ref="A178:B178"/>
    <mergeCell ref="A173:B173"/>
    <mergeCell ref="A174:B174"/>
    <mergeCell ref="A175:B175"/>
    <mergeCell ref="A187:B187"/>
    <mergeCell ref="A176:B176"/>
    <mergeCell ref="A177:B177"/>
    <mergeCell ref="A186:B186"/>
    <mergeCell ref="A185:B185"/>
    <mergeCell ref="A182:B182"/>
    <mergeCell ref="G182:H189"/>
    <mergeCell ref="G173:H180"/>
    <mergeCell ref="C162:F163"/>
    <mergeCell ref="A169:B169"/>
    <mergeCell ref="E39:H39"/>
    <mergeCell ref="A39:D39"/>
    <mergeCell ref="A228:H228"/>
    <mergeCell ref="A225:H225"/>
    <mergeCell ref="A124:B124"/>
    <mergeCell ref="D148:D149"/>
    <mergeCell ref="E148:E149"/>
    <mergeCell ref="G148:H149"/>
    <mergeCell ref="A70:B70"/>
    <mergeCell ref="F107:H107"/>
    <mergeCell ref="A104:H104"/>
    <mergeCell ref="A105:B105"/>
    <mergeCell ref="A106:H106"/>
    <mergeCell ref="G122:H122"/>
    <mergeCell ref="A45:B45"/>
    <mergeCell ref="C45:E45"/>
    <mergeCell ref="G45:H45"/>
    <mergeCell ref="G47:H47"/>
    <mergeCell ref="D51:H51"/>
    <mergeCell ref="C47:E47"/>
    <mergeCell ref="D54:H54"/>
    <mergeCell ref="C46:E46"/>
    <mergeCell ref="A49:B49"/>
    <mergeCell ref="A46:B46"/>
    <mergeCell ref="A50:H50"/>
    <mergeCell ref="A51:C51"/>
    <mergeCell ref="A52:C52"/>
    <mergeCell ref="D52:H52"/>
    <mergeCell ref="G49:H49"/>
    <mergeCell ref="C48:H48"/>
    <mergeCell ref="A223:H223"/>
    <mergeCell ref="A60:C60"/>
    <mergeCell ref="D60:H60"/>
    <mergeCell ref="A65:B65"/>
    <mergeCell ref="G64:H64"/>
    <mergeCell ref="A63:B63"/>
    <mergeCell ref="A61:B61"/>
    <mergeCell ref="C61:H61"/>
    <mergeCell ref="A69:B69"/>
    <mergeCell ref="A59:C59"/>
    <mergeCell ref="D59:H59"/>
    <mergeCell ref="C63:H63"/>
    <mergeCell ref="A66:B66"/>
    <mergeCell ref="A68:B68"/>
    <mergeCell ref="E64:F64"/>
    <mergeCell ref="A57:C57"/>
    <mergeCell ref="A133:H133"/>
    <mergeCell ref="A58:C58"/>
    <mergeCell ref="A224:H224"/>
    <mergeCell ref="E124:F124"/>
    <mergeCell ref="E121:F121"/>
    <mergeCell ref="A103:E103"/>
    <mergeCell ref="F103:H103"/>
    <mergeCell ref="A129:H129"/>
    <mergeCell ref="A121:B121"/>
    <mergeCell ref="F114:H114"/>
    <mergeCell ref="C121:D121"/>
    <mergeCell ref="F110:H110"/>
    <mergeCell ref="F117:H117"/>
    <mergeCell ref="F115:H115"/>
    <mergeCell ref="A183:B183"/>
    <mergeCell ref="A130:H130"/>
    <mergeCell ref="G121:H121"/>
    <mergeCell ref="A116:E116"/>
    <mergeCell ref="B131:B132"/>
    <mergeCell ref="A131:A132"/>
    <mergeCell ref="C105:H105"/>
    <mergeCell ref="F108:H108"/>
    <mergeCell ref="A141:B141"/>
    <mergeCell ref="A135:B135"/>
    <mergeCell ref="F111:H111"/>
    <mergeCell ref="E125:F125"/>
    <mergeCell ref="A231:H234"/>
    <mergeCell ref="A230:B230"/>
    <mergeCell ref="E230:F230"/>
    <mergeCell ref="C230:D230"/>
    <mergeCell ref="G230:H230"/>
    <mergeCell ref="A120:H120"/>
    <mergeCell ref="A118:E118"/>
    <mergeCell ref="F118:H118"/>
    <mergeCell ref="A119:E119"/>
    <mergeCell ref="F119:H119"/>
    <mergeCell ref="A125:B125"/>
    <mergeCell ref="A184:B184"/>
    <mergeCell ref="A226:H226"/>
    <mergeCell ref="A123:H123"/>
    <mergeCell ref="A229:H229"/>
    <mergeCell ref="A227:H227"/>
    <mergeCell ref="A210:H210"/>
    <mergeCell ref="C131:C132"/>
    <mergeCell ref="A172:H172"/>
    <mergeCell ref="A181:H181"/>
    <mergeCell ref="C148:C149"/>
    <mergeCell ref="A171:H171"/>
    <mergeCell ref="A140:B140"/>
    <mergeCell ref="C125:D12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1:B71"/>
    <mergeCell ref="A64:B64"/>
    <mergeCell ref="A67:B67"/>
    <mergeCell ref="C49:E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F109:H109"/>
    <mergeCell ref="A114:E114"/>
    <mergeCell ref="A122:B122"/>
    <mergeCell ref="C122:D122"/>
    <mergeCell ref="E122:F122"/>
    <mergeCell ref="A108:E108"/>
    <mergeCell ref="A117:E117"/>
    <mergeCell ref="A109:E109"/>
    <mergeCell ref="C124:D124"/>
    <mergeCell ref="G124:H124"/>
    <mergeCell ref="A134:H134"/>
    <mergeCell ref="E131:E132"/>
    <mergeCell ref="G131:H132"/>
    <mergeCell ref="F116:H116"/>
    <mergeCell ref="D131:D132"/>
    <mergeCell ref="A110:E110"/>
    <mergeCell ref="A112:E112"/>
    <mergeCell ref="F112:H112"/>
    <mergeCell ref="A113:E113"/>
    <mergeCell ref="A115:E115"/>
    <mergeCell ref="A126:B126"/>
    <mergeCell ref="C126:D126"/>
    <mergeCell ref="E126:F126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L141:M141"/>
    <mergeCell ref="L140:M140"/>
    <mergeCell ref="G137:H137"/>
    <mergeCell ref="G135:H135"/>
    <mergeCell ref="G141:H141"/>
    <mergeCell ref="G140:H140"/>
    <mergeCell ref="G136:H136"/>
    <mergeCell ref="G139:H139"/>
    <mergeCell ref="G138:H138"/>
    <mergeCell ref="L139:M139"/>
    <mergeCell ref="L138:M138"/>
    <mergeCell ref="L137:M137"/>
    <mergeCell ref="L136:M136"/>
    <mergeCell ref="L135:M135"/>
    <mergeCell ref="L142:M142"/>
    <mergeCell ref="B216:H216"/>
    <mergeCell ref="B221:H221"/>
    <mergeCell ref="A139:B139"/>
    <mergeCell ref="A111:E111"/>
    <mergeCell ref="B217:H217"/>
    <mergeCell ref="B220:H220"/>
    <mergeCell ref="B211:H211"/>
    <mergeCell ref="B212:H212"/>
    <mergeCell ref="B213:H213"/>
    <mergeCell ref="B214:H214"/>
    <mergeCell ref="B215:H215"/>
    <mergeCell ref="B218:H218"/>
    <mergeCell ref="B219:H219"/>
    <mergeCell ref="G125:H125"/>
    <mergeCell ref="F113:H113"/>
    <mergeCell ref="A162:B162"/>
    <mergeCell ref="G162:H169"/>
    <mergeCell ref="A163:B163"/>
    <mergeCell ref="A164:B164"/>
    <mergeCell ref="A165:B165"/>
    <mergeCell ref="A166:B166"/>
    <mergeCell ref="A167:B167"/>
    <mergeCell ref="A168:B168"/>
    <mergeCell ref="A197:B197"/>
    <mergeCell ref="A198:B198"/>
    <mergeCell ref="A199:B199"/>
    <mergeCell ref="A200:B200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7:E107"/>
    <mergeCell ref="B222:H222"/>
    <mergeCell ref="A127:B127"/>
    <mergeCell ref="C127:D127"/>
    <mergeCell ref="E127:F127"/>
    <mergeCell ref="G127:H127"/>
    <mergeCell ref="A202:B202"/>
    <mergeCell ref="G202:H209"/>
    <mergeCell ref="A203:B203"/>
    <mergeCell ref="A204:B204"/>
    <mergeCell ref="A205:B205"/>
    <mergeCell ref="A206:B206"/>
    <mergeCell ref="A207:B207"/>
    <mergeCell ref="A208:B208"/>
    <mergeCell ref="A209:B209"/>
    <mergeCell ref="C204:F205"/>
    <mergeCell ref="A201:H201"/>
    <mergeCell ref="A190:H190"/>
    <mergeCell ref="A191:H191"/>
    <mergeCell ref="A192:H192"/>
    <mergeCell ref="A193:B193"/>
    <mergeCell ref="G193:H200"/>
    <mergeCell ref="A194:B194"/>
    <mergeCell ref="A195:B195"/>
    <mergeCell ref="A196:B196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&amp;P</oddFooter>
  </headerFooter>
  <rowBreaks count="3" manualBreakCount="3">
    <brk id="74" max="16383" man="1"/>
    <brk id="234" max="16383" man="1"/>
    <brk id="2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78</v>
      </c>
      <c r="C2" s="203"/>
      <c r="D2" s="203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79</v>
      </c>
      <c r="B4" s="3" t="s">
        <v>80</v>
      </c>
      <c r="C4" s="204" t="s">
        <v>81</v>
      </c>
      <c r="D4" s="204"/>
      <c r="E4" s="204"/>
      <c r="F4" s="4"/>
      <c r="G4" s="204" t="s">
        <v>82</v>
      </c>
      <c r="H4" s="204"/>
      <c r="I4" s="204"/>
      <c r="J4" s="204" t="s">
        <v>83</v>
      </c>
      <c r="K4" s="204"/>
      <c r="L4" s="204"/>
    </row>
    <row r="5" spans="1:12" x14ac:dyDescent="0.35">
      <c r="A5" s="1">
        <v>202</v>
      </c>
      <c r="B5" s="3"/>
      <c r="C5" s="3" t="s">
        <v>84</v>
      </c>
      <c r="D5" s="3" t="s">
        <v>85</v>
      </c>
      <c r="E5" s="3" t="s">
        <v>62</v>
      </c>
      <c r="F5" s="3"/>
      <c r="G5" s="3" t="s">
        <v>84</v>
      </c>
      <c r="H5" s="3" t="s">
        <v>85</v>
      </c>
      <c r="I5" s="3" t="s">
        <v>62</v>
      </c>
      <c r="J5" s="3" t="s">
        <v>84</v>
      </c>
      <c r="K5" s="3" t="s">
        <v>85</v>
      </c>
      <c r="L5" s="3" t="s">
        <v>62</v>
      </c>
    </row>
    <row r="6" spans="1:12" x14ac:dyDescent="0.35">
      <c r="B6" s="5" t="s">
        <v>86</v>
      </c>
      <c r="C6" s="5"/>
      <c r="D6" s="5"/>
      <c r="E6" s="5">
        <f>C6*D6</f>
        <v>0</v>
      </c>
      <c r="F6" s="5" t="s">
        <v>87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88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89</v>
      </c>
      <c r="C9" s="5"/>
      <c r="D9" s="5"/>
      <c r="E9" s="5">
        <f t="shared" si="0"/>
        <v>0</v>
      </c>
      <c r="F9" s="5" t="s">
        <v>87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88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90</v>
      </c>
      <c r="C13" s="5"/>
      <c r="D13" s="5"/>
      <c r="E13" s="5">
        <f t="shared" si="0"/>
        <v>0</v>
      </c>
      <c r="F13" s="5" t="s">
        <v>87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88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91</v>
      </c>
      <c r="C17" s="5"/>
      <c r="D17" s="5"/>
      <c r="E17" s="5">
        <f t="shared" si="0"/>
        <v>0</v>
      </c>
      <c r="F17" s="5" t="s">
        <v>87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88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91</v>
      </c>
      <c r="C20" s="5"/>
      <c r="D20" s="5"/>
      <c r="E20" s="5">
        <f t="shared" si="0"/>
        <v>0</v>
      </c>
      <c r="F20" s="5" t="s">
        <v>87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88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92</v>
      </c>
      <c r="C23" s="5"/>
      <c r="D23" s="5"/>
      <c r="E23" s="5">
        <f t="shared" si="0"/>
        <v>0</v>
      </c>
      <c r="F23" s="5" t="s">
        <v>93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94</v>
      </c>
      <c r="C24" s="5"/>
      <c r="D24" s="5"/>
      <c r="E24" s="5">
        <f t="shared" si="0"/>
        <v>0</v>
      </c>
      <c r="F24" s="5" t="s">
        <v>93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95</v>
      </c>
      <c r="C25" s="5"/>
      <c r="D25" s="5"/>
      <c r="E25" s="5">
        <f t="shared" si="0"/>
        <v>0</v>
      </c>
      <c r="F25" s="5" t="s">
        <v>93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96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97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98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99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63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2" zoomScale="115" zoomScaleNormal="115" workbookViewId="0">
      <selection activeCell="B15" sqref="B15"/>
    </sheetView>
  </sheetViews>
  <sheetFormatPr defaultColWidth="8.7265625" defaultRowHeight="14.5" x14ac:dyDescent="0.35"/>
  <cols>
    <col min="1" max="1" width="8.7265625" style="7"/>
    <col min="2" max="2" width="22.1796875" style="7" customWidth="1"/>
    <col min="3" max="3" width="37" style="7" customWidth="1"/>
    <col min="4" max="5" width="11.453125" style="7" customWidth="1"/>
    <col min="6" max="6" width="14" style="7" customWidth="1"/>
    <col min="7" max="7" width="20" style="7" customWidth="1"/>
    <col min="8" max="8" width="16.453125" style="7" customWidth="1"/>
    <col min="9" max="16384" width="8.7265625" style="7"/>
  </cols>
  <sheetData>
    <row r="1" spans="1:9" ht="15" customHeight="1" x14ac:dyDescent="0.35">
      <c r="A1" s="6"/>
      <c r="B1" s="6"/>
      <c r="C1" s="6"/>
      <c r="D1" s="6"/>
      <c r="E1" s="6"/>
      <c r="F1" s="6"/>
      <c r="G1" s="6"/>
      <c r="H1" s="6"/>
    </row>
    <row r="2" spans="1:9" ht="15" customHeight="1" x14ac:dyDescent="0.3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5">
      <c r="A3" s="8"/>
      <c r="B3" s="205" t="s">
        <v>143</v>
      </c>
      <c r="C3" s="205"/>
      <c r="D3" s="205"/>
      <c r="E3" s="205"/>
      <c r="F3" s="205"/>
      <c r="G3" s="205"/>
      <c r="H3" s="205"/>
    </row>
    <row r="4" spans="1:9" x14ac:dyDescent="0.35">
      <c r="A4" s="8"/>
      <c r="B4" s="9" t="s">
        <v>144</v>
      </c>
      <c r="C4" s="9" t="s">
        <v>145</v>
      </c>
      <c r="D4" s="9" t="s">
        <v>79</v>
      </c>
      <c r="E4" s="9" t="s">
        <v>146</v>
      </c>
      <c r="F4" s="9" t="s">
        <v>153</v>
      </c>
      <c r="G4" s="9" t="s">
        <v>154</v>
      </c>
      <c r="H4" s="9" t="s">
        <v>147</v>
      </c>
    </row>
    <row r="5" spans="1:9" ht="15" customHeight="1" x14ac:dyDescent="0.35">
      <c r="A5" s="8"/>
      <c r="B5" s="11" t="s">
        <v>148</v>
      </c>
      <c r="C5" s="12"/>
      <c r="D5" s="11" t="s">
        <v>149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35">
      <c r="A6" s="8"/>
      <c r="B6" s="11" t="s">
        <v>148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5">
      <c r="A7" s="8"/>
      <c r="B7" s="11" t="s">
        <v>148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5">
      <c r="A8" s="8"/>
      <c r="B8" s="11" t="s">
        <v>148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5">
      <c r="A9" s="8"/>
      <c r="B9" s="11" t="s">
        <v>148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5">
      <c r="A10" s="8"/>
      <c r="B10" s="11" t="s">
        <v>150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5">
      <c r="A11" s="8"/>
      <c r="B11" s="11" t="s">
        <v>150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5">
      <c r="A12" s="8"/>
      <c r="B12" s="16" t="s">
        <v>151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5">
      <c r="A13" s="6"/>
      <c r="B13" s="16" t="s">
        <v>152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35">
      <c r="B14" s="6"/>
      <c r="C14" s="6"/>
      <c r="D14" s="6"/>
      <c r="E14" s="6"/>
    </row>
    <row r="15" spans="1:9" ht="15" customHeight="1" x14ac:dyDescent="0.35">
      <c r="B15" s="6"/>
      <c r="C15" s="6"/>
      <c r="D15" s="6"/>
      <c r="E15" s="6"/>
    </row>
    <row r="16" spans="1:9" ht="15" customHeight="1" x14ac:dyDescent="0.3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2024-10-16T04:47:51Z</cp:lastPrinted>
  <dcterms:created xsi:type="dcterms:W3CDTF">2019-07-16T09:29:46Z</dcterms:created>
  <dcterms:modified xsi:type="dcterms:W3CDTF">2025-08-22T07:14:43Z</dcterms:modified>
</cp:coreProperties>
</file>