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23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Report!$A$1:$H$512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7" i="1" l="1"/>
  <c r="C108" i="1" s="1"/>
  <c r="C109" i="1" l="1"/>
  <c r="C72" i="1"/>
  <c r="C93" i="1"/>
  <c r="G54" i="1"/>
  <c r="K136" i="1"/>
  <c r="J136" i="1"/>
  <c r="D356" i="1"/>
  <c r="F356" i="1" s="1"/>
  <c r="D355" i="1"/>
  <c r="F355" i="1" s="1"/>
  <c r="D354" i="1"/>
  <c r="F354" i="1" s="1"/>
  <c r="D353" i="1"/>
  <c r="F353" i="1" s="1"/>
  <c r="D352" i="1"/>
  <c r="F352" i="1" s="1"/>
  <c r="D351" i="1"/>
  <c r="F351" i="1" s="1"/>
  <c r="D350" i="1"/>
  <c r="F350" i="1" s="1"/>
  <c r="A349" i="1"/>
  <c r="A350" i="1" s="1"/>
  <c r="A351" i="1" s="1"/>
  <c r="A352" i="1" s="1"/>
  <c r="A353" i="1" s="1"/>
  <c r="A354" i="1" s="1"/>
  <c r="A355" i="1" s="1"/>
  <c r="A356" i="1" s="1"/>
  <c r="G348" i="1"/>
  <c r="D348" i="1"/>
  <c r="F348" i="1" s="1"/>
  <c r="D346" i="1"/>
  <c r="D345" i="1"/>
  <c r="D344" i="1"/>
  <c r="D343" i="1"/>
  <c r="D342" i="1"/>
  <c r="D341" i="1"/>
  <c r="D340" i="1"/>
  <c r="D339" i="1"/>
  <c r="D338" i="1"/>
  <c r="D334" i="1"/>
  <c r="D333" i="1"/>
  <c r="D332" i="1"/>
  <c r="D331" i="1"/>
  <c r="J353" i="1" l="1"/>
  <c r="I353" i="1"/>
  <c r="D330" i="1"/>
  <c r="D329" i="1"/>
  <c r="I330" i="1"/>
  <c r="I329" i="1"/>
  <c r="C139" i="1" l="1"/>
  <c r="E139" i="1"/>
  <c r="D198" i="1"/>
  <c r="F198" i="1" s="1"/>
  <c r="D197" i="1"/>
  <c r="F197" i="1" s="1"/>
  <c r="D196" i="1"/>
  <c r="F196" i="1" s="1"/>
  <c r="D195" i="1"/>
  <c r="F195" i="1" s="1"/>
  <c r="D194" i="1"/>
  <c r="F194" i="1" s="1"/>
  <c r="D193" i="1"/>
  <c r="F193" i="1" s="1"/>
  <c r="D192" i="1"/>
  <c r="F192" i="1" s="1"/>
  <c r="D191" i="1"/>
  <c r="F191" i="1" s="1"/>
  <c r="D190" i="1"/>
  <c r="F190" i="1" s="1"/>
  <c r="D189" i="1"/>
  <c r="F189" i="1" s="1"/>
  <c r="D188" i="1"/>
  <c r="F188" i="1" s="1"/>
  <c r="D187" i="1"/>
  <c r="F187" i="1" s="1"/>
  <c r="D186" i="1"/>
  <c r="D185" i="1"/>
  <c r="F185" i="1" s="1"/>
  <c r="D184" i="1"/>
  <c r="F184" i="1" s="1"/>
  <c r="D183" i="1"/>
  <c r="F183" i="1" s="1"/>
  <c r="D182" i="1"/>
  <c r="F182" i="1" s="1"/>
  <c r="D181" i="1"/>
  <c r="F186" i="1"/>
  <c r="I182" i="1"/>
  <c r="A182" i="1"/>
  <c r="A183" i="1" s="1"/>
  <c r="A184" i="1" s="1"/>
  <c r="A185" i="1" s="1"/>
  <c r="A186" i="1" s="1"/>
  <c r="A187" i="1" s="1"/>
  <c r="A188" i="1" s="1"/>
  <c r="A189" i="1" s="1"/>
  <c r="A191" i="1" s="1"/>
  <c r="A192" i="1" s="1"/>
  <c r="A193" i="1" s="1"/>
  <c r="A194" i="1" s="1"/>
  <c r="A195" i="1" s="1"/>
  <c r="A196" i="1" s="1"/>
  <c r="A197" i="1" s="1"/>
  <c r="A198" i="1" s="1"/>
  <c r="G181" i="1"/>
  <c r="F346" i="1"/>
  <c r="F345" i="1"/>
  <c r="F344" i="1"/>
  <c r="F343" i="1"/>
  <c r="F342" i="1"/>
  <c r="J343" i="1" s="1"/>
  <c r="F341" i="1"/>
  <c r="F340" i="1"/>
  <c r="F339" i="1"/>
  <c r="A339" i="1"/>
  <c r="A340" i="1" s="1"/>
  <c r="A341" i="1" s="1"/>
  <c r="A342" i="1" s="1"/>
  <c r="A343" i="1" s="1"/>
  <c r="A344" i="1" s="1"/>
  <c r="A345" i="1" s="1"/>
  <c r="A346" i="1" s="1"/>
  <c r="G338" i="1"/>
  <c r="F338" i="1"/>
  <c r="F334" i="1"/>
  <c r="F333" i="1"/>
  <c r="F332" i="1"/>
  <c r="F331" i="1"/>
  <c r="F330" i="1"/>
  <c r="F329" i="1"/>
  <c r="G328" i="1"/>
  <c r="D211" i="1"/>
  <c r="F211" i="1" s="1"/>
  <c r="D213" i="1"/>
  <c r="F213" i="1" s="1"/>
  <c r="D212" i="1"/>
  <c r="F212" i="1" s="1"/>
  <c r="D207" i="1"/>
  <c r="F207" i="1" s="1"/>
  <c r="K207" i="1" s="1"/>
  <c r="D206" i="1"/>
  <c r="F206" i="1" s="1"/>
  <c r="D240" i="1"/>
  <c r="F240" i="1" s="1"/>
  <c r="D239" i="1"/>
  <c r="F239" i="1" s="1"/>
  <c r="D238" i="1"/>
  <c r="F238" i="1" s="1"/>
  <c r="D237" i="1"/>
  <c r="F237" i="1" s="1"/>
  <c r="K237" i="1" s="1"/>
  <c r="D236" i="1"/>
  <c r="F236" i="1" s="1"/>
  <c r="D235" i="1"/>
  <c r="F235" i="1" s="1"/>
  <c r="K235" i="1" s="1"/>
  <c r="D234" i="1"/>
  <c r="F234" i="1" s="1"/>
  <c r="K234" i="1" s="1"/>
  <c r="J233" i="1"/>
  <c r="I233" i="1"/>
  <c r="G233" i="1"/>
  <c r="D233" i="1"/>
  <c r="F233" i="1" s="1"/>
  <c r="G206" i="1"/>
  <c r="K210" i="1"/>
  <c r="K208" i="1"/>
  <c r="J206" i="1"/>
  <c r="I206" i="1"/>
  <c r="C100" i="1"/>
  <c r="J112" i="1"/>
  <c r="J111" i="1"/>
  <c r="J110" i="1"/>
  <c r="H101" i="1"/>
  <c r="F181" i="1" l="1"/>
  <c r="G134" i="1" s="1"/>
  <c r="C134" i="1"/>
  <c r="E134" i="1"/>
  <c r="G139" i="1"/>
  <c r="I343" i="1"/>
  <c r="J105" i="1"/>
  <c r="J103" i="1"/>
  <c r="J100" i="1"/>
  <c r="J102" i="1" s="1"/>
  <c r="D113" i="1"/>
  <c r="D111" i="1"/>
  <c r="D109" i="1"/>
  <c r="D107" i="1"/>
  <c r="J106" i="1"/>
  <c r="J107" i="1" s="1"/>
  <c r="D112" i="1"/>
  <c r="D110" i="1"/>
  <c r="D108" i="1"/>
  <c r="D106" i="1"/>
  <c r="J104" i="1"/>
  <c r="E7" i="1"/>
  <c r="C78" i="1"/>
  <c r="F6" i="5"/>
  <c r="K268" i="1"/>
  <c r="J268" i="1"/>
  <c r="I135" i="1"/>
  <c r="I246" i="1"/>
  <c r="M249" i="1"/>
  <c r="M248" i="1"/>
  <c r="M247" i="1"/>
  <c r="M246" i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F153" i="1" s="1"/>
  <c r="D152" i="1"/>
  <c r="F152" i="1" s="1"/>
  <c r="D151" i="1"/>
  <c r="F151" i="1" s="1"/>
  <c r="D150" i="1"/>
  <c r="F150" i="1" s="1"/>
  <c r="I151" i="1"/>
  <c r="A151" i="1"/>
  <c r="A152" i="1" s="1"/>
  <c r="A153" i="1" s="1"/>
  <c r="A154" i="1" s="1"/>
  <c r="A155" i="1" s="1"/>
  <c r="A156" i="1" s="1"/>
  <c r="A157" i="1" s="1"/>
  <c r="A158" i="1" s="1"/>
  <c r="G150" i="1"/>
  <c r="D316" i="1"/>
  <c r="F316" i="1" s="1"/>
  <c r="D315" i="1"/>
  <c r="F315" i="1" s="1"/>
  <c r="D313" i="1"/>
  <c r="F313" i="1" s="1"/>
  <c r="D312" i="1"/>
  <c r="F312" i="1" s="1"/>
  <c r="D311" i="1"/>
  <c r="F311" i="1" s="1"/>
  <c r="D310" i="1"/>
  <c r="F310" i="1" s="1"/>
  <c r="D309" i="1"/>
  <c r="F309" i="1" s="1"/>
  <c r="D307" i="1"/>
  <c r="F307" i="1" s="1"/>
  <c r="D306" i="1"/>
  <c r="F306" i="1" s="1"/>
  <c r="D305" i="1"/>
  <c r="F305" i="1" s="1"/>
  <c r="D304" i="1"/>
  <c r="F304" i="1" s="1"/>
  <c r="D303" i="1"/>
  <c r="F303" i="1" s="1"/>
  <c r="D302" i="1"/>
  <c r="F302" i="1" s="1"/>
  <c r="D301" i="1"/>
  <c r="F301" i="1" s="1"/>
  <c r="D300" i="1"/>
  <c r="F300" i="1" s="1"/>
  <c r="G309" i="1"/>
  <c r="G300" i="1"/>
  <c r="D231" i="1"/>
  <c r="F231" i="1" s="1"/>
  <c r="D230" i="1"/>
  <c r="F230" i="1" s="1"/>
  <c r="D228" i="1"/>
  <c r="F228" i="1" s="1"/>
  <c r="D227" i="1"/>
  <c r="F227" i="1" s="1"/>
  <c r="D226" i="1"/>
  <c r="F226" i="1" s="1"/>
  <c r="D225" i="1"/>
  <c r="F225" i="1" s="1"/>
  <c r="D224" i="1"/>
  <c r="F224" i="1" s="1"/>
  <c r="D215" i="1"/>
  <c r="G224" i="1"/>
  <c r="D222" i="1"/>
  <c r="F222" i="1" s="1"/>
  <c r="D221" i="1"/>
  <c r="F221" i="1" s="1"/>
  <c r="D220" i="1"/>
  <c r="F220" i="1" s="1"/>
  <c r="D219" i="1"/>
  <c r="D218" i="1"/>
  <c r="D217" i="1"/>
  <c r="D216" i="1"/>
  <c r="J215" i="1"/>
  <c r="I215" i="1"/>
  <c r="E138" i="1" l="1"/>
  <c r="G132" i="1"/>
  <c r="J108" i="1"/>
  <c r="J109" i="1" s="1"/>
  <c r="G104" i="1" s="1"/>
  <c r="D104" i="1"/>
  <c r="C132" i="1"/>
  <c r="E132" i="1"/>
  <c r="C138" i="1"/>
  <c r="D296" i="1"/>
  <c r="F296" i="1" s="1"/>
  <c r="D295" i="1"/>
  <c r="F295" i="1" s="1"/>
  <c r="D294" i="1"/>
  <c r="F294" i="1" s="1"/>
  <c r="D293" i="1"/>
  <c r="F293" i="1" s="1"/>
  <c r="D292" i="1"/>
  <c r="F292" i="1" s="1"/>
  <c r="D291" i="1"/>
  <c r="F291" i="1" s="1"/>
  <c r="D290" i="1"/>
  <c r="F290" i="1" s="1"/>
  <c r="D289" i="1"/>
  <c r="F289" i="1" s="1"/>
  <c r="D286" i="1"/>
  <c r="F286" i="1" s="1"/>
  <c r="A286" i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G285" i="1"/>
  <c r="D285" i="1"/>
  <c r="F285" i="1" s="1"/>
  <c r="D283" i="1"/>
  <c r="F283" i="1" s="1"/>
  <c r="D282" i="1"/>
  <c r="F282" i="1" s="1"/>
  <c r="D281" i="1"/>
  <c r="F281" i="1" s="1"/>
  <c r="D280" i="1"/>
  <c r="F280" i="1" s="1"/>
  <c r="D279" i="1"/>
  <c r="F279" i="1" s="1"/>
  <c r="D278" i="1"/>
  <c r="F278" i="1" s="1"/>
  <c r="D277" i="1"/>
  <c r="D276" i="1"/>
  <c r="D275" i="1"/>
  <c r="D274" i="1"/>
  <c r="D273" i="1"/>
  <c r="D272" i="1"/>
  <c r="D268" i="1"/>
  <c r="F268" i="1" s="1"/>
  <c r="D267" i="1"/>
  <c r="F267" i="1" s="1"/>
  <c r="D266" i="1"/>
  <c r="F266" i="1" s="1"/>
  <c r="D265" i="1"/>
  <c r="F265" i="1" s="1"/>
  <c r="D264" i="1"/>
  <c r="F264" i="1" s="1"/>
  <c r="D263" i="1"/>
  <c r="D262" i="1"/>
  <c r="D261" i="1"/>
  <c r="D260" i="1"/>
  <c r="D259" i="1"/>
  <c r="D255" i="1"/>
  <c r="F255" i="1" s="1"/>
  <c r="D254" i="1"/>
  <c r="D253" i="1"/>
  <c r="D252" i="1"/>
  <c r="F252" i="1" s="1"/>
  <c r="D251" i="1"/>
  <c r="F251" i="1" s="1"/>
  <c r="D250" i="1"/>
  <c r="D249" i="1"/>
  <c r="D248" i="1"/>
  <c r="D247" i="1"/>
  <c r="D246" i="1"/>
  <c r="J250" i="1"/>
  <c r="I250" i="1"/>
  <c r="I164" i="1"/>
  <c r="D177" i="1"/>
  <c r="F177" i="1" s="1"/>
  <c r="D176" i="1"/>
  <c r="F176" i="1" s="1"/>
  <c r="D175" i="1"/>
  <c r="F175" i="1" s="1"/>
  <c r="D174" i="1"/>
  <c r="D173" i="1"/>
  <c r="D172" i="1"/>
  <c r="D171" i="1"/>
  <c r="D170" i="1"/>
  <c r="D169" i="1"/>
  <c r="D168" i="1"/>
  <c r="D167" i="1"/>
  <c r="D166" i="1"/>
  <c r="D165" i="1"/>
  <c r="D164" i="1"/>
  <c r="D163" i="1"/>
  <c r="J40" i="1"/>
  <c r="E140" i="1" l="1"/>
  <c r="E141" i="1" s="1"/>
  <c r="J113" i="1"/>
  <c r="J101" i="1" s="1"/>
  <c r="E104" i="1"/>
  <c r="D105" i="1"/>
  <c r="I101" i="1" s="1"/>
  <c r="F253" i="1"/>
  <c r="C140" i="1"/>
  <c r="C141" i="1" s="1"/>
  <c r="F254" i="1"/>
  <c r="E133" i="1"/>
  <c r="E135" i="1" s="1"/>
  <c r="C133" i="1"/>
  <c r="C135" i="1" s="1"/>
  <c r="F272" i="1"/>
  <c r="I102" i="1" l="1"/>
  <c r="I100" i="1" s="1"/>
  <c r="C102" i="1" s="1"/>
  <c r="F273" i="1"/>
  <c r="F163" i="1"/>
  <c r="F277" i="1" l="1"/>
  <c r="F276" i="1"/>
  <c r="F174" i="1"/>
  <c r="F173" i="1"/>
  <c r="F172" i="1"/>
  <c r="F171" i="1"/>
  <c r="F170" i="1"/>
  <c r="F169" i="1"/>
  <c r="F168" i="1"/>
  <c r="F167" i="1"/>
  <c r="J277" i="1" l="1"/>
  <c r="I277" i="1"/>
  <c r="B360" i="1"/>
  <c r="C13" i="1" l="1"/>
  <c r="E28" i="1" l="1"/>
  <c r="F274" i="1" l="1"/>
  <c r="F275" i="1"/>
  <c r="A273" i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G272" i="1"/>
  <c r="F127" i="1" l="1"/>
  <c r="F164" i="1" l="1"/>
  <c r="F165" i="1"/>
  <c r="F166" i="1"/>
  <c r="G133" i="1" l="1"/>
  <c r="G135" i="1" s="1"/>
  <c r="B359" i="1"/>
  <c r="A318" i="1"/>
  <c r="F322" i="1" l="1"/>
  <c r="F321" i="1"/>
  <c r="F320" i="1"/>
  <c r="F319" i="1"/>
  <c r="F318" i="1"/>
  <c r="F263" i="1"/>
  <c r="F262" i="1"/>
  <c r="F261" i="1"/>
  <c r="F260" i="1"/>
  <c r="F259" i="1"/>
  <c r="F219" i="1"/>
  <c r="K219" i="1" s="1"/>
  <c r="F218" i="1"/>
  <c r="F217" i="1"/>
  <c r="K217" i="1" s="1"/>
  <c r="F216" i="1"/>
  <c r="F215" i="1"/>
  <c r="F250" i="1"/>
  <c r="K250" i="1" s="1"/>
  <c r="F249" i="1"/>
  <c r="F247" i="1"/>
  <c r="F246" i="1"/>
  <c r="F248" i="1"/>
  <c r="A319" i="1"/>
  <c r="L233" i="1" l="1"/>
  <c r="M233" i="1" s="1"/>
  <c r="K216" i="1"/>
  <c r="L206" i="1"/>
  <c r="M206" i="1" s="1"/>
  <c r="L246" i="1"/>
  <c r="L215" i="1"/>
  <c r="M215" i="1" s="1"/>
  <c r="G138" i="1"/>
  <c r="G140" i="1"/>
  <c r="F11" i="5"/>
  <c r="G11" i="5" s="1"/>
  <c r="F10" i="5"/>
  <c r="G10" i="5" s="1"/>
  <c r="F9" i="5"/>
  <c r="G9" i="5" s="1"/>
  <c r="F8" i="5"/>
  <c r="G8" i="5" s="1"/>
  <c r="F7" i="5"/>
  <c r="G7" i="5" s="1"/>
  <c r="G6" i="5"/>
  <c r="F5" i="5"/>
  <c r="G5" i="5" s="1"/>
  <c r="D384" i="1"/>
  <c r="G318" i="1"/>
  <c r="G319" i="1" s="1"/>
  <c r="G320" i="1" s="1"/>
  <c r="G321" i="1" s="1"/>
  <c r="G322" i="1" s="1"/>
  <c r="G259" i="1"/>
  <c r="G215" i="1"/>
  <c r="G246" i="1"/>
  <c r="A247" i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164" i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G163" i="1"/>
  <c r="J97" i="1"/>
  <c r="J96" i="1"/>
  <c r="C86" i="1"/>
  <c r="J83" i="1"/>
  <c r="J82" i="1"/>
  <c r="D59" i="1"/>
  <c r="G50" i="1"/>
  <c r="C50" i="1"/>
  <c r="C54" i="1" s="1"/>
  <c r="E42" i="1"/>
  <c r="E43" i="1" s="1"/>
  <c r="E25" i="1"/>
  <c r="E23" i="1"/>
  <c r="E3" i="1"/>
  <c r="H87" i="1"/>
  <c r="A320" i="1"/>
  <c r="G12" i="5" l="1"/>
  <c r="G141" i="1"/>
  <c r="D66" i="1"/>
  <c r="D97" i="1"/>
  <c r="D98" i="1"/>
  <c r="D99" i="1"/>
  <c r="D93" i="1"/>
  <c r="D94" i="1"/>
  <c r="D95" i="1"/>
  <c r="D96" i="1"/>
  <c r="J86" i="1"/>
  <c r="D85" i="1"/>
  <c r="D83" i="1"/>
  <c r="D82" i="1"/>
  <c r="D81" i="1"/>
  <c r="D79" i="1"/>
  <c r="J72" i="1"/>
  <c r="D84" i="1"/>
  <c r="D80" i="1"/>
  <c r="J76" i="1"/>
  <c r="J77" i="1"/>
  <c r="C76" i="1" s="1"/>
  <c r="J75" i="1"/>
  <c r="J78" i="1"/>
  <c r="J79" i="1" s="1"/>
  <c r="J84" i="1" s="1"/>
  <c r="J92" i="1"/>
  <c r="J93" i="1" s="1"/>
  <c r="J98" i="1" s="1"/>
  <c r="J90" i="1"/>
  <c r="J91" i="1"/>
  <c r="C90" i="1" s="1"/>
  <c r="J89" i="1"/>
  <c r="A321" i="1"/>
  <c r="J80" i="1" l="1"/>
  <c r="J81" i="1" s="1"/>
  <c r="J94" i="1"/>
  <c r="D92" i="1"/>
  <c r="J88" i="1"/>
  <c r="D78" i="1"/>
  <c r="J74" i="1"/>
  <c r="D76" i="1"/>
  <c r="D90" i="1"/>
  <c r="A322" i="1"/>
  <c r="J85" i="1" l="1"/>
  <c r="C77" i="1" s="1"/>
  <c r="E76" i="1" s="1"/>
  <c r="J95" i="1"/>
  <c r="J99" i="1" l="1"/>
  <c r="G90" i="1"/>
  <c r="G76" i="1"/>
  <c r="D70" i="1" s="1"/>
  <c r="D71" i="1" s="1"/>
  <c r="D77" i="1"/>
  <c r="I73" i="1" s="1"/>
  <c r="I74" i="1" s="1"/>
  <c r="J73" i="1"/>
  <c r="E90" i="1" l="1"/>
  <c r="J87" i="1"/>
  <c r="D91" i="1"/>
  <c r="I87" i="1" s="1"/>
  <c r="I88" i="1" s="1"/>
  <c r="F71" i="1"/>
  <c r="I72" i="1"/>
  <c r="C74" i="1" s="1"/>
  <c r="I86" i="1" l="1"/>
  <c r="C88" i="1" s="1"/>
</calcChain>
</file>

<file path=xl/sharedStrings.xml><?xml version="1.0" encoding="utf-8"?>
<sst xmlns="http://schemas.openxmlformats.org/spreadsheetml/2006/main" count="462" uniqueCount="256">
  <si>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</si>
  <si>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</si>
  <si>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</si>
  <si>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</si>
  <si>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</si>
  <si>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</si>
  <si>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</si>
  <si>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</si>
  <si>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</si>
  <si>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</si>
  <si>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</si>
  <si>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</si>
  <si>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</si>
  <si>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</si>
  <si>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</si>
  <si>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</si>
  <si>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</si>
  <si>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</si>
  <si>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</si>
  <si>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</si>
  <si>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</si>
  <si>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</si>
  <si>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</si>
  <si>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</si>
  <si>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</si>
  <si>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</si>
  <si>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</si>
  <si>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</si>
  <si>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</si>
  <si>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</si>
  <si>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</si>
  <si>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</si>
  <si>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</si>
  <si>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</si>
  <si>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</si>
  <si>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</si>
  <si>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</si>
  <si>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</si>
  <si>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</si>
  <si>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</si>
  <si>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</si>
  <si>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</si>
  <si>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</si>
  <si>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</si>
  <si>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>Dated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</si>
  <si>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</si>
  <si>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</si>
  <si>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</si>
  <si>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</si>
  <si>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</si>
  <si>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</si>
  <si>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</si>
  <si>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</si>
  <si>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</si>
  <si>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</si>
  <si>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</si>
  <si>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</si>
  <si>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</si>
  <si>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</si>
  <si>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</si>
  <si>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</si>
  <si>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</si>
  <si>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</si>
  <si>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</si>
  <si>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</si>
  <si>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</si>
  <si>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</si>
  <si>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</si>
  <si>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</si>
  <si>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</si>
  <si>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</si>
  <si>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</si>
  <si>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</si>
  <si>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</si>
  <si>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</si>
  <si>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</si>
  <si>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</si>
  <si>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</si>
  <si>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</si>
  <si>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</si>
  <si>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</si>
  <si>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</si>
  <si>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</si>
  <si>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</si>
  <si>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</si>
  <si>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</si>
  <si>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</si>
  <si>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</si>
  <si>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</si>
  <si>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</si>
  <si>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</si>
  <si>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</si>
  <si>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</si>
  <si>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</si>
  <si>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</si>
  <si>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</si>
  <si>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</si>
  <si>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</si>
  <si>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</si>
  <si>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</si>
  <si>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</si>
  <si>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</si>
  <si>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</si>
  <si>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</si>
  <si>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</si>
  <si>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</si>
  <si>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</si>
  <si>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</si>
  <si>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</si>
  <si>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</si>
  <si>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</si>
  <si>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</si>
  <si>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</si>
  <si>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</si>
  <si>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</si>
  <si>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</si>
  <si>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</si>
  <si>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</si>
  <si>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</si>
  <si>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</si>
  <si>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</si>
  <si>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</si>
  <si>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</si>
  <si>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</si>
  <si>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</si>
  <si>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</si>
  <si>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</si>
  <si>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</si>
  <si>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</si>
  <si>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</si>
  <si>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</si>
  <si>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</si>
  <si>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</si>
  <si>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</si>
  <si>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</si>
  <si>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</si>
  <si>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</si>
  <si>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</si>
  <si>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</si>
  <si>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</si>
  <si>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</si>
  <si>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</si>
  <si>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</si>
  <si>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</si>
  <si>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</si>
  <si>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</si>
  <si>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</si>
  <si>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</si>
  <si>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</si>
  <si>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</si>
  <si>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</si>
  <si>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</si>
  <si>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</si>
  <si>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</si>
  <si>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</si>
  <si>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</si>
  <si>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</si>
  <si>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</si>
  <si>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</si>
  <si>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</si>
  <si>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</si>
  <si>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</si>
  <si>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</si>
  <si>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</si>
  <si>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</si>
  <si>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</si>
  <si>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</si>
  <si>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</si>
  <si>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</si>
  <si>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</si>
  <si>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</si>
  <si>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</si>
  <si>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PNBHFL - Thane Hub</t>
  </si>
  <si>
    <t>Survey No</t>
  </si>
  <si>
    <t>7/5,14/6, 14/7, 15/1, 15/3, 16, 18/1A, 18/1B, 23/3, 23/4, 24/1A, 149/1 to149/5, 150/1 to 150/7, 153/(1) to 153(6)</t>
  </si>
  <si>
    <t>Palaspe</t>
  </si>
  <si>
    <t>Raigad</t>
  </si>
  <si>
    <t>Panvel</t>
  </si>
  <si>
    <t>Palaspe Phata</t>
  </si>
  <si>
    <t>Mumbai-Goa Highway</t>
  </si>
  <si>
    <t>Arihant Abode Limited</t>
  </si>
  <si>
    <t>Vijay Desai - 8928634242</t>
  </si>
  <si>
    <t>Chattrapati Shivaji Vidyalay</t>
  </si>
  <si>
    <t>Somatne</t>
  </si>
  <si>
    <t>4 KM from Somatne
 Railway Station</t>
  </si>
  <si>
    <t>Open Plot</t>
  </si>
  <si>
    <t>https://g.page/arihantaspirepanvel?share</t>
  </si>
  <si>
    <t>Sale Plot</t>
  </si>
  <si>
    <t>City and Industrial Development Corporation of Maharashtra (CIDCO)</t>
  </si>
  <si>
    <t>CIDCO/NAINA/Panvel/Palaspe/BP-00006/ACC/2022/0163</t>
  </si>
  <si>
    <t>As per RERA - 30/12/2026</t>
  </si>
  <si>
    <t>Wing H (Della)</t>
  </si>
  <si>
    <t>Shop</t>
  </si>
  <si>
    <t>Building - 02</t>
  </si>
  <si>
    <t>1st Floor for Residential</t>
  </si>
  <si>
    <t>Void Area</t>
  </si>
  <si>
    <t>2nd to 4th Floor</t>
  </si>
  <si>
    <t>5th to 7th, 9th to 12th, 14th to 17th, 19th to 22nd, 24th to 27th, 29th to 32nd, 34th to 37th &amp; 39th to 43rd Floor</t>
  </si>
  <si>
    <t>8th, 13th, 18th, 23rd, 28th, 33rd &amp; 38th Floor (Part Refuge Area)</t>
  </si>
  <si>
    <t>Refuge Area</t>
  </si>
  <si>
    <t>Ground Floor for Commercial</t>
  </si>
  <si>
    <t>1st to 3rd Basement Level for Parking</t>
  </si>
  <si>
    <t>Building - 01</t>
  </si>
  <si>
    <t>Wing B (Iliana)</t>
  </si>
  <si>
    <t>Wing C (Hortensia)</t>
  </si>
  <si>
    <t>3rd to 6th, 8th to 10th, 12th to 14th, 16th to 18th, 20th to 22nd, 24th to 26th, 28th to 30th, 32nd to 34th, 36th to 38th &amp; 40th to 42nd Floor</t>
  </si>
  <si>
    <t>7th, 11th, 15th, 19th, 23rd, 27th, 31st, 35th &amp; 39th Floor (Part Refuge Area)</t>
  </si>
  <si>
    <t>Ground Floor for Parking</t>
  </si>
  <si>
    <t>CIDCO/NAINA/Panvel/Palaspe/BP-06/CC/2017/770</t>
  </si>
  <si>
    <t>We considered Gross carpet area = Net carpet + Enclose balcony + NICHE.</t>
  </si>
  <si>
    <t>Inspection Sheet</t>
  </si>
  <si>
    <t>MIS</t>
  </si>
  <si>
    <t>Online</t>
  </si>
  <si>
    <t>No. of Shops</t>
  </si>
  <si>
    <t>Approved Plans, CC</t>
  </si>
  <si>
    <t>Pradeep Majhi</t>
  </si>
  <si>
    <t>Building No.1 = Wing B(Iliana) &amp; Wing C (Hortensia) = 3 basement + Gr/Stilt + 1st &amp; 2nd Podium floor for Parking + 3rd to 42nd Floor for Residential.
Building No.2 = Wing H(Della) = 3 Basement + Gr/Stilt + 1st to 43rd Floor for Residential</t>
  </si>
  <si>
    <t xml:space="preserve">Layout Approval No.    </t>
  </si>
  <si>
    <t>Building 1</t>
  </si>
  <si>
    <t>Building 2</t>
  </si>
  <si>
    <t xml:space="preserve">Approved Floor plan No.
Wing H (Della) &amp; Wing B (Iliana) Ground Floor: </t>
  </si>
  <si>
    <t>Approved Floor plan No.
Wing B (Iliana) : 1st &amp; 2nd Podium floor for Parking + 3rd to 42nd Floor</t>
  </si>
  <si>
    <t>Please provide approved, legible floor plans of Wing C (Hortensia).</t>
  </si>
  <si>
    <t>1bhk</t>
  </si>
  <si>
    <t>2bhk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</si>
  <si>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                         E mail : vsjcapf@gmail.com. Web site : www.vsjadon.com
</t>
  </si>
  <si>
    <t>Arihant Aspire Phase I &amp; II</t>
  </si>
  <si>
    <t>Phase I - P52000014107
Phase II - P52000050712</t>
  </si>
  <si>
    <t>Vitrified tiles flooring, Kitchen Platform</t>
  </si>
  <si>
    <t>Wing D (Galenia) - 3Basement + Stilt/Ground + 1st to 43rd Floor</t>
  </si>
  <si>
    <t>Wing H (Della) - 3Basement + Stilt/Ground + 1st to 43rd Floor</t>
  </si>
  <si>
    <t>CIDCO/NAINA/Panvel/Palaspe/BP-06/ACC/2023/0345</t>
  </si>
  <si>
    <t xml:space="preserve">Wing B (Iliana) &amp; C (Hortensia)- 3Basement + Stilt/Ground + 2 Podium + 3rd to 43rd Floor
Wing H (Della) - 3Basement + Stilt/Ground + 1st to 43rd Floor
Wing D (Galenia) - 3Basement + Stilt/Ground + 1st to 43rd Floor
</t>
  </si>
  <si>
    <t>Wing B (Iliana) &amp; C (Hortensia)- 3 Basement + Stilt/Ground + 2 Podium + 3rd to 43rd Floor</t>
  </si>
  <si>
    <t>1st Floor for Parking</t>
  </si>
  <si>
    <t>2nd Floor</t>
  </si>
  <si>
    <t>Parking Area</t>
  </si>
  <si>
    <t>43rd  Floor</t>
  </si>
  <si>
    <t>Wing D (Galenia)</t>
  </si>
  <si>
    <t xml:space="preserve">Wing D - Galenia </t>
  </si>
  <si>
    <t>3BHK</t>
  </si>
  <si>
    <t>3rd to 6th, 8th to 10th, 12th to 14th, 16th to 18th, 20th to 22nd, 24th to 26th, 28th to 30th,  32nd to 34th, 36th to 38th &amp; 40th to 43rd Floor</t>
  </si>
  <si>
    <t>1BHK</t>
  </si>
  <si>
    <t xml:space="preserve">D wing Galenia </t>
  </si>
  <si>
    <r>
      <rPr>
        <b/>
        <sz val="12"/>
        <rFont val="Times New Roman"/>
        <family val="1"/>
      </rPr>
      <t>Phase I</t>
    </r>
    <r>
      <rPr>
        <sz val="12"/>
        <rFont val="Times New Roman"/>
        <family val="1"/>
      </rPr>
      <t xml:space="preserve"> = Wing B - Iliana, Wing C - Hortensia, Wing H - Della &amp; </t>
    </r>
    <r>
      <rPr>
        <b/>
        <sz val="12"/>
        <rFont val="Times New Roman"/>
        <family val="1"/>
      </rPr>
      <t>Phase II</t>
    </r>
    <r>
      <rPr>
        <sz val="12"/>
        <rFont val="Times New Roman"/>
        <family val="1"/>
      </rPr>
      <t xml:space="preserve"> = D wing - Galenia </t>
    </r>
  </si>
  <si>
    <t>Building No.1 = Wing B(Iliana) &amp; D wing - Galenia  = 3 basement + Gr/Stilt + 1st &amp; 2nd Podium floor for Parking + 3rd to 43rd Floor for Residential.</t>
  </si>
  <si>
    <t>4 Wings</t>
  </si>
  <si>
    <t xml:space="preserve">We have updated revised approved floor plan &amp; C.C wing D &amp; B Wing 2nd &amp; 43rd Floor (on 24/06/2023).
</t>
  </si>
  <si>
    <t>Flats - 1171, Shops - 42</t>
  </si>
  <si>
    <t xml:space="preserve">Approved Floor plan No.
Wing B (Iliana) :2nd floor for residential &amp; 43rd Floor
D wing - Galenia </t>
  </si>
  <si>
    <t xml:space="preserve">As Per The CC No. CIDCO/NAINA/Panvel/Palaspe/BP-00006/ACC/2023/0345 Dtd 16/03/2023, condition No. 86 &amp; 87 (Page No. 14 of 15) states that construction above 9th floor for D Wing should be kept on hold till further release of FSI by MMRDA and prior permission from this office. The documents are attached below.
</t>
  </si>
  <si>
    <t>Construction work is in process at the time of Visit.</t>
  </si>
  <si>
    <t>On Site, we meet Mr. Doga : 8689898997.</t>
  </si>
  <si>
    <t>Pooja</t>
  </si>
  <si>
    <t>Please provide revised CC for Wing C (Hortensia).</t>
  </si>
  <si>
    <t>Ravindra vishwakarma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</si>
</sst>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[&gt;0]0&quot;BHK&quot;;&quot;1RK&quot;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46">
    <xf numFmtId="0" fontId="0" fillId="0" borderId="0" xfId="0"/>
    <xf numFmtId="0" fontId="6" fillId="0" borderId="0" xfId="4" applyFont="1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0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5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9" fontId="9" fillId="0" borderId="16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Fill="1" applyBorder="1" applyProtection="1">
      <protection hidden="1"/>
    </xf>
    <xf numFmtId="0" fontId="18" fillId="0" borderId="11" xfId="0" applyFont="1" applyFill="1" applyBorder="1" applyProtection="1">
      <protection hidden="1"/>
    </xf>
    <xf numFmtId="0" fontId="13" fillId="0" borderId="4" xfId="1" applyFont="1" applyFill="1" applyBorder="1" applyAlignment="1" applyProtection="1">
      <alignment horizontal="center" vertical="top"/>
      <protection locked="0"/>
    </xf>
    <xf numFmtId="0" fontId="13" fillId="0" borderId="5" xfId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9" fontId="8" fillId="0" borderId="7" xfId="8" applyFont="1" applyFill="1" applyBorder="1" applyAlignment="1" applyProtection="1">
      <alignment horizontal="center" vertical="top" wrapText="1"/>
      <protection locked="0"/>
    </xf>
    <xf numFmtId="0" fontId="8" fillId="0" borderId="0" xfId="1" applyFont="1" applyFill="1"/>
    <xf numFmtId="0" fontId="16" fillId="0" borderId="0" xfId="1" applyFont="1" applyFill="1"/>
    <xf numFmtId="0" fontId="13" fillId="0" borderId="0" xfId="1" applyFont="1" applyFill="1"/>
    <xf numFmtId="1" fontId="8" fillId="0" borderId="0" xfId="1" applyNumberFormat="1" applyFont="1" applyFill="1"/>
    <xf numFmtId="0" fontId="8" fillId="0" borderId="0" xfId="1" applyNumberFormat="1" applyFont="1" applyFill="1"/>
    <xf numFmtId="14" fontId="8" fillId="0" borderId="0" xfId="1" applyNumberFormat="1" applyFont="1" applyFill="1"/>
    <xf numFmtId="0" fontId="8" fillId="0" borderId="0" xfId="1" applyFont="1" applyFill="1" applyProtection="1">
      <protection hidden="1"/>
    </xf>
    <xf numFmtId="0" fontId="24" fillId="0" borderId="0" xfId="1" applyFont="1" applyFill="1"/>
    <xf numFmtId="0" fontId="8" fillId="0" borderId="10" xfId="1" applyFont="1" applyFill="1" applyBorder="1"/>
    <xf numFmtId="0" fontId="18" fillId="0" borderId="10" xfId="0" applyNumberFormat="1" applyFont="1" applyFill="1" applyBorder="1" applyProtection="1">
      <protection hidden="1"/>
    </xf>
    <xf numFmtId="1" fontId="0" fillId="0" borderId="10" xfId="0" applyNumberFormat="1" applyFill="1" applyBorder="1"/>
    <xf numFmtId="1" fontId="0" fillId="0" borderId="10" xfId="0" applyNumberFormat="1" applyFill="1" applyBorder="1" applyAlignment="1">
      <alignment horizontal="right"/>
    </xf>
    <xf numFmtId="1" fontId="0" fillId="0" borderId="12" xfId="0" applyNumberFormat="1" applyFill="1" applyBorder="1"/>
    <xf numFmtId="0" fontId="17" fillId="0" borderId="0" xfId="1" applyFont="1" applyFill="1"/>
    <xf numFmtId="0" fontId="7" fillId="0" borderId="0" xfId="2" applyFont="1" applyFill="1"/>
    <xf numFmtId="0" fontId="8" fillId="0" borderId="0" xfId="0" applyFont="1" applyFill="1" applyAlignment="1">
      <alignment horizontal="center" vertical="center"/>
    </xf>
    <xf numFmtId="1" fontId="8" fillId="0" borderId="0" xfId="1" applyNumberFormat="1" applyFont="1" applyFill="1" applyAlignment="1">
      <alignment horizontal="center" vertical="center"/>
    </xf>
    <xf numFmtId="0" fontId="8" fillId="0" borderId="0" xfId="1" applyNumberFormat="1" applyFont="1" applyFill="1" applyAlignment="1">
      <alignment horizontal="center" vertical="center"/>
    </xf>
    <xf numFmtId="0" fontId="9" fillId="0" borderId="0" xfId="1" applyFont="1" applyFill="1" applyBorder="1" applyAlignment="1" applyProtection="1">
      <alignment vertical="top"/>
      <protection locked="0"/>
    </xf>
    <xf numFmtId="0" fontId="9" fillId="0" borderId="0" xfId="1" applyFont="1" applyFill="1" applyBorder="1" applyAlignment="1" applyProtection="1">
      <alignment vertical="top" wrapText="1"/>
      <protection locked="0"/>
    </xf>
    <xf numFmtId="0" fontId="8" fillId="0" borderId="0" xfId="1" applyFont="1" applyFill="1" applyProtection="1">
      <protection locked="0"/>
    </xf>
    <xf numFmtId="0" fontId="11" fillId="0" borderId="0" xfId="1" applyFont="1" applyFill="1" applyProtection="1"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3" xfId="1" applyNumberFormat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7" xfId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/>
      <protection locked="0"/>
    </xf>
    <xf numFmtId="0" fontId="8" fillId="0" borderId="0" xfId="1" applyFont="1" applyFill="1" applyAlignment="1">
      <alignment horizontal="center" vertical="center"/>
    </xf>
    <xf numFmtId="0" fontId="25" fillId="2" borderId="30" xfId="0" applyFont="1" applyFill="1" applyBorder="1"/>
    <xf numFmtId="0" fontId="26" fillId="0" borderId="31" xfId="0" applyFont="1" applyFill="1" applyBorder="1"/>
    <xf numFmtId="0" fontId="26" fillId="0" borderId="1" xfId="0" applyFont="1" applyFill="1" applyBorder="1"/>
    <xf numFmtId="0" fontId="26" fillId="0" borderId="5" xfId="0" applyFont="1" applyFill="1" applyBorder="1"/>
    <xf numFmtId="167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Alignment="1">
      <alignment horizontal="left" vertical="center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NumberFormat="1" applyFont="1" applyFill="1" applyAlignment="1">
      <alignment wrapText="1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>
      <alignment horizontal="center" vertical="center"/>
    </xf>
    <xf numFmtId="2" fontId="8" fillId="0" borderId="0" xfId="1" applyNumberFormat="1" applyFont="1" applyFill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Alignment="1">
      <alignment horizontal="center" vertical="center"/>
    </xf>
    <xf numFmtId="1" fontId="8" fillId="0" borderId="0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3" fillId="0" borderId="1" xfId="1" applyFont="1" applyFill="1" applyBorder="1" applyAlignment="1" applyProtection="1">
      <alignment vertical="top" wrapText="1"/>
      <protection locked="0"/>
    </xf>
    <xf numFmtId="0" fontId="28" fillId="0" borderId="0" xfId="1" applyFont="1" applyFill="1"/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8" fillId="0" borderId="1" xfId="1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horizontal="center" vertical="top"/>
      <protection locked="0"/>
    </xf>
    <xf numFmtId="0" fontId="1" fillId="0" borderId="1" xfId="5" applyFont="1" applyBorder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horizontal="center" vertical="top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 applyProtection="1">
      <alignment vertical="top"/>
      <protection locked="0"/>
    </xf>
    <xf numFmtId="0" fontId="25" fillId="2" borderId="15" xfId="0" applyFont="1" applyFill="1" applyBorder="1"/>
    <xf numFmtId="0" fontId="26" fillId="0" borderId="9" xfId="0" applyFont="1" applyFill="1" applyBorder="1"/>
    <xf numFmtId="1" fontId="9" fillId="0" borderId="8" xfId="0" applyNumberFormat="1" applyFont="1" applyFill="1" applyBorder="1" applyAlignment="1" applyProtection="1">
      <alignment vertical="top" wrapText="1"/>
      <protection locked="0"/>
    </xf>
    <xf numFmtId="1" fontId="9" fillId="0" borderId="21" xfId="0" applyNumberFormat="1" applyFont="1" applyFill="1" applyBorder="1" applyAlignment="1" applyProtection="1">
      <alignment vertical="top" wrapText="1"/>
      <protection locked="0"/>
    </xf>
    <xf numFmtId="1" fontId="9" fillId="0" borderId="9" xfId="0" applyNumberFormat="1" applyFont="1" applyFill="1" applyBorder="1" applyAlignment="1" applyProtection="1">
      <alignment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14" fontId="13" fillId="0" borderId="1" xfId="1" applyNumberFormat="1" applyFont="1" applyFill="1" applyBorder="1" applyAlignment="1" applyProtection="1">
      <alignment horizontal="left" vertical="top" wrapText="1"/>
      <protection locked="0"/>
    </xf>
    <xf numFmtId="1" fontId="7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67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4" fillId="0" borderId="1" xfId="0" applyNumberFormat="1" applyFont="1" applyFill="1" applyBorder="1" applyAlignment="1" applyProtection="1">
      <alignment vertical="top" wrapText="1"/>
      <protection locked="0"/>
    </xf>
    <xf numFmtId="0" fontId="8" fillId="0" borderId="0" xfId="1" applyFont="1" applyFill="1" applyAlignment="1">
      <alignment horizontal="center" vertical="center"/>
    </xf>
    <xf numFmtId="1" fontId="7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5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6" xfId="1" applyNumberFormat="1" applyFont="1" applyFill="1" applyBorder="1" applyAlignment="1" applyProtection="1">
      <alignment horizontal="center" vertical="center" wrapText="1"/>
      <protection locked="0"/>
    </xf>
    <xf numFmtId="167" fontId="7" fillId="0" borderId="8" xfId="1" applyNumberFormat="1" applyFont="1" applyFill="1" applyBorder="1" applyAlignment="1" applyProtection="1">
      <alignment horizontal="center" vertical="center" wrapText="1"/>
      <protection locked="0"/>
    </xf>
    <xf numFmtId="167" fontId="7" fillId="0" borderId="21" xfId="1" applyNumberFormat="1" applyFont="1" applyFill="1" applyBorder="1" applyAlignment="1" applyProtection="1">
      <alignment horizontal="center" vertical="center" wrapText="1"/>
      <protection locked="0"/>
    </xf>
    <xf numFmtId="167" fontId="7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0" applyNumberFormat="1" applyFont="1" applyFill="1" applyBorder="1" applyAlignment="1" applyProtection="1">
      <alignment horizontal="left" vertical="top" wrapText="1"/>
      <protection locked="0"/>
    </xf>
    <xf numFmtId="1" fontId="9" fillId="0" borderId="1" xfId="0" applyNumberFormat="1" applyFont="1" applyFill="1" applyBorder="1" applyAlignment="1" applyProtection="1">
      <alignment vertical="top" wrapText="1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vertical="top"/>
      <protection locked="0"/>
    </xf>
    <xf numFmtId="1" fontId="9" fillId="0" borderId="1" xfId="0" applyNumberFormat="1" applyFont="1" applyFill="1" applyBorder="1" applyAlignment="1" applyProtection="1">
      <alignment horizontal="center" vertical="top" wrapText="1"/>
      <protection locked="0"/>
    </xf>
    <xf numFmtId="1" fontId="9" fillId="0" borderId="3" xfId="1" applyNumberFormat="1" applyFont="1" applyFill="1" applyBorder="1" applyAlignment="1" applyProtection="1">
      <alignment horizontal="center" vertical="top" wrapText="1"/>
      <protection locked="0"/>
    </xf>
    <xf numFmtId="1" fontId="9" fillId="0" borderId="16" xfId="1" applyNumberFormat="1" applyFont="1" applyFill="1" applyBorder="1" applyAlignment="1" applyProtection="1">
      <alignment horizontal="center" vertical="top" wrapText="1"/>
      <protection locked="0"/>
    </xf>
    <xf numFmtId="1" fontId="5" fillId="0" borderId="3" xfId="1" applyNumberFormat="1" applyFont="1" applyFill="1" applyBorder="1" applyAlignment="1" applyProtection="1">
      <alignment horizontal="center" vertical="top" wrapText="1"/>
      <protection locked="0"/>
    </xf>
    <xf numFmtId="1" fontId="5" fillId="0" borderId="16" xfId="1" applyNumberFormat="1" applyFont="1" applyFill="1" applyBorder="1" applyAlignment="1" applyProtection="1">
      <alignment horizontal="center" vertical="top" wrapText="1"/>
      <protection locked="0"/>
    </xf>
    <xf numFmtId="1" fontId="9" fillId="0" borderId="17" xfId="1" applyNumberFormat="1" applyFont="1" applyFill="1" applyBorder="1" applyAlignment="1" applyProtection="1">
      <alignment horizontal="center" vertical="top" wrapText="1"/>
      <protection locked="0"/>
    </xf>
    <xf numFmtId="1" fontId="9" fillId="0" borderId="18" xfId="1" applyNumberFormat="1" applyFont="1" applyFill="1" applyBorder="1" applyAlignment="1" applyProtection="1">
      <alignment horizontal="center" vertical="top" wrapText="1"/>
      <protection locked="0"/>
    </xf>
    <xf numFmtId="1" fontId="9" fillId="0" borderId="19" xfId="1" applyNumberFormat="1" applyFont="1" applyFill="1" applyBorder="1" applyAlignment="1" applyProtection="1">
      <alignment horizontal="center" vertical="top" wrapText="1"/>
      <protection locked="0"/>
    </xf>
    <xf numFmtId="1" fontId="9" fillId="0" borderId="20" xfId="1" applyNumberFormat="1" applyFont="1" applyFill="1" applyBorder="1" applyAlignment="1" applyProtection="1">
      <alignment horizontal="center" vertical="top" wrapText="1"/>
      <protection locked="0"/>
    </xf>
    <xf numFmtId="0" fontId="8" fillId="0" borderId="4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 wrapText="1"/>
      <protection locked="0"/>
    </xf>
    <xf numFmtId="0" fontId="9" fillId="0" borderId="1" xfId="1" applyFont="1" applyFill="1" applyBorder="1" applyAlignment="1" applyProtection="1">
      <alignment horizontal="left" vertical="top" wrapText="1"/>
      <protection locked="0"/>
    </xf>
    <xf numFmtId="166" fontId="13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8" xfId="1" applyFont="1" applyFill="1" applyBorder="1" applyAlignment="1" applyProtection="1">
      <alignment horizontal="left" vertical="top" wrapText="1"/>
      <protection locked="0"/>
    </xf>
    <xf numFmtId="0" fontId="7" fillId="0" borderId="9" xfId="1" applyFont="1" applyFill="1" applyBorder="1" applyAlignment="1" applyProtection="1">
      <alignment horizontal="left" vertical="top" wrapText="1"/>
      <protection locked="0"/>
    </xf>
    <xf numFmtId="0" fontId="7" fillId="0" borderId="21" xfId="1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0" fontId="7" fillId="0" borderId="3" xfId="1" applyFont="1" applyFill="1" applyBorder="1" applyAlignment="1" applyProtection="1">
      <alignment horizontal="left" vertical="top" wrapText="1"/>
      <protection locked="0"/>
    </xf>
    <xf numFmtId="0" fontId="13" fillId="0" borderId="3" xfId="1" applyFont="1" applyFill="1" applyBorder="1" applyAlignment="1" applyProtection="1">
      <alignment horizontal="left" vertical="top" wrapText="1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" fontId="1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0" fontId="13" fillId="0" borderId="17" xfId="1" applyFont="1" applyFill="1" applyBorder="1" applyAlignment="1" applyProtection="1">
      <alignment horizontal="left" vertical="top" wrapText="1"/>
      <protection locked="0"/>
    </xf>
    <xf numFmtId="0" fontId="13" fillId="0" borderId="24" xfId="1" applyFont="1" applyFill="1" applyBorder="1" applyAlignment="1" applyProtection="1">
      <alignment horizontal="left" vertical="top" wrapText="1"/>
      <protection locked="0"/>
    </xf>
    <xf numFmtId="0" fontId="13" fillId="0" borderId="18" xfId="1" applyFont="1" applyFill="1" applyBorder="1" applyAlignment="1" applyProtection="1">
      <alignment horizontal="left" vertical="top" wrapText="1"/>
      <protection locked="0"/>
    </xf>
    <xf numFmtId="0" fontId="13" fillId="0" borderId="19" xfId="1" applyFont="1" applyFill="1" applyBorder="1" applyAlignment="1" applyProtection="1">
      <alignment horizontal="left" vertical="top"/>
      <protection locked="0"/>
    </xf>
    <xf numFmtId="0" fontId="13" fillId="0" borderId="2" xfId="1" applyFont="1" applyFill="1" applyBorder="1" applyAlignment="1" applyProtection="1">
      <alignment horizontal="left" vertical="top"/>
      <protection locked="0"/>
    </xf>
    <xf numFmtId="0" fontId="13" fillId="0" borderId="20" xfId="1" applyFont="1" applyFill="1" applyBorder="1" applyAlignment="1" applyProtection="1">
      <alignment horizontal="left" vertical="top"/>
      <protection locked="0"/>
    </xf>
    <xf numFmtId="0" fontId="9" fillId="0" borderId="1" xfId="1" applyFont="1" applyFill="1" applyBorder="1" applyAlignment="1" applyProtection="1">
      <alignment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4" fontId="9" fillId="0" borderId="1" xfId="1" applyNumberFormat="1" applyFont="1" applyFill="1" applyBorder="1" applyAlignment="1" applyProtection="1">
      <alignment horizontal="left" vertical="top"/>
      <protection locked="0"/>
    </xf>
    <xf numFmtId="0" fontId="9" fillId="0" borderId="1" xfId="1" applyFont="1" applyFill="1" applyBorder="1" applyAlignment="1" applyProtection="1">
      <alignment horizontal="left" vertical="top"/>
      <protection locked="0"/>
    </xf>
    <xf numFmtId="0" fontId="13" fillId="0" borderId="8" xfId="1" applyFont="1" applyFill="1" applyBorder="1" applyAlignment="1" applyProtection="1">
      <alignment horizontal="left" vertical="top" wrapText="1"/>
      <protection locked="0"/>
    </xf>
    <xf numFmtId="0" fontId="13" fillId="0" borderId="21" xfId="1" applyFont="1" applyFill="1" applyBorder="1" applyAlignment="1" applyProtection="1">
      <alignment horizontal="left" vertical="top" wrapText="1"/>
      <protection locked="0"/>
    </xf>
    <xf numFmtId="0" fontId="13" fillId="0" borderId="9" xfId="1" applyFont="1" applyFill="1" applyBorder="1" applyAlignment="1" applyProtection="1">
      <alignment horizontal="left" vertical="top" wrapText="1"/>
      <protection locked="0"/>
    </xf>
    <xf numFmtId="14" fontId="13" fillId="0" borderId="8" xfId="1" applyNumberFormat="1" applyFont="1" applyFill="1" applyBorder="1" applyAlignment="1" applyProtection="1">
      <alignment horizontal="left" vertical="top" wrapText="1"/>
      <protection locked="0"/>
    </xf>
    <xf numFmtId="14" fontId="13" fillId="0" borderId="9" xfId="1" applyNumberFormat="1" applyFont="1" applyFill="1" applyBorder="1" applyAlignment="1" applyProtection="1">
      <alignment horizontal="left" vertical="top" wrapText="1"/>
      <protection locked="0"/>
    </xf>
    <xf numFmtId="0" fontId="14" fillId="0" borderId="1" xfId="1" applyFont="1" applyFill="1" applyBorder="1" applyAlignment="1" applyProtection="1">
      <alignment horizontal="left" vertical="top" wrapText="1"/>
      <protection locked="0"/>
    </xf>
    <xf numFmtId="0" fontId="14" fillId="0" borderId="5" xfId="1" applyFont="1" applyFill="1" applyBorder="1" applyAlignment="1" applyProtection="1">
      <alignment horizontal="left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15" fillId="0" borderId="1" xfId="1" applyFont="1" applyFill="1" applyBorder="1" applyAlignment="1" applyProtection="1">
      <alignment horizontal="center" vertical="top" wrapText="1"/>
      <protection locked="0"/>
    </xf>
    <xf numFmtId="1" fontId="14" fillId="0" borderId="8" xfId="0" applyNumberFormat="1" applyFont="1" applyFill="1" applyBorder="1" applyAlignment="1" applyProtection="1">
      <alignment vertical="top" wrapText="1"/>
      <protection locked="0"/>
    </xf>
    <xf numFmtId="1" fontId="14" fillId="0" borderId="21" xfId="0" applyNumberFormat="1" applyFont="1" applyFill="1" applyBorder="1" applyAlignment="1" applyProtection="1">
      <alignment vertical="top" wrapText="1"/>
      <protection locked="0"/>
    </xf>
    <xf numFmtId="1" fontId="14" fillId="0" borderId="9" xfId="0" applyNumberFormat="1" applyFont="1" applyFill="1" applyBorder="1" applyAlignment="1" applyProtection="1">
      <alignment vertical="top" wrapText="1"/>
      <protection locked="0"/>
    </xf>
    <xf numFmtId="0" fontId="7" fillId="0" borderId="3" xfId="1" applyFont="1" applyFill="1" applyBorder="1" applyAlignment="1" applyProtection="1">
      <alignment horizontal="left" vertical="top"/>
      <protection locked="0"/>
    </xf>
    <xf numFmtId="0" fontId="8" fillId="0" borderId="5" xfId="1" applyFont="1" applyFill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center" wrapText="1"/>
      <protection locked="0"/>
    </xf>
    <xf numFmtId="0" fontId="14" fillId="0" borderId="4" xfId="1" applyFont="1" applyFill="1" applyBorder="1" applyAlignment="1" applyProtection="1">
      <alignment horizontal="left" vertical="top"/>
      <protection locked="0"/>
    </xf>
    <xf numFmtId="0" fontId="14" fillId="0" borderId="1" xfId="1" applyFont="1" applyFill="1" applyBorder="1" applyAlignment="1" applyProtection="1">
      <alignment horizontal="left" vertical="top"/>
      <protection locked="0"/>
    </xf>
    <xf numFmtId="0" fontId="9" fillId="0" borderId="22" xfId="1" applyFont="1" applyFill="1" applyBorder="1" applyAlignment="1" applyProtection="1">
      <alignment horizontal="left" vertical="top" wrapText="1"/>
      <protection locked="0"/>
    </xf>
    <xf numFmtId="0" fontId="9" fillId="0" borderId="15" xfId="1" applyFont="1" applyFill="1" applyBorder="1" applyAlignment="1" applyProtection="1">
      <alignment horizontal="left" vertical="top" wrapText="1"/>
      <protection locked="0"/>
    </xf>
    <xf numFmtId="0" fontId="9" fillId="0" borderId="13" xfId="1" applyFont="1" applyFill="1" applyBorder="1" applyAlignment="1" applyProtection="1">
      <alignment horizontal="left" vertical="top" wrapText="1"/>
      <protection locked="0"/>
    </xf>
    <xf numFmtId="0" fontId="9" fillId="0" borderId="14" xfId="1" applyFont="1" applyFill="1" applyBorder="1" applyAlignment="1" applyProtection="1">
      <alignment horizontal="left" vertical="top" wrapText="1"/>
      <protection locked="0"/>
    </xf>
    <xf numFmtId="0" fontId="9" fillId="0" borderId="23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9" fillId="0" borderId="1" xfId="1" applyFont="1" applyFill="1" applyBorder="1" applyAlignment="1" applyProtection="1">
      <alignment horizontal="center" vertical="top"/>
      <protection locked="0"/>
    </xf>
    <xf numFmtId="14" fontId="13" fillId="0" borderId="1" xfId="1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4" fillId="0" borderId="1" xfId="1" applyFont="1" applyFill="1" applyBorder="1" applyAlignment="1" applyProtection="1">
      <alignment horizontal="center" vertical="top"/>
      <protection locked="0"/>
    </xf>
    <xf numFmtId="0" fontId="14" fillId="0" borderId="1" xfId="1" applyFont="1" applyFill="1" applyBorder="1" applyAlignment="1" applyProtection="1">
      <alignment horizontal="center"/>
      <protection locked="0"/>
    </xf>
    <xf numFmtId="0" fontId="7" fillId="0" borderId="16" xfId="1" applyFont="1" applyFill="1" applyBorder="1" applyAlignment="1" applyProtection="1">
      <alignment horizontal="left" vertical="top" wrapText="1"/>
      <protection locked="0"/>
    </xf>
    <xf numFmtId="1" fontId="7" fillId="0" borderId="1" xfId="1" applyNumberFormat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horizontal="center"/>
      <protection locked="0"/>
    </xf>
    <xf numFmtId="0" fontId="7" fillId="0" borderId="1" xfId="1" applyFont="1" applyFill="1" applyBorder="1" applyAlignment="1" applyProtection="1">
      <alignment horizontal="center" vertical="top"/>
      <protection locked="0"/>
    </xf>
    <xf numFmtId="0" fontId="13" fillId="0" borderId="3" xfId="1" applyFont="1" applyFill="1" applyBorder="1" applyAlignment="1" applyProtection="1">
      <alignment horizontal="left" vertical="top"/>
      <protection locked="0"/>
    </xf>
    <xf numFmtId="14" fontId="7" fillId="0" borderId="8" xfId="1" applyNumberFormat="1" applyFont="1" applyFill="1" applyBorder="1" applyAlignment="1" applyProtection="1">
      <alignment horizontal="left" vertical="top" wrapText="1"/>
      <protection locked="0"/>
    </xf>
    <xf numFmtId="9" fontId="8" fillId="0" borderId="17" xfId="8" applyFont="1" applyFill="1" applyBorder="1" applyAlignment="1" applyProtection="1">
      <alignment horizontal="center" vertical="center" wrapText="1"/>
      <protection locked="0"/>
    </xf>
    <xf numFmtId="9" fontId="8" fillId="0" borderId="18" xfId="8" applyFont="1" applyFill="1" applyBorder="1" applyAlignment="1" applyProtection="1">
      <alignment horizontal="center" vertical="center" wrapText="1"/>
      <protection locked="0"/>
    </xf>
    <xf numFmtId="9" fontId="8" fillId="0" borderId="25" xfId="8" applyFont="1" applyFill="1" applyBorder="1" applyAlignment="1" applyProtection="1">
      <alignment horizontal="center" vertical="center" wrapText="1"/>
      <protection locked="0"/>
    </xf>
    <xf numFmtId="9" fontId="8" fillId="0" borderId="26" xfId="8" applyFont="1" applyFill="1" applyBorder="1" applyAlignment="1" applyProtection="1">
      <alignment horizontal="center" vertical="center" wrapText="1"/>
      <protection locked="0"/>
    </xf>
    <xf numFmtId="9" fontId="8" fillId="0" borderId="28" xfId="8" applyFont="1" applyFill="1" applyBorder="1" applyAlignment="1" applyProtection="1">
      <alignment horizontal="center" vertical="center" wrapText="1"/>
      <protection locked="0"/>
    </xf>
    <xf numFmtId="9" fontId="8" fillId="0" borderId="29" xfId="8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horizontal="center" vertical="top" wrapText="1"/>
      <protection locked="0"/>
    </xf>
    <xf numFmtId="0" fontId="8" fillId="0" borderId="7" xfId="1" applyFont="1" applyFill="1" applyBorder="1" applyAlignment="1" applyProtection="1">
      <alignment horizontal="center" vertical="top" wrapText="1"/>
      <protection locked="0"/>
    </xf>
    <xf numFmtId="0" fontId="9" fillId="0" borderId="16" xfId="1" applyFont="1" applyFill="1" applyBorder="1" applyAlignment="1" applyProtection="1">
      <alignment horizontal="center" vertical="top"/>
      <protection locked="0"/>
    </xf>
    <xf numFmtId="166" fontId="16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1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6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4" xfId="1" applyNumberFormat="1" applyFont="1" applyFill="1" applyBorder="1" applyAlignment="1" applyProtection="1">
      <alignment horizontal="center" vertical="center" wrapText="1"/>
      <protection locked="0"/>
    </xf>
    <xf numFmtId="167" fontId="7" fillId="0" borderId="17" xfId="1" applyNumberFormat="1" applyFont="1" applyFill="1" applyBorder="1" applyAlignment="1" applyProtection="1">
      <alignment horizontal="center" vertical="center" wrapText="1"/>
      <protection locked="0"/>
    </xf>
    <xf numFmtId="167" fontId="7" fillId="0" borderId="24" xfId="1" applyNumberFormat="1" applyFont="1" applyFill="1" applyBorder="1" applyAlignment="1" applyProtection="1">
      <alignment horizontal="center" vertical="center" wrapText="1"/>
      <protection locked="0"/>
    </xf>
    <xf numFmtId="167" fontId="7" fillId="0" borderId="18" xfId="1" applyNumberFormat="1" applyFont="1" applyFill="1" applyBorder="1" applyAlignment="1" applyProtection="1">
      <alignment horizontal="center" vertical="center" wrapText="1"/>
      <protection locked="0"/>
    </xf>
    <xf numFmtId="167" fontId="7" fillId="0" borderId="19" xfId="1" applyNumberFormat="1" applyFont="1" applyFill="1" applyBorder="1" applyAlignment="1" applyProtection="1">
      <alignment horizontal="center" vertical="center" wrapText="1"/>
      <protection locked="0"/>
    </xf>
    <xf numFmtId="167" fontId="7" fillId="0" borderId="2" xfId="1" applyNumberFormat="1" applyFont="1" applyFill="1" applyBorder="1" applyAlignment="1" applyProtection="1">
      <alignment horizontal="center" vertical="center" wrapText="1"/>
      <protection locked="0"/>
    </xf>
    <xf numFmtId="167" fontId="7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14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14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14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8" xfId="1" applyFont="1" applyFill="1" applyBorder="1" applyAlignment="1" applyProtection="1">
      <alignment horizontal="left" vertical="top"/>
      <protection locked="0"/>
    </xf>
    <xf numFmtId="0" fontId="14" fillId="0" borderId="21" xfId="1" applyFont="1" applyFill="1" applyBorder="1" applyAlignment="1" applyProtection="1">
      <alignment horizontal="left" vertical="top"/>
      <protection locked="0"/>
    </xf>
    <xf numFmtId="0" fontId="14" fillId="0" borderId="9" xfId="1" applyFont="1" applyFill="1" applyBorder="1" applyAlignment="1" applyProtection="1">
      <alignment horizontal="left" vertical="top"/>
      <protection locked="0"/>
    </xf>
    <xf numFmtId="9" fontId="8" fillId="0" borderId="27" xfId="8" applyFont="1" applyFill="1" applyBorder="1" applyAlignment="1" applyProtection="1">
      <alignment horizontal="center" vertical="center" wrapText="1"/>
      <protection locked="0"/>
    </xf>
    <xf numFmtId="9" fontId="8" fillId="0" borderId="10" xfId="8" applyFont="1" applyFill="1" applyBorder="1" applyAlignment="1" applyProtection="1">
      <alignment horizontal="center" vertical="center" wrapText="1"/>
      <protection locked="0"/>
    </xf>
    <xf numFmtId="9" fontId="8" fillId="0" borderId="12" xfId="8" applyFont="1" applyFill="1" applyBorder="1" applyAlignment="1" applyProtection="1">
      <alignment horizontal="center" vertical="center" wrapText="1"/>
      <protection locked="0"/>
    </xf>
    <xf numFmtId="0" fontId="27" fillId="0" borderId="1" xfId="10" applyFill="1" applyBorder="1" applyAlignment="1" applyProtection="1">
      <alignment horizontal="left" vertical="center" wrapText="1"/>
      <protection locked="0"/>
    </xf>
    <xf numFmtId="0" fontId="13" fillId="0" borderId="1" xfId="1" applyFont="1" applyFill="1" applyBorder="1" applyAlignment="1" applyProtection="1">
      <alignment horizontal="left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2" fontId="13" fillId="0" borderId="8" xfId="1" applyNumberFormat="1" applyFont="1" applyFill="1" applyBorder="1" applyAlignment="1" applyProtection="1">
      <alignment horizontal="center" vertical="top" wrapText="1"/>
      <protection locked="0"/>
    </xf>
    <xf numFmtId="2" fontId="13" fillId="0" borderId="21" xfId="1" applyNumberFormat="1" applyFont="1" applyFill="1" applyBorder="1" applyAlignment="1" applyProtection="1">
      <alignment horizontal="center" vertical="top" wrapText="1"/>
      <protection locked="0"/>
    </xf>
    <xf numFmtId="2" fontId="13" fillId="0" borderId="9" xfId="1" applyNumberFormat="1" applyFont="1" applyFill="1" applyBorder="1" applyAlignment="1" applyProtection="1">
      <alignment horizontal="center" vertical="top" wrapText="1"/>
      <protection locked="0"/>
    </xf>
    <xf numFmtId="2" fontId="13" fillId="0" borderId="8" xfId="1" applyNumberFormat="1" applyFont="1" applyFill="1" applyBorder="1" applyAlignment="1" applyProtection="1">
      <alignment horizontal="left" vertical="top" wrapText="1"/>
      <protection locked="0"/>
    </xf>
    <xf numFmtId="2" fontId="13" fillId="0" borderId="21" xfId="1" applyNumberFormat="1" applyFont="1" applyFill="1" applyBorder="1" applyAlignment="1" applyProtection="1">
      <alignment horizontal="left" vertical="top" wrapText="1"/>
      <protection locked="0"/>
    </xf>
    <xf numFmtId="2" fontId="13" fillId="0" borderId="9" xfId="1" applyNumberFormat="1" applyFont="1" applyFill="1" applyBorder="1" applyAlignment="1" applyProtection="1">
      <alignment horizontal="left" vertical="top" wrapText="1"/>
      <protection locked="0"/>
    </xf>
    <xf numFmtId="2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25" xfId="1" applyFont="1" applyFill="1" applyBorder="1" applyAlignment="1" applyProtection="1">
      <alignment horizontal="left" vertical="top" wrapText="1"/>
      <protection locked="0"/>
    </xf>
    <xf numFmtId="0" fontId="13" fillId="0" borderId="0" xfId="1" applyFont="1" applyFill="1" applyBorder="1" applyAlignment="1" applyProtection="1">
      <alignment horizontal="left" vertical="top" wrapText="1"/>
      <protection locked="0"/>
    </xf>
    <xf numFmtId="0" fontId="13" fillId="0" borderId="26" xfId="1" applyFont="1" applyFill="1" applyBorder="1" applyAlignment="1" applyProtection="1">
      <alignment horizontal="left" vertical="top" wrapText="1"/>
      <protection locked="0"/>
    </xf>
    <xf numFmtId="0" fontId="13" fillId="0" borderId="19" xfId="1" applyFont="1" applyFill="1" applyBorder="1" applyAlignment="1" applyProtection="1">
      <alignment horizontal="left" vertical="top" wrapText="1"/>
      <protection locked="0"/>
    </xf>
    <xf numFmtId="0" fontId="13" fillId="0" borderId="2" xfId="1" applyFont="1" applyFill="1" applyBorder="1" applyAlignment="1" applyProtection="1">
      <alignment horizontal="left" vertical="top" wrapText="1"/>
      <protection locked="0"/>
    </xf>
    <xf numFmtId="0" fontId="13" fillId="0" borderId="20" xfId="1" applyFont="1" applyFill="1" applyBorder="1" applyAlignment="1" applyProtection="1">
      <alignment horizontal="left" vertical="top" wrapText="1"/>
      <protection locked="0"/>
    </xf>
    <xf numFmtId="14" fontId="7" fillId="0" borderId="9" xfId="1" applyNumberFormat="1" applyFont="1" applyFill="1" applyBorder="1" applyAlignment="1" applyProtection="1">
      <alignment horizontal="left" vertical="top" wrapText="1"/>
      <protection locked="0"/>
    </xf>
    <xf numFmtId="0" fontId="9" fillId="0" borderId="16" xfId="1" applyFont="1" applyFill="1" applyBorder="1" applyAlignment="1" applyProtection="1">
      <alignment horizontal="left" vertical="top"/>
      <protection locked="0"/>
    </xf>
    <xf numFmtId="0" fontId="10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470</xdr:row>
      <xdr:rowOff>85725</xdr:rowOff>
    </xdr:from>
    <xdr:to>
      <xdr:col>7</xdr:col>
      <xdr:colOff>37425</xdr:colOff>
      <xdr:row>489</xdr:row>
      <xdr:rowOff>95403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2950" y="54959250"/>
          <a:ext cx="5400000" cy="381015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742950</xdr:colOff>
      <xdr:row>491</xdr:row>
      <xdr:rowOff>18288</xdr:rowOff>
    </xdr:from>
    <xdr:to>
      <xdr:col>7</xdr:col>
      <xdr:colOff>37425</xdr:colOff>
      <xdr:row>509</xdr:row>
      <xdr:rowOff>188986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2950" y="59092338"/>
          <a:ext cx="5400000" cy="377114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728321</xdr:colOff>
      <xdr:row>403</xdr:row>
      <xdr:rowOff>35461</xdr:rowOff>
    </xdr:from>
    <xdr:to>
      <xdr:col>9</xdr:col>
      <xdr:colOff>164160</xdr:colOff>
      <xdr:row>404</xdr:row>
      <xdr:rowOff>162074</xdr:rowOff>
    </xdr:to>
    <xdr:sp macro="" textlink="">
      <xdr:nvSpPr>
        <xdr:cNvPr id="22" name="Rectangle 21"/>
        <xdr:cNvSpPr/>
      </xdr:nvSpPr>
      <xdr:spPr>
        <a:xfrm>
          <a:off x="7580548" y="83907416"/>
          <a:ext cx="653885" cy="32288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600" b="1">
              <a:solidFill>
                <a:srgbClr val="FF0000"/>
              </a:solidFill>
            </a:rPr>
            <a:t>Della</a:t>
          </a:r>
        </a:p>
      </xdr:txBody>
    </xdr:sp>
    <xdr:clientData/>
  </xdr:twoCellAnchor>
  <xdr:twoCellAnchor>
    <xdr:from>
      <xdr:col>10</xdr:col>
      <xdr:colOff>472994</xdr:colOff>
      <xdr:row>382</xdr:row>
      <xdr:rowOff>132295</xdr:rowOff>
    </xdr:from>
    <xdr:to>
      <xdr:col>12</xdr:col>
      <xdr:colOff>385109</xdr:colOff>
      <xdr:row>384</xdr:row>
      <xdr:rowOff>62635</xdr:rowOff>
    </xdr:to>
    <xdr:sp macro="" textlink="">
      <xdr:nvSpPr>
        <xdr:cNvPr id="23" name="Rectangle 22"/>
        <xdr:cNvSpPr/>
      </xdr:nvSpPr>
      <xdr:spPr>
        <a:xfrm>
          <a:off x="9345676" y="79888295"/>
          <a:ext cx="1389933" cy="32288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600" b="1">
              <a:solidFill>
                <a:srgbClr val="FF0000"/>
              </a:solidFill>
            </a:rPr>
            <a:t>C (Hortensia)</a:t>
          </a:r>
        </a:p>
      </xdr:txBody>
    </xdr:sp>
    <xdr:clientData/>
  </xdr:twoCellAnchor>
  <xdr:twoCellAnchor>
    <xdr:from>
      <xdr:col>8</xdr:col>
      <xdr:colOff>392876</xdr:colOff>
      <xdr:row>382</xdr:row>
      <xdr:rowOff>72185</xdr:rowOff>
    </xdr:from>
    <xdr:to>
      <xdr:col>10</xdr:col>
      <xdr:colOff>98095</xdr:colOff>
      <xdr:row>384</xdr:row>
      <xdr:rowOff>6757</xdr:rowOff>
    </xdr:to>
    <xdr:sp macro="" textlink="">
      <xdr:nvSpPr>
        <xdr:cNvPr id="24" name="Rectangle 23"/>
        <xdr:cNvSpPr/>
      </xdr:nvSpPr>
      <xdr:spPr>
        <a:xfrm>
          <a:off x="7238176" y="80310785"/>
          <a:ext cx="1724519" cy="32827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600" b="1">
              <a:solidFill>
                <a:srgbClr val="FF0000"/>
              </a:solidFill>
            </a:rPr>
            <a:t>Wing B (Iliana) </a:t>
          </a:r>
          <a:endParaRPr lang="en-IN" sz="1600"/>
        </a:p>
      </xdr:txBody>
    </xdr:sp>
    <xdr:clientData/>
  </xdr:twoCellAnchor>
  <xdr:twoCellAnchor editAs="oneCell">
    <xdr:from>
      <xdr:col>1</xdr:col>
      <xdr:colOff>640336</xdr:colOff>
      <xdr:row>427</xdr:row>
      <xdr:rowOff>54430</xdr:rowOff>
    </xdr:from>
    <xdr:to>
      <xdr:col>6</xdr:col>
      <xdr:colOff>274848</xdr:colOff>
      <xdr:row>445</xdr:row>
      <xdr:rowOff>160501</xdr:rowOff>
    </xdr:to>
    <xdr:pic>
      <xdr:nvPicPr>
        <xdr:cNvPr id="28" name="Picture 27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7990" t="18160" r="6341" b="21698"/>
        <a:stretch/>
      </xdr:blipFill>
      <xdr:spPr>
        <a:xfrm>
          <a:off x="1456765" y="92093144"/>
          <a:ext cx="4097654" cy="37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462645</xdr:colOff>
      <xdr:row>446</xdr:row>
      <xdr:rowOff>44827</xdr:rowOff>
    </xdr:from>
    <xdr:to>
      <xdr:col>7</xdr:col>
      <xdr:colOff>363671</xdr:colOff>
      <xdr:row>468</xdr:row>
      <xdr:rowOff>34636</xdr:rowOff>
    </xdr:to>
    <xdr:pic>
      <xdr:nvPicPr>
        <xdr:cNvPr id="29" name="Picture 28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5635" t="23585" r="27425" b="9198"/>
        <a:stretch/>
      </xdr:blipFill>
      <xdr:spPr>
        <a:xfrm>
          <a:off x="462645" y="92356509"/>
          <a:ext cx="5881571" cy="430780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13</xdr:col>
      <xdr:colOff>624563</xdr:colOff>
      <xdr:row>385</xdr:row>
      <xdr:rowOff>167888</xdr:rowOff>
    </xdr:from>
    <xdr:to>
      <xdr:col>15</xdr:col>
      <xdr:colOff>180716</xdr:colOff>
      <xdr:row>387</xdr:row>
      <xdr:rowOff>38010</xdr:rowOff>
    </xdr:to>
    <xdr:sp macro="" textlink="">
      <xdr:nvSpPr>
        <xdr:cNvPr id="25" name="Rectangle 24"/>
        <xdr:cNvSpPr/>
      </xdr:nvSpPr>
      <xdr:spPr>
        <a:xfrm>
          <a:off x="11787863" y="80997038"/>
          <a:ext cx="1118253" cy="257472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050"/>
            <a:t>Wing D (Galenia)</a:t>
          </a:r>
        </a:p>
      </xdr:txBody>
    </xdr:sp>
    <xdr:clientData/>
  </xdr:twoCellAnchor>
  <xdr:twoCellAnchor>
    <xdr:from>
      <xdr:col>8</xdr:col>
      <xdr:colOff>0</xdr:colOff>
      <xdr:row>385</xdr:row>
      <xdr:rowOff>0</xdr:rowOff>
    </xdr:from>
    <xdr:to>
      <xdr:col>8</xdr:col>
      <xdr:colOff>957794</xdr:colOff>
      <xdr:row>387</xdr:row>
      <xdr:rowOff>34996</xdr:rowOff>
    </xdr:to>
    <xdr:sp macro="" textlink="">
      <xdr:nvSpPr>
        <xdr:cNvPr id="37" name="Rectangle 36"/>
        <xdr:cNvSpPr/>
      </xdr:nvSpPr>
      <xdr:spPr>
        <a:xfrm>
          <a:off x="6845300" y="80829150"/>
          <a:ext cx="957794" cy="422346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050"/>
            <a:t>Wing H (Della)</a:t>
          </a:r>
        </a:p>
      </xdr:txBody>
    </xdr:sp>
    <xdr:clientData/>
  </xdr:twoCellAnchor>
  <xdr:twoCellAnchor>
    <xdr:from>
      <xdr:col>9</xdr:col>
      <xdr:colOff>0</xdr:colOff>
      <xdr:row>393</xdr:row>
      <xdr:rowOff>0</xdr:rowOff>
    </xdr:from>
    <xdr:to>
      <xdr:col>9</xdr:col>
      <xdr:colOff>657089</xdr:colOff>
      <xdr:row>395</xdr:row>
      <xdr:rowOff>76200</xdr:rowOff>
    </xdr:to>
    <xdr:sp macro="" textlink="">
      <xdr:nvSpPr>
        <xdr:cNvPr id="26" name="Rectangle 25"/>
        <xdr:cNvSpPr/>
      </xdr:nvSpPr>
      <xdr:spPr>
        <a:xfrm>
          <a:off x="8064500" y="82200750"/>
          <a:ext cx="657089" cy="469900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050">
              <a:solidFill>
                <a:srgbClr val="FFFF00"/>
              </a:solidFill>
            </a:rPr>
            <a:t>Wing H (Della)</a:t>
          </a:r>
        </a:p>
      </xdr:txBody>
    </xdr:sp>
    <xdr:clientData/>
  </xdr:twoCellAnchor>
  <xdr:twoCellAnchor>
    <xdr:from>
      <xdr:col>11</xdr:col>
      <xdr:colOff>656158</xdr:colOff>
      <xdr:row>396</xdr:row>
      <xdr:rowOff>38100</xdr:rowOff>
    </xdr:from>
    <xdr:to>
      <xdr:col>13</xdr:col>
      <xdr:colOff>212311</xdr:colOff>
      <xdr:row>397</xdr:row>
      <xdr:rowOff>98722</xdr:rowOff>
    </xdr:to>
    <xdr:sp macro="" textlink="">
      <xdr:nvSpPr>
        <xdr:cNvPr id="27" name="Rectangle 26"/>
        <xdr:cNvSpPr/>
      </xdr:nvSpPr>
      <xdr:spPr>
        <a:xfrm>
          <a:off x="10257358" y="82829400"/>
          <a:ext cx="1118253" cy="257472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050">
              <a:solidFill>
                <a:srgbClr val="FFFF00"/>
              </a:solidFill>
            </a:rPr>
            <a:t>Wing D (Galenia)</a:t>
          </a:r>
        </a:p>
      </xdr:txBody>
    </xdr:sp>
    <xdr:clientData/>
  </xdr:twoCellAnchor>
  <xdr:twoCellAnchor>
    <xdr:from>
      <xdr:col>9</xdr:col>
      <xdr:colOff>673240</xdr:colOff>
      <xdr:row>389</xdr:row>
      <xdr:rowOff>9627</xdr:rowOff>
    </xdr:from>
    <xdr:to>
      <xdr:col>10</xdr:col>
      <xdr:colOff>530696</xdr:colOff>
      <xdr:row>390</xdr:row>
      <xdr:rowOff>70249</xdr:rowOff>
    </xdr:to>
    <xdr:sp macro="" textlink="">
      <xdr:nvSpPr>
        <xdr:cNvPr id="30" name="Rectangle 29"/>
        <xdr:cNvSpPr/>
      </xdr:nvSpPr>
      <xdr:spPr>
        <a:xfrm>
          <a:off x="8737740" y="81422977"/>
          <a:ext cx="657556" cy="257472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050"/>
            <a:t>Wing B</a:t>
          </a:r>
        </a:p>
      </xdr:txBody>
    </xdr:sp>
    <xdr:clientData/>
  </xdr:twoCellAnchor>
  <xdr:twoCellAnchor>
    <xdr:from>
      <xdr:col>9</xdr:col>
      <xdr:colOff>0</xdr:colOff>
      <xdr:row>388</xdr:row>
      <xdr:rowOff>0</xdr:rowOff>
    </xdr:from>
    <xdr:to>
      <xdr:col>9</xdr:col>
      <xdr:colOff>657556</xdr:colOff>
      <xdr:row>389</xdr:row>
      <xdr:rowOff>60622</xdr:rowOff>
    </xdr:to>
    <xdr:sp macro="" textlink="">
      <xdr:nvSpPr>
        <xdr:cNvPr id="31" name="Rectangle 30"/>
        <xdr:cNvSpPr/>
      </xdr:nvSpPr>
      <xdr:spPr>
        <a:xfrm>
          <a:off x="8064500" y="81216500"/>
          <a:ext cx="657556" cy="257472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050"/>
            <a:t>Wing C</a:t>
          </a:r>
        </a:p>
      </xdr:txBody>
    </xdr:sp>
    <xdr:clientData/>
  </xdr:twoCellAnchor>
  <xdr:twoCellAnchor>
    <xdr:from>
      <xdr:col>0</xdr:col>
      <xdr:colOff>234950</xdr:colOff>
      <xdr:row>384</xdr:row>
      <xdr:rowOff>63500</xdr:rowOff>
    </xdr:from>
    <xdr:to>
      <xdr:col>7</xdr:col>
      <xdr:colOff>631575</xdr:colOff>
      <xdr:row>421</xdr:row>
      <xdr:rowOff>174852</xdr:rowOff>
    </xdr:to>
    <xdr:grpSp>
      <xdr:nvGrpSpPr>
        <xdr:cNvPr id="4" name="Group 3"/>
        <xdr:cNvGrpSpPr/>
      </xdr:nvGrpSpPr>
      <xdr:grpSpPr>
        <a:xfrm>
          <a:off x="234950" y="80498950"/>
          <a:ext cx="6371975" cy="7388452"/>
          <a:chOff x="234950" y="80498950"/>
          <a:chExt cx="6371975" cy="7388452"/>
        </a:xfrm>
      </xdr:grpSpPr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42902" y="85727402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7914" y="80524350"/>
            <a:ext cx="3836444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29592" y="83485876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4950" y="83485876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82271" y="83485876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95580" y="8572740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81569" y="80524350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4" name="Rectangle 53"/>
          <xdr:cNvSpPr/>
        </xdr:nvSpPr>
        <xdr:spPr>
          <a:xfrm>
            <a:off x="5118169" y="82943700"/>
            <a:ext cx="1118253" cy="257472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050">
                <a:solidFill>
                  <a:srgbClr val="FFFF00"/>
                </a:solidFill>
              </a:rPr>
              <a:t>Wing D (Galenia)</a:t>
            </a:r>
          </a:p>
        </xdr:txBody>
      </xdr:sp>
      <xdr:sp macro="" textlink="">
        <xdr:nvSpPr>
          <xdr:cNvPr id="55" name="Rectangle 54"/>
          <xdr:cNvSpPr/>
        </xdr:nvSpPr>
        <xdr:spPr>
          <a:xfrm>
            <a:off x="2566471" y="84787626"/>
            <a:ext cx="657089" cy="469900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050">
                <a:solidFill>
                  <a:srgbClr val="FFFF00"/>
                </a:solidFill>
              </a:rPr>
              <a:t>Wing H (Della)</a:t>
            </a:r>
          </a:p>
        </xdr:txBody>
      </xdr:sp>
      <xdr:sp macro="" textlink="">
        <xdr:nvSpPr>
          <xdr:cNvPr id="56" name="Rectangle 55"/>
          <xdr:cNvSpPr/>
        </xdr:nvSpPr>
        <xdr:spPr>
          <a:xfrm>
            <a:off x="2936964" y="80625950"/>
            <a:ext cx="657556" cy="257472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050"/>
              <a:t>Wing B</a:t>
            </a:r>
          </a:p>
        </xdr:txBody>
      </xdr:sp>
      <xdr:sp macro="" textlink="">
        <xdr:nvSpPr>
          <xdr:cNvPr id="57" name="Rectangle 56"/>
          <xdr:cNvSpPr/>
        </xdr:nvSpPr>
        <xdr:spPr>
          <a:xfrm>
            <a:off x="2308314" y="80498950"/>
            <a:ext cx="657556" cy="257472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050"/>
              <a:t>Wing C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801441</xdr:colOff>
      <xdr:row>35</xdr:row>
      <xdr:rowOff>47523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827516-3DCC-DEC8-583F-BBD9F7CBA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6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1109382</xdr:colOff>
      <xdr:row>13</xdr:row>
      <xdr:rowOff>181531</xdr:rowOff>
    </xdr:from>
    <xdr:to>
      <xdr:col>18</xdr:col>
      <xdr:colOff>50647</xdr:colOff>
      <xdr:row>35</xdr:row>
      <xdr:rowOff>38554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D9AB7E-DE56-913D-E520-F13B6C769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90647" y="2669237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.page/arihantaspirepanvel?share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470"/>
  <sheetViews>
    <sheetView tabSelected="1" view="pageBreakPreview" zoomScaleNormal="100" zoomScaleSheetLayoutView="100" zoomScalePageLayoutView="70" workbookViewId="0">
      <selection activeCell="E9" sqref="E9:H9"/>
    </sheetView>
  </sheetViews>
  <sheetFormatPr defaultColWidth="9.1796875" defaultRowHeight="15.5" x14ac:dyDescent="0.35"/>
  <cols>
    <col min="1" max="1" width="11.453125" style="43" customWidth="1"/>
    <col min="2" max="2" width="12" style="43" customWidth="1"/>
    <col min="3" max="3" width="12.7265625" style="43" customWidth="1"/>
    <col min="4" max="4" width="14.1796875" style="43" customWidth="1"/>
    <col min="5" max="7" width="11.7265625" style="43" customWidth="1"/>
    <col min="8" max="8" width="12.453125" style="43" customWidth="1"/>
    <col min="9" max="9" width="17.453125" style="23" customWidth="1"/>
    <col min="10" max="10" width="11.453125" style="23" customWidth="1"/>
    <col min="11" max="11" width="10.54296875" style="23" bestFit="1" customWidth="1"/>
    <col min="12" max="12" width="10.54296875" style="23" customWidth="1"/>
    <col min="13" max="13" width="11.81640625" style="23" customWidth="1"/>
    <col min="14" max="14" width="12.54296875" style="23" customWidth="1"/>
    <col min="15" max="15" width="9.81640625" style="23" customWidth="1"/>
    <col min="16" max="16" width="11.7265625" style="23" customWidth="1"/>
    <col min="17" max="247" width="9.1796875" style="23"/>
    <col min="248" max="248" width="8.7265625" style="23" customWidth="1"/>
    <col min="249" max="249" width="9.81640625" style="23" customWidth="1"/>
    <col min="250" max="250" width="14.453125" style="23" customWidth="1"/>
    <col min="251" max="251" width="7.26953125" style="23" customWidth="1"/>
    <col min="252" max="252" width="5.54296875" style="23" customWidth="1"/>
    <col min="253" max="253" width="9" style="23" customWidth="1"/>
    <col min="254" max="255" width="9.81640625" style="23" customWidth="1"/>
    <col min="256" max="256" width="11.1796875" style="23" customWidth="1"/>
    <col min="257" max="257" width="2.81640625" style="23" customWidth="1"/>
    <col min="258" max="258" width="3.54296875" style="23" customWidth="1"/>
    <col min="259" max="503" width="9.1796875" style="23"/>
    <col min="504" max="504" width="8.7265625" style="23" customWidth="1"/>
    <col min="505" max="505" width="9.81640625" style="23" customWidth="1"/>
    <col min="506" max="506" width="14.453125" style="23" customWidth="1"/>
    <col min="507" max="507" width="7.26953125" style="23" customWidth="1"/>
    <col min="508" max="508" width="5.54296875" style="23" customWidth="1"/>
    <col min="509" max="509" width="9" style="23" customWidth="1"/>
    <col min="510" max="511" width="9.81640625" style="23" customWidth="1"/>
    <col min="512" max="512" width="11.1796875" style="23" customWidth="1"/>
    <col min="513" max="513" width="2.81640625" style="23" customWidth="1"/>
    <col min="514" max="514" width="3.54296875" style="23" customWidth="1"/>
    <col min="515" max="759" width="9.1796875" style="23"/>
    <col min="760" max="760" width="8.7265625" style="23" customWidth="1"/>
    <col min="761" max="761" width="9.81640625" style="23" customWidth="1"/>
    <col min="762" max="762" width="14.453125" style="23" customWidth="1"/>
    <col min="763" max="763" width="7.26953125" style="23" customWidth="1"/>
    <col min="764" max="764" width="5.54296875" style="23" customWidth="1"/>
    <col min="765" max="765" width="9" style="23" customWidth="1"/>
    <col min="766" max="767" width="9.81640625" style="23" customWidth="1"/>
    <col min="768" max="768" width="11.1796875" style="23" customWidth="1"/>
    <col min="769" max="769" width="2.81640625" style="23" customWidth="1"/>
    <col min="770" max="770" width="3.54296875" style="23" customWidth="1"/>
    <col min="771" max="1015" width="9.1796875" style="23"/>
    <col min="1016" max="1016" width="8.7265625" style="23" customWidth="1"/>
    <col min="1017" max="1017" width="9.81640625" style="23" customWidth="1"/>
    <col min="1018" max="1018" width="14.453125" style="23" customWidth="1"/>
    <col min="1019" max="1019" width="7.26953125" style="23" customWidth="1"/>
    <col min="1020" max="1020" width="5.54296875" style="23" customWidth="1"/>
    <col min="1021" max="1021" width="9" style="23" customWidth="1"/>
    <col min="1022" max="1023" width="9.81640625" style="23" customWidth="1"/>
    <col min="1024" max="1024" width="11.1796875" style="23" customWidth="1"/>
    <col min="1025" max="1025" width="2.81640625" style="23" customWidth="1"/>
    <col min="1026" max="1026" width="3.54296875" style="23" customWidth="1"/>
    <col min="1027" max="1271" width="9.1796875" style="23"/>
    <col min="1272" max="1272" width="8.7265625" style="23" customWidth="1"/>
    <col min="1273" max="1273" width="9.81640625" style="23" customWidth="1"/>
    <col min="1274" max="1274" width="14.453125" style="23" customWidth="1"/>
    <col min="1275" max="1275" width="7.26953125" style="23" customWidth="1"/>
    <col min="1276" max="1276" width="5.54296875" style="23" customWidth="1"/>
    <col min="1277" max="1277" width="9" style="23" customWidth="1"/>
    <col min="1278" max="1279" width="9.81640625" style="23" customWidth="1"/>
    <col min="1280" max="1280" width="11.1796875" style="23" customWidth="1"/>
    <col min="1281" max="1281" width="2.81640625" style="23" customWidth="1"/>
    <col min="1282" max="1282" width="3.54296875" style="23" customWidth="1"/>
    <col min="1283" max="1527" width="9.1796875" style="23"/>
    <col min="1528" max="1528" width="8.7265625" style="23" customWidth="1"/>
    <col min="1529" max="1529" width="9.81640625" style="23" customWidth="1"/>
    <col min="1530" max="1530" width="14.453125" style="23" customWidth="1"/>
    <col min="1531" max="1531" width="7.26953125" style="23" customWidth="1"/>
    <col min="1532" max="1532" width="5.54296875" style="23" customWidth="1"/>
    <col min="1533" max="1533" width="9" style="23" customWidth="1"/>
    <col min="1534" max="1535" width="9.81640625" style="23" customWidth="1"/>
    <col min="1536" max="1536" width="11.1796875" style="23" customWidth="1"/>
    <col min="1537" max="1537" width="2.81640625" style="23" customWidth="1"/>
    <col min="1538" max="1538" width="3.54296875" style="23" customWidth="1"/>
    <col min="1539" max="1783" width="9.1796875" style="23"/>
    <col min="1784" max="1784" width="8.7265625" style="23" customWidth="1"/>
    <col min="1785" max="1785" width="9.81640625" style="23" customWidth="1"/>
    <col min="1786" max="1786" width="14.453125" style="23" customWidth="1"/>
    <col min="1787" max="1787" width="7.26953125" style="23" customWidth="1"/>
    <col min="1788" max="1788" width="5.54296875" style="23" customWidth="1"/>
    <col min="1789" max="1789" width="9" style="23" customWidth="1"/>
    <col min="1790" max="1791" width="9.81640625" style="23" customWidth="1"/>
    <col min="1792" max="1792" width="11.1796875" style="23" customWidth="1"/>
    <col min="1793" max="1793" width="2.81640625" style="23" customWidth="1"/>
    <col min="1794" max="1794" width="3.54296875" style="23" customWidth="1"/>
    <col min="1795" max="2039" width="9.1796875" style="23"/>
    <col min="2040" max="2040" width="8.7265625" style="23" customWidth="1"/>
    <col min="2041" max="2041" width="9.81640625" style="23" customWidth="1"/>
    <col min="2042" max="2042" width="14.453125" style="23" customWidth="1"/>
    <col min="2043" max="2043" width="7.26953125" style="23" customWidth="1"/>
    <col min="2044" max="2044" width="5.54296875" style="23" customWidth="1"/>
    <col min="2045" max="2045" width="9" style="23" customWidth="1"/>
    <col min="2046" max="2047" width="9.81640625" style="23" customWidth="1"/>
    <col min="2048" max="2048" width="11.1796875" style="23" customWidth="1"/>
    <col min="2049" max="2049" width="2.81640625" style="23" customWidth="1"/>
    <col min="2050" max="2050" width="3.54296875" style="23" customWidth="1"/>
    <col min="2051" max="2295" width="9.1796875" style="23"/>
    <col min="2296" max="2296" width="8.7265625" style="23" customWidth="1"/>
    <col min="2297" max="2297" width="9.81640625" style="23" customWidth="1"/>
    <col min="2298" max="2298" width="14.453125" style="23" customWidth="1"/>
    <col min="2299" max="2299" width="7.26953125" style="23" customWidth="1"/>
    <col min="2300" max="2300" width="5.54296875" style="23" customWidth="1"/>
    <col min="2301" max="2301" width="9" style="23" customWidth="1"/>
    <col min="2302" max="2303" width="9.81640625" style="23" customWidth="1"/>
    <col min="2304" max="2304" width="11.1796875" style="23" customWidth="1"/>
    <col min="2305" max="2305" width="2.81640625" style="23" customWidth="1"/>
    <col min="2306" max="2306" width="3.54296875" style="23" customWidth="1"/>
    <col min="2307" max="2551" width="9.1796875" style="23"/>
    <col min="2552" max="2552" width="8.7265625" style="23" customWidth="1"/>
    <col min="2553" max="2553" width="9.81640625" style="23" customWidth="1"/>
    <col min="2554" max="2554" width="14.453125" style="23" customWidth="1"/>
    <col min="2555" max="2555" width="7.26953125" style="23" customWidth="1"/>
    <col min="2556" max="2556" width="5.54296875" style="23" customWidth="1"/>
    <col min="2557" max="2557" width="9" style="23" customWidth="1"/>
    <col min="2558" max="2559" width="9.81640625" style="23" customWidth="1"/>
    <col min="2560" max="2560" width="11.1796875" style="23" customWidth="1"/>
    <col min="2561" max="2561" width="2.81640625" style="23" customWidth="1"/>
    <col min="2562" max="2562" width="3.54296875" style="23" customWidth="1"/>
    <col min="2563" max="2807" width="9.1796875" style="23"/>
    <col min="2808" max="2808" width="8.7265625" style="23" customWidth="1"/>
    <col min="2809" max="2809" width="9.81640625" style="23" customWidth="1"/>
    <col min="2810" max="2810" width="14.453125" style="23" customWidth="1"/>
    <col min="2811" max="2811" width="7.26953125" style="23" customWidth="1"/>
    <col min="2812" max="2812" width="5.54296875" style="23" customWidth="1"/>
    <col min="2813" max="2813" width="9" style="23" customWidth="1"/>
    <col min="2814" max="2815" width="9.81640625" style="23" customWidth="1"/>
    <col min="2816" max="2816" width="11.1796875" style="23" customWidth="1"/>
    <col min="2817" max="2817" width="2.81640625" style="23" customWidth="1"/>
    <col min="2818" max="2818" width="3.54296875" style="23" customWidth="1"/>
    <col min="2819" max="3063" width="9.1796875" style="23"/>
    <col min="3064" max="3064" width="8.7265625" style="23" customWidth="1"/>
    <col min="3065" max="3065" width="9.81640625" style="23" customWidth="1"/>
    <col min="3066" max="3066" width="14.453125" style="23" customWidth="1"/>
    <col min="3067" max="3067" width="7.26953125" style="23" customWidth="1"/>
    <col min="3068" max="3068" width="5.54296875" style="23" customWidth="1"/>
    <col min="3069" max="3069" width="9" style="23" customWidth="1"/>
    <col min="3070" max="3071" width="9.81640625" style="23" customWidth="1"/>
    <col min="3072" max="3072" width="11.1796875" style="23" customWidth="1"/>
    <col min="3073" max="3073" width="2.81640625" style="23" customWidth="1"/>
    <col min="3074" max="3074" width="3.54296875" style="23" customWidth="1"/>
    <col min="3075" max="3319" width="9.1796875" style="23"/>
    <col min="3320" max="3320" width="8.7265625" style="23" customWidth="1"/>
    <col min="3321" max="3321" width="9.81640625" style="23" customWidth="1"/>
    <col min="3322" max="3322" width="14.453125" style="23" customWidth="1"/>
    <col min="3323" max="3323" width="7.26953125" style="23" customWidth="1"/>
    <col min="3324" max="3324" width="5.54296875" style="23" customWidth="1"/>
    <col min="3325" max="3325" width="9" style="23" customWidth="1"/>
    <col min="3326" max="3327" width="9.81640625" style="23" customWidth="1"/>
    <col min="3328" max="3328" width="11.1796875" style="23" customWidth="1"/>
    <col min="3329" max="3329" width="2.81640625" style="23" customWidth="1"/>
    <col min="3330" max="3330" width="3.54296875" style="23" customWidth="1"/>
    <col min="3331" max="3575" width="9.1796875" style="23"/>
    <col min="3576" max="3576" width="8.7265625" style="23" customWidth="1"/>
    <col min="3577" max="3577" width="9.81640625" style="23" customWidth="1"/>
    <col min="3578" max="3578" width="14.453125" style="23" customWidth="1"/>
    <col min="3579" max="3579" width="7.26953125" style="23" customWidth="1"/>
    <col min="3580" max="3580" width="5.54296875" style="23" customWidth="1"/>
    <col min="3581" max="3581" width="9" style="23" customWidth="1"/>
    <col min="3582" max="3583" width="9.81640625" style="23" customWidth="1"/>
    <col min="3584" max="3584" width="11.1796875" style="23" customWidth="1"/>
    <col min="3585" max="3585" width="2.81640625" style="23" customWidth="1"/>
    <col min="3586" max="3586" width="3.54296875" style="23" customWidth="1"/>
    <col min="3587" max="3831" width="9.1796875" style="23"/>
    <col min="3832" max="3832" width="8.7265625" style="23" customWidth="1"/>
    <col min="3833" max="3833" width="9.81640625" style="23" customWidth="1"/>
    <col min="3834" max="3834" width="14.453125" style="23" customWidth="1"/>
    <col min="3835" max="3835" width="7.26953125" style="23" customWidth="1"/>
    <col min="3836" max="3836" width="5.54296875" style="23" customWidth="1"/>
    <col min="3837" max="3837" width="9" style="23" customWidth="1"/>
    <col min="3838" max="3839" width="9.81640625" style="23" customWidth="1"/>
    <col min="3840" max="3840" width="11.1796875" style="23" customWidth="1"/>
    <col min="3841" max="3841" width="2.81640625" style="23" customWidth="1"/>
    <col min="3842" max="3842" width="3.54296875" style="23" customWidth="1"/>
    <col min="3843" max="4087" width="9.1796875" style="23"/>
    <col min="4088" max="4088" width="8.7265625" style="23" customWidth="1"/>
    <col min="4089" max="4089" width="9.81640625" style="23" customWidth="1"/>
    <col min="4090" max="4090" width="14.453125" style="23" customWidth="1"/>
    <col min="4091" max="4091" width="7.26953125" style="23" customWidth="1"/>
    <col min="4092" max="4092" width="5.54296875" style="23" customWidth="1"/>
    <col min="4093" max="4093" width="9" style="23" customWidth="1"/>
    <col min="4094" max="4095" width="9.81640625" style="23" customWidth="1"/>
    <col min="4096" max="4096" width="11.1796875" style="23" customWidth="1"/>
    <col min="4097" max="4097" width="2.81640625" style="23" customWidth="1"/>
    <col min="4098" max="4098" width="3.54296875" style="23" customWidth="1"/>
    <col min="4099" max="4343" width="9.1796875" style="23"/>
    <col min="4344" max="4344" width="8.7265625" style="23" customWidth="1"/>
    <col min="4345" max="4345" width="9.81640625" style="23" customWidth="1"/>
    <col min="4346" max="4346" width="14.453125" style="23" customWidth="1"/>
    <col min="4347" max="4347" width="7.26953125" style="23" customWidth="1"/>
    <col min="4348" max="4348" width="5.54296875" style="23" customWidth="1"/>
    <col min="4349" max="4349" width="9" style="23" customWidth="1"/>
    <col min="4350" max="4351" width="9.81640625" style="23" customWidth="1"/>
    <col min="4352" max="4352" width="11.1796875" style="23" customWidth="1"/>
    <col min="4353" max="4353" width="2.81640625" style="23" customWidth="1"/>
    <col min="4354" max="4354" width="3.54296875" style="23" customWidth="1"/>
    <col min="4355" max="4599" width="9.1796875" style="23"/>
    <col min="4600" max="4600" width="8.7265625" style="23" customWidth="1"/>
    <col min="4601" max="4601" width="9.81640625" style="23" customWidth="1"/>
    <col min="4602" max="4602" width="14.453125" style="23" customWidth="1"/>
    <col min="4603" max="4603" width="7.26953125" style="23" customWidth="1"/>
    <col min="4604" max="4604" width="5.54296875" style="23" customWidth="1"/>
    <col min="4605" max="4605" width="9" style="23" customWidth="1"/>
    <col min="4606" max="4607" width="9.81640625" style="23" customWidth="1"/>
    <col min="4608" max="4608" width="11.1796875" style="23" customWidth="1"/>
    <col min="4609" max="4609" width="2.81640625" style="23" customWidth="1"/>
    <col min="4610" max="4610" width="3.54296875" style="23" customWidth="1"/>
    <col min="4611" max="4855" width="9.1796875" style="23"/>
    <col min="4856" max="4856" width="8.7265625" style="23" customWidth="1"/>
    <col min="4857" max="4857" width="9.81640625" style="23" customWidth="1"/>
    <col min="4858" max="4858" width="14.453125" style="23" customWidth="1"/>
    <col min="4859" max="4859" width="7.26953125" style="23" customWidth="1"/>
    <col min="4860" max="4860" width="5.54296875" style="23" customWidth="1"/>
    <col min="4861" max="4861" width="9" style="23" customWidth="1"/>
    <col min="4862" max="4863" width="9.81640625" style="23" customWidth="1"/>
    <col min="4864" max="4864" width="11.1796875" style="23" customWidth="1"/>
    <col min="4865" max="4865" width="2.81640625" style="23" customWidth="1"/>
    <col min="4866" max="4866" width="3.54296875" style="23" customWidth="1"/>
    <col min="4867" max="5111" width="9.1796875" style="23"/>
    <col min="5112" max="5112" width="8.7265625" style="23" customWidth="1"/>
    <col min="5113" max="5113" width="9.81640625" style="23" customWidth="1"/>
    <col min="5114" max="5114" width="14.453125" style="23" customWidth="1"/>
    <col min="5115" max="5115" width="7.26953125" style="23" customWidth="1"/>
    <col min="5116" max="5116" width="5.54296875" style="23" customWidth="1"/>
    <col min="5117" max="5117" width="9" style="23" customWidth="1"/>
    <col min="5118" max="5119" width="9.81640625" style="23" customWidth="1"/>
    <col min="5120" max="5120" width="11.1796875" style="23" customWidth="1"/>
    <col min="5121" max="5121" width="2.81640625" style="23" customWidth="1"/>
    <col min="5122" max="5122" width="3.54296875" style="23" customWidth="1"/>
    <col min="5123" max="5367" width="9.1796875" style="23"/>
    <col min="5368" max="5368" width="8.7265625" style="23" customWidth="1"/>
    <col min="5369" max="5369" width="9.81640625" style="23" customWidth="1"/>
    <col min="5370" max="5370" width="14.453125" style="23" customWidth="1"/>
    <col min="5371" max="5371" width="7.26953125" style="23" customWidth="1"/>
    <col min="5372" max="5372" width="5.54296875" style="23" customWidth="1"/>
    <col min="5373" max="5373" width="9" style="23" customWidth="1"/>
    <col min="5374" max="5375" width="9.81640625" style="23" customWidth="1"/>
    <col min="5376" max="5376" width="11.1796875" style="23" customWidth="1"/>
    <col min="5377" max="5377" width="2.81640625" style="23" customWidth="1"/>
    <col min="5378" max="5378" width="3.54296875" style="23" customWidth="1"/>
    <col min="5379" max="5623" width="9.1796875" style="23"/>
    <col min="5624" max="5624" width="8.7265625" style="23" customWidth="1"/>
    <col min="5625" max="5625" width="9.81640625" style="23" customWidth="1"/>
    <col min="5626" max="5626" width="14.453125" style="23" customWidth="1"/>
    <col min="5627" max="5627" width="7.26953125" style="23" customWidth="1"/>
    <col min="5628" max="5628" width="5.54296875" style="23" customWidth="1"/>
    <col min="5629" max="5629" width="9" style="23" customWidth="1"/>
    <col min="5630" max="5631" width="9.81640625" style="23" customWidth="1"/>
    <col min="5632" max="5632" width="11.1796875" style="23" customWidth="1"/>
    <col min="5633" max="5633" width="2.81640625" style="23" customWidth="1"/>
    <col min="5634" max="5634" width="3.54296875" style="23" customWidth="1"/>
    <col min="5635" max="5879" width="9.1796875" style="23"/>
    <col min="5880" max="5880" width="8.7265625" style="23" customWidth="1"/>
    <col min="5881" max="5881" width="9.81640625" style="23" customWidth="1"/>
    <col min="5882" max="5882" width="14.453125" style="23" customWidth="1"/>
    <col min="5883" max="5883" width="7.26953125" style="23" customWidth="1"/>
    <col min="5884" max="5884" width="5.54296875" style="23" customWidth="1"/>
    <col min="5885" max="5885" width="9" style="23" customWidth="1"/>
    <col min="5886" max="5887" width="9.81640625" style="23" customWidth="1"/>
    <col min="5888" max="5888" width="11.1796875" style="23" customWidth="1"/>
    <col min="5889" max="5889" width="2.81640625" style="23" customWidth="1"/>
    <col min="5890" max="5890" width="3.54296875" style="23" customWidth="1"/>
    <col min="5891" max="6135" width="9.1796875" style="23"/>
    <col min="6136" max="6136" width="8.7265625" style="23" customWidth="1"/>
    <col min="6137" max="6137" width="9.81640625" style="23" customWidth="1"/>
    <col min="6138" max="6138" width="14.453125" style="23" customWidth="1"/>
    <col min="6139" max="6139" width="7.26953125" style="23" customWidth="1"/>
    <col min="6140" max="6140" width="5.54296875" style="23" customWidth="1"/>
    <col min="6141" max="6141" width="9" style="23" customWidth="1"/>
    <col min="6142" max="6143" width="9.81640625" style="23" customWidth="1"/>
    <col min="6144" max="6144" width="11.1796875" style="23" customWidth="1"/>
    <col min="6145" max="6145" width="2.81640625" style="23" customWidth="1"/>
    <col min="6146" max="6146" width="3.54296875" style="23" customWidth="1"/>
    <col min="6147" max="6391" width="9.1796875" style="23"/>
    <col min="6392" max="6392" width="8.7265625" style="23" customWidth="1"/>
    <col min="6393" max="6393" width="9.81640625" style="23" customWidth="1"/>
    <col min="6394" max="6394" width="14.453125" style="23" customWidth="1"/>
    <col min="6395" max="6395" width="7.26953125" style="23" customWidth="1"/>
    <col min="6396" max="6396" width="5.54296875" style="23" customWidth="1"/>
    <col min="6397" max="6397" width="9" style="23" customWidth="1"/>
    <col min="6398" max="6399" width="9.81640625" style="23" customWidth="1"/>
    <col min="6400" max="6400" width="11.1796875" style="23" customWidth="1"/>
    <col min="6401" max="6401" width="2.81640625" style="23" customWidth="1"/>
    <col min="6402" max="6402" width="3.54296875" style="23" customWidth="1"/>
    <col min="6403" max="6647" width="9.1796875" style="23"/>
    <col min="6648" max="6648" width="8.7265625" style="23" customWidth="1"/>
    <col min="6649" max="6649" width="9.81640625" style="23" customWidth="1"/>
    <col min="6650" max="6650" width="14.453125" style="23" customWidth="1"/>
    <col min="6651" max="6651" width="7.26953125" style="23" customWidth="1"/>
    <col min="6652" max="6652" width="5.54296875" style="23" customWidth="1"/>
    <col min="6653" max="6653" width="9" style="23" customWidth="1"/>
    <col min="6654" max="6655" width="9.81640625" style="23" customWidth="1"/>
    <col min="6656" max="6656" width="11.1796875" style="23" customWidth="1"/>
    <col min="6657" max="6657" width="2.81640625" style="23" customWidth="1"/>
    <col min="6658" max="6658" width="3.54296875" style="23" customWidth="1"/>
    <col min="6659" max="6903" width="9.1796875" style="23"/>
    <col min="6904" max="6904" width="8.7265625" style="23" customWidth="1"/>
    <col min="6905" max="6905" width="9.81640625" style="23" customWidth="1"/>
    <col min="6906" max="6906" width="14.453125" style="23" customWidth="1"/>
    <col min="6907" max="6907" width="7.26953125" style="23" customWidth="1"/>
    <col min="6908" max="6908" width="5.54296875" style="23" customWidth="1"/>
    <col min="6909" max="6909" width="9" style="23" customWidth="1"/>
    <col min="6910" max="6911" width="9.81640625" style="23" customWidth="1"/>
    <col min="6912" max="6912" width="11.1796875" style="23" customWidth="1"/>
    <col min="6913" max="6913" width="2.81640625" style="23" customWidth="1"/>
    <col min="6914" max="6914" width="3.54296875" style="23" customWidth="1"/>
    <col min="6915" max="7159" width="9.1796875" style="23"/>
    <col min="7160" max="7160" width="8.7265625" style="23" customWidth="1"/>
    <col min="7161" max="7161" width="9.81640625" style="23" customWidth="1"/>
    <col min="7162" max="7162" width="14.453125" style="23" customWidth="1"/>
    <col min="7163" max="7163" width="7.26953125" style="23" customWidth="1"/>
    <col min="7164" max="7164" width="5.54296875" style="23" customWidth="1"/>
    <col min="7165" max="7165" width="9" style="23" customWidth="1"/>
    <col min="7166" max="7167" width="9.81640625" style="23" customWidth="1"/>
    <col min="7168" max="7168" width="11.1796875" style="23" customWidth="1"/>
    <col min="7169" max="7169" width="2.81640625" style="23" customWidth="1"/>
    <col min="7170" max="7170" width="3.54296875" style="23" customWidth="1"/>
    <col min="7171" max="7415" width="9.1796875" style="23"/>
    <col min="7416" max="7416" width="8.7265625" style="23" customWidth="1"/>
    <col min="7417" max="7417" width="9.81640625" style="23" customWidth="1"/>
    <col min="7418" max="7418" width="14.453125" style="23" customWidth="1"/>
    <col min="7419" max="7419" width="7.26953125" style="23" customWidth="1"/>
    <col min="7420" max="7420" width="5.54296875" style="23" customWidth="1"/>
    <col min="7421" max="7421" width="9" style="23" customWidth="1"/>
    <col min="7422" max="7423" width="9.81640625" style="23" customWidth="1"/>
    <col min="7424" max="7424" width="11.1796875" style="23" customWidth="1"/>
    <col min="7425" max="7425" width="2.81640625" style="23" customWidth="1"/>
    <col min="7426" max="7426" width="3.54296875" style="23" customWidth="1"/>
    <col min="7427" max="7671" width="9.1796875" style="23"/>
    <col min="7672" max="7672" width="8.7265625" style="23" customWidth="1"/>
    <col min="7673" max="7673" width="9.81640625" style="23" customWidth="1"/>
    <col min="7674" max="7674" width="14.453125" style="23" customWidth="1"/>
    <col min="7675" max="7675" width="7.26953125" style="23" customWidth="1"/>
    <col min="7676" max="7676" width="5.54296875" style="23" customWidth="1"/>
    <col min="7677" max="7677" width="9" style="23" customWidth="1"/>
    <col min="7678" max="7679" width="9.81640625" style="23" customWidth="1"/>
    <col min="7680" max="7680" width="11.1796875" style="23" customWidth="1"/>
    <col min="7681" max="7681" width="2.81640625" style="23" customWidth="1"/>
    <col min="7682" max="7682" width="3.54296875" style="23" customWidth="1"/>
    <col min="7683" max="7927" width="9.1796875" style="23"/>
    <col min="7928" max="7928" width="8.7265625" style="23" customWidth="1"/>
    <col min="7929" max="7929" width="9.81640625" style="23" customWidth="1"/>
    <col min="7930" max="7930" width="14.453125" style="23" customWidth="1"/>
    <col min="7931" max="7931" width="7.26953125" style="23" customWidth="1"/>
    <col min="7932" max="7932" width="5.54296875" style="23" customWidth="1"/>
    <col min="7933" max="7933" width="9" style="23" customWidth="1"/>
    <col min="7934" max="7935" width="9.81640625" style="23" customWidth="1"/>
    <col min="7936" max="7936" width="11.1796875" style="23" customWidth="1"/>
    <col min="7937" max="7937" width="2.81640625" style="23" customWidth="1"/>
    <col min="7938" max="7938" width="3.54296875" style="23" customWidth="1"/>
    <col min="7939" max="8183" width="9.1796875" style="23"/>
    <col min="8184" max="8184" width="8.7265625" style="23" customWidth="1"/>
    <col min="8185" max="8185" width="9.81640625" style="23" customWidth="1"/>
    <col min="8186" max="8186" width="14.453125" style="23" customWidth="1"/>
    <col min="8187" max="8187" width="7.26953125" style="23" customWidth="1"/>
    <col min="8188" max="8188" width="5.54296875" style="23" customWidth="1"/>
    <col min="8189" max="8189" width="9" style="23" customWidth="1"/>
    <col min="8190" max="8191" width="9.81640625" style="23" customWidth="1"/>
    <col min="8192" max="8192" width="11.1796875" style="23" customWidth="1"/>
    <col min="8193" max="8193" width="2.81640625" style="23" customWidth="1"/>
    <col min="8194" max="8194" width="3.54296875" style="23" customWidth="1"/>
    <col min="8195" max="8439" width="9.1796875" style="23"/>
    <col min="8440" max="8440" width="8.7265625" style="23" customWidth="1"/>
    <col min="8441" max="8441" width="9.81640625" style="23" customWidth="1"/>
    <col min="8442" max="8442" width="14.453125" style="23" customWidth="1"/>
    <col min="8443" max="8443" width="7.26953125" style="23" customWidth="1"/>
    <col min="8444" max="8444" width="5.54296875" style="23" customWidth="1"/>
    <col min="8445" max="8445" width="9" style="23" customWidth="1"/>
    <col min="8446" max="8447" width="9.81640625" style="23" customWidth="1"/>
    <col min="8448" max="8448" width="11.1796875" style="23" customWidth="1"/>
    <col min="8449" max="8449" width="2.81640625" style="23" customWidth="1"/>
    <col min="8450" max="8450" width="3.54296875" style="23" customWidth="1"/>
    <col min="8451" max="8695" width="9.1796875" style="23"/>
    <col min="8696" max="8696" width="8.7265625" style="23" customWidth="1"/>
    <col min="8697" max="8697" width="9.81640625" style="23" customWidth="1"/>
    <col min="8698" max="8698" width="14.453125" style="23" customWidth="1"/>
    <col min="8699" max="8699" width="7.26953125" style="23" customWidth="1"/>
    <col min="8700" max="8700" width="5.54296875" style="23" customWidth="1"/>
    <col min="8701" max="8701" width="9" style="23" customWidth="1"/>
    <col min="8702" max="8703" width="9.81640625" style="23" customWidth="1"/>
    <col min="8704" max="8704" width="11.1796875" style="23" customWidth="1"/>
    <col min="8705" max="8705" width="2.81640625" style="23" customWidth="1"/>
    <col min="8706" max="8706" width="3.54296875" style="23" customWidth="1"/>
    <col min="8707" max="8951" width="9.1796875" style="23"/>
    <col min="8952" max="8952" width="8.7265625" style="23" customWidth="1"/>
    <col min="8953" max="8953" width="9.81640625" style="23" customWidth="1"/>
    <col min="8954" max="8954" width="14.453125" style="23" customWidth="1"/>
    <col min="8955" max="8955" width="7.26953125" style="23" customWidth="1"/>
    <col min="8956" max="8956" width="5.54296875" style="23" customWidth="1"/>
    <col min="8957" max="8957" width="9" style="23" customWidth="1"/>
    <col min="8958" max="8959" width="9.81640625" style="23" customWidth="1"/>
    <col min="8960" max="8960" width="11.1796875" style="23" customWidth="1"/>
    <col min="8961" max="8961" width="2.81640625" style="23" customWidth="1"/>
    <col min="8962" max="8962" width="3.54296875" style="23" customWidth="1"/>
    <col min="8963" max="9207" width="9.1796875" style="23"/>
    <col min="9208" max="9208" width="8.7265625" style="23" customWidth="1"/>
    <col min="9209" max="9209" width="9.81640625" style="23" customWidth="1"/>
    <col min="9210" max="9210" width="14.453125" style="23" customWidth="1"/>
    <col min="9211" max="9211" width="7.26953125" style="23" customWidth="1"/>
    <col min="9212" max="9212" width="5.54296875" style="23" customWidth="1"/>
    <col min="9213" max="9213" width="9" style="23" customWidth="1"/>
    <col min="9214" max="9215" width="9.81640625" style="23" customWidth="1"/>
    <col min="9216" max="9216" width="11.1796875" style="23" customWidth="1"/>
    <col min="9217" max="9217" width="2.81640625" style="23" customWidth="1"/>
    <col min="9218" max="9218" width="3.54296875" style="23" customWidth="1"/>
    <col min="9219" max="9463" width="9.1796875" style="23"/>
    <col min="9464" max="9464" width="8.7265625" style="23" customWidth="1"/>
    <col min="9465" max="9465" width="9.81640625" style="23" customWidth="1"/>
    <col min="9466" max="9466" width="14.453125" style="23" customWidth="1"/>
    <col min="9467" max="9467" width="7.26953125" style="23" customWidth="1"/>
    <col min="9468" max="9468" width="5.54296875" style="23" customWidth="1"/>
    <col min="9469" max="9469" width="9" style="23" customWidth="1"/>
    <col min="9470" max="9471" width="9.81640625" style="23" customWidth="1"/>
    <col min="9472" max="9472" width="11.1796875" style="23" customWidth="1"/>
    <col min="9473" max="9473" width="2.81640625" style="23" customWidth="1"/>
    <col min="9474" max="9474" width="3.54296875" style="23" customWidth="1"/>
    <col min="9475" max="9719" width="9.1796875" style="23"/>
    <col min="9720" max="9720" width="8.7265625" style="23" customWidth="1"/>
    <col min="9721" max="9721" width="9.81640625" style="23" customWidth="1"/>
    <col min="9722" max="9722" width="14.453125" style="23" customWidth="1"/>
    <col min="9723" max="9723" width="7.26953125" style="23" customWidth="1"/>
    <col min="9724" max="9724" width="5.54296875" style="23" customWidth="1"/>
    <col min="9725" max="9725" width="9" style="23" customWidth="1"/>
    <col min="9726" max="9727" width="9.81640625" style="23" customWidth="1"/>
    <col min="9728" max="9728" width="11.1796875" style="23" customWidth="1"/>
    <col min="9729" max="9729" width="2.81640625" style="23" customWidth="1"/>
    <col min="9730" max="9730" width="3.54296875" style="23" customWidth="1"/>
    <col min="9731" max="9975" width="9.1796875" style="23"/>
    <col min="9976" max="9976" width="8.7265625" style="23" customWidth="1"/>
    <col min="9977" max="9977" width="9.81640625" style="23" customWidth="1"/>
    <col min="9978" max="9978" width="14.453125" style="23" customWidth="1"/>
    <col min="9979" max="9979" width="7.26953125" style="23" customWidth="1"/>
    <col min="9980" max="9980" width="5.54296875" style="23" customWidth="1"/>
    <col min="9981" max="9981" width="9" style="23" customWidth="1"/>
    <col min="9982" max="9983" width="9.81640625" style="23" customWidth="1"/>
    <col min="9984" max="9984" width="11.1796875" style="23" customWidth="1"/>
    <col min="9985" max="9985" width="2.81640625" style="23" customWidth="1"/>
    <col min="9986" max="9986" width="3.54296875" style="23" customWidth="1"/>
    <col min="9987" max="10231" width="9.1796875" style="23"/>
    <col min="10232" max="10232" width="8.7265625" style="23" customWidth="1"/>
    <col min="10233" max="10233" width="9.81640625" style="23" customWidth="1"/>
    <col min="10234" max="10234" width="14.453125" style="23" customWidth="1"/>
    <col min="10235" max="10235" width="7.26953125" style="23" customWidth="1"/>
    <col min="10236" max="10236" width="5.54296875" style="23" customWidth="1"/>
    <col min="10237" max="10237" width="9" style="23" customWidth="1"/>
    <col min="10238" max="10239" width="9.81640625" style="23" customWidth="1"/>
    <col min="10240" max="10240" width="11.1796875" style="23" customWidth="1"/>
    <col min="10241" max="10241" width="2.81640625" style="23" customWidth="1"/>
    <col min="10242" max="10242" width="3.54296875" style="23" customWidth="1"/>
    <col min="10243" max="10487" width="9.1796875" style="23"/>
    <col min="10488" max="10488" width="8.7265625" style="23" customWidth="1"/>
    <col min="10489" max="10489" width="9.81640625" style="23" customWidth="1"/>
    <col min="10490" max="10490" width="14.453125" style="23" customWidth="1"/>
    <col min="10491" max="10491" width="7.26953125" style="23" customWidth="1"/>
    <col min="10492" max="10492" width="5.54296875" style="23" customWidth="1"/>
    <col min="10493" max="10493" width="9" style="23" customWidth="1"/>
    <col min="10494" max="10495" width="9.81640625" style="23" customWidth="1"/>
    <col min="10496" max="10496" width="11.1796875" style="23" customWidth="1"/>
    <col min="10497" max="10497" width="2.81640625" style="23" customWidth="1"/>
    <col min="10498" max="10498" width="3.54296875" style="23" customWidth="1"/>
    <col min="10499" max="10743" width="9.1796875" style="23"/>
    <col min="10744" max="10744" width="8.7265625" style="23" customWidth="1"/>
    <col min="10745" max="10745" width="9.81640625" style="23" customWidth="1"/>
    <col min="10746" max="10746" width="14.453125" style="23" customWidth="1"/>
    <col min="10747" max="10747" width="7.26953125" style="23" customWidth="1"/>
    <col min="10748" max="10748" width="5.54296875" style="23" customWidth="1"/>
    <col min="10749" max="10749" width="9" style="23" customWidth="1"/>
    <col min="10750" max="10751" width="9.81640625" style="23" customWidth="1"/>
    <col min="10752" max="10752" width="11.1796875" style="23" customWidth="1"/>
    <col min="10753" max="10753" width="2.81640625" style="23" customWidth="1"/>
    <col min="10754" max="10754" width="3.54296875" style="23" customWidth="1"/>
    <col min="10755" max="10999" width="9.1796875" style="23"/>
    <col min="11000" max="11000" width="8.7265625" style="23" customWidth="1"/>
    <col min="11001" max="11001" width="9.81640625" style="23" customWidth="1"/>
    <col min="11002" max="11002" width="14.453125" style="23" customWidth="1"/>
    <col min="11003" max="11003" width="7.26953125" style="23" customWidth="1"/>
    <col min="11004" max="11004" width="5.54296875" style="23" customWidth="1"/>
    <col min="11005" max="11005" width="9" style="23" customWidth="1"/>
    <col min="11006" max="11007" width="9.81640625" style="23" customWidth="1"/>
    <col min="11008" max="11008" width="11.1796875" style="23" customWidth="1"/>
    <col min="11009" max="11009" width="2.81640625" style="23" customWidth="1"/>
    <col min="11010" max="11010" width="3.54296875" style="23" customWidth="1"/>
    <col min="11011" max="11255" width="9.1796875" style="23"/>
    <col min="11256" max="11256" width="8.7265625" style="23" customWidth="1"/>
    <col min="11257" max="11257" width="9.81640625" style="23" customWidth="1"/>
    <col min="11258" max="11258" width="14.453125" style="23" customWidth="1"/>
    <col min="11259" max="11259" width="7.26953125" style="23" customWidth="1"/>
    <col min="11260" max="11260" width="5.54296875" style="23" customWidth="1"/>
    <col min="11261" max="11261" width="9" style="23" customWidth="1"/>
    <col min="11262" max="11263" width="9.81640625" style="23" customWidth="1"/>
    <col min="11264" max="11264" width="11.1796875" style="23" customWidth="1"/>
    <col min="11265" max="11265" width="2.81640625" style="23" customWidth="1"/>
    <col min="11266" max="11266" width="3.54296875" style="23" customWidth="1"/>
    <col min="11267" max="11511" width="9.1796875" style="23"/>
    <col min="11512" max="11512" width="8.7265625" style="23" customWidth="1"/>
    <col min="11513" max="11513" width="9.81640625" style="23" customWidth="1"/>
    <col min="11514" max="11514" width="14.453125" style="23" customWidth="1"/>
    <col min="11515" max="11515" width="7.26953125" style="23" customWidth="1"/>
    <col min="11516" max="11516" width="5.54296875" style="23" customWidth="1"/>
    <col min="11517" max="11517" width="9" style="23" customWidth="1"/>
    <col min="11518" max="11519" width="9.81640625" style="23" customWidth="1"/>
    <col min="11520" max="11520" width="11.1796875" style="23" customWidth="1"/>
    <col min="11521" max="11521" width="2.81640625" style="23" customWidth="1"/>
    <col min="11522" max="11522" width="3.54296875" style="23" customWidth="1"/>
    <col min="11523" max="11767" width="9.1796875" style="23"/>
    <col min="11768" max="11768" width="8.7265625" style="23" customWidth="1"/>
    <col min="11769" max="11769" width="9.81640625" style="23" customWidth="1"/>
    <col min="11770" max="11770" width="14.453125" style="23" customWidth="1"/>
    <col min="11771" max="11771" width="7.26953125" style="23" customWidth="1"/>
    <col min="11772" max="11772" width="5.54296875" style="23" customWidth="1"/>
    <col min="11773" max="11773" width="9" style="23" customWidth="1"/>
    <col min="11774" max="11775" width="9.81640625" style="23" customWidth="1"/>
    <col min="11776" max="11776" width="11.1796875" style="23" customWidth="1"/>
    <col min="11777" max="11777" width="2.81640625" style="23" customWidth="1"/>
    <col min="11778" max="11778" width="3.54296875" style="23" customWidth="1"/>
    <col min="11779" max="12023" width="9.1796875" style="23"/>
    <col min="12024" max="12024" width="8.7265625" style="23" customWidth="1"/>
    <col min="12025" max="12025" width="9.81640625" style="23" customWidth="1"/>
    <col min="12026" max="12026" width="14.453125" style="23" customWidth="1"/>
    <col min="12027" max="12027" width="7.26953125" style="23" customWidth="1"/>
    <col min="12028" max="12028" width="5.54296875" style="23" customWidth="1"/>
    <col min="12029" max="12029" width="9" style="23" customWidth="1"/>
    <col min="12030" max="12031" width="9.81640625" style="23" customWidth="1"/>
    <col min="12032" max="12032" width="11.1796875" style="23" customWidth="1"/>
    <col min="12033" max="12033" width="2.81640625" style="23" customWidth="1"/>
    <col min="12034" max="12034" width="3.54296875" style="23" customWidth="1"/>
    <col min="12035" max="12279" width="9.1796875" style="23"/>
    <col min="12280" max="12280" width="8.7265625" style="23" customWidth="1"/>
    <col min="12281" max="12281" width="9.81640625" style="23" customWidth="1"/>
    <col min="12282" max="12282" width="14.453125" style="23" customWidth="1"/>
    <col min="12283" max="12283" width="7.26953125" style="23" customWidth="1"/>
    <col min="12284" max="12284" width="5.54296875" style="23" customWidth="1"/>
    <col min="12285" max="12285" width="9" style="23" customWidth="1"/>
    <col min="12286" max="12287" width="9.81640625" style="23" customWidth="1"/>
    <col min="12288" max="12288" width="11.1796875" style="23" customWidth="1"/>
    <col min="12289" max="12289" width="2.81640625" style="23" customWidth="1"/>
    <col min="12290" max="12290" width="3.54296875" style="23" customWidth="1"/>
    <col min="12291" max="12535" width="9.1796875" style="23"/>
    <col min="12536" max="12536" width="8.7265625" style="23" customWidth="1"/>
    <col min="12537" max="12537" width="9.81640625" style="23" customWidth="1"/>
    <col min="12538" max="12538" width="14.453125" style="23" customWidth="1"/>
    <col min="12539" max="12539" width="7.26953125" style="23" customWidth="1"/>
    <col min="12540" max="12540" width="5.54296875" style="23" customWidth="1"/>
    <col min="12541" max="12541" width="9" style="23" customWidth="1"/>
    <col min="12542" max="12543" width="9.81640625" style="23" customWidth="1"/>
    <col min="12544" max="12544" width="11.1796875" style="23" customWidth="1"/>
    <col min="12545" max="12545" width="2.81640625" style="23" customWidth="1"/>
    <col min="12546" max="12546" width="3.54296875" style="23" customWidth="1"/>
    <col min="12547" max="12791" width="9.1796875" style="23"/>
    <col min="12792" max="12792" width="8.7265625" style="23" customWidth="1"/>
    <col min="12793" max="12793" width="9.81640625" style="23" customWidth="1"/>
    <col min="12794" max="12794" width="14.453125" style="23" customWidth="1"/>
    <col min="12795" max="12795" width="7.26953125" style="23" customWidth="1"/>
    <col min="12796" max="12796" width="5.54296875" style="23" customWidth="1"/>
    <col min="12797" max="12797" width="9" style="23" customWidth="1"/>
    <col min="12798" max="12799" width="9.81640625" style="23" customWidth="1"/>
    <col min="12800" max="12800" width="11.1796875" style="23" customWidth="1"/>
    <col min="12801" max="12801" width="2.81640625" style="23" customWidth="1"/>
    <col min="12802" max="12802" width="3.54296875" style="23" customWidth="1"/>
    <col min="12803" max="13047" width="9.1796875" style="23"/>
    <col min="13048" max="13048" width="8.7265625" style="23" customWidth="1"/>
    <col min="13049" max="13049" width="9.81640625" style="23" customWidth="1"/>
    <col min="13050" max="13050" width="14.453125" style="23" customWidth="1"/>
    <col min="13051" max="13051" width="7.26953125" style="23" customWidth="1"/>
    <col min="13052" max="13052" width="5.54296875" style="23" customWidth="1"/>
    <col min="13053" max="13053" width="9" style="23" customWidth="1"/>
    <col min="13054" max="13055" width="9.81640625" style="23" customWidth="1"/>
    <col min="13056" max="13056" width="11.1796875" style="23" customWidth="1"/>
    <col min="13057" max="13057" width="2.81640625" style="23" customWidth="1"/>
    <col min="13058" max="13058" width="3.54296875" style="23" customWidth="1"/>
    <col min="13059" max="13303" width="9.1796875" style="23"/>
    <col min="13304" max="13304" width="8.7265625" style="23" customWidth="1"/>
    <col min="13305" max="13305" width="9.81640625" style="23" customWidth="1"/>
    <col min="13306" max="13306" width="14.453125" style="23" customWidth="1"/>
    <col min="13307" max="13307" width="7.26953125" style="23" customWidth="1"/>
    <col min="13308" max="13308" width="5.54296875" style="23" customWidth="1"/>
    <col min="13309" max="13309" width="9" style="23" customWidth="1"/>
    <col min="13310" max="13311" width="9.81640625" style="23" customWidth="1"/>
    <col min="13312" max="13312" width="11.1796875" style="23" customWidth="1"/>
    <col min="13313" max="13313" width="2.81640625" style="23" customWidth="1"/>
    <col min="13314" max="13314" width="3.54296875" style="23" customWidth="1"/>
    <col min="13315" max="13559" width="9.1796875" style="23"/>
    <col min="13560" max="13560" width="8.7265625" style="23" customWidth="1"/>
    <col min="13561" max="13561" width="9.81640625" style="23" customWidth="1"/>
    <col min="13562" max="13562" width="14.453125" style="23" customWidth="1"/>
    <col min="13563" max="13563" width="7.26953125" style="23" customWidth="1"/>
    <col min="13564" max="13564" width="5.54296875" style="23" customWidth="1"/>
    <col min="13565" max="13565" width="9" style="23" customWidth="1"/>
    <col min="13566" max="13567" width="9.81640625" style="23" customWidth="1"/>
    <col min="13568" max="13568" width="11.1796875" style="23" customWidth="1"/>
    <col min="13569" max="13569" width="2.81640625" style="23" customWidth="1"/>
    <col min="13570" max="13570" width="3.54296875" style="23" customWidth="1"/>
    <col min="13571" max="13815" width="9.1796875" style="23"/>
    <col min="13816" max="13816" width="8.7265625" style="23" customWidth="1"/>
    <col min="13817" max="13817" width="9.81640625" style="23" customWidth="1"/>
    <col min="13818" max="13818" width="14.453125" style="23" customWidth="1"/>
    <col min="13819" max="13819" width="7.26953125" style="23" customWidth="1"/>
    <col min="13820" max="13820" width="5.54296875" style="23" customWidth="1"/>
    <col min="13821" max="13821" width="9" style="23" customWidth="1"/>
    <col min="13822" max="13823" width="9.81640625" style="23" customWidth="1"/>
    <col min="13824" max="13824" width="11.1796875" style="23" customWidth="1"/>
    <col min="13825" max="13825" width="2.81640625" style="23" customWidth="1"/>
    <col min="13826" max="13826" width="3.54296875" style="23" customWidth="1"/>
    <col min="13827" max="14071" width="9.1796875" style="23"/>
    <col min="14072" max="14072" width="8.7265625" style="23" customWidth="1"/>
    <col min="14073" max="14073" width="9.81640625" style="23" customWidth="1"/>
    <col min="14074" max="14074" width="14.453125" style="23" customWidth="1"/>
    <col min="14075" max="14075" width="7.26953125" style="23" customWidth="1"/>
    <col min="14076" max="14076" width="5.54296875" style="23" customWidth="1"/>
    <col min="14077" max="14077" width="9" style="23" customWidth="1"/>
    <col min="14078" max="14079" width="9.81640625" style="23" customWidth="1"/>
    <col min="14080" max="14080" width="11.1796875" style="23" customWidth="1"/>
    <col min="14081" max="14081" width="2.81640625" style="23" customWidth="1"/>
    <col min="14082" max="14082" width="3.54296875" style="23" customWidth="1"/>
    <col min="14083" max="14327" width="9.1796875" style="23"/>
    <col min="14328" max="14328" width="8.7265625" style="23" customWidth="1"/>
    <col min="14329" max="14329" width="9.81640625" style="23" customWidth="1"/>
    <col min="14330" max="14330" width="14.453125" style="23" customWidth="1"/>
    <col min="14331" max="14331" width="7.26953125" style="23" customWidth="1"/>
    <col min="14332" max="14332" width="5.54296875" style="23" customWidth="1"/>
    <col min="14333" max="14333" width="9" style="23" customWidth="1"/>
    <col min="14334" max="14335" width="9.81640625" style="23" customWidth="1"/>
    <col min="14336" max="14336" width="11.1796875" style="23" customWidth="1"/>
    <col min="14337" max="14337" width="2.81640625" style="23" customWidth="1"/>
    <col min="14338" max="14338" width="3.54296875" style="23" customWidth="1"/>
    <col min="14339" max="14583" width="9.1796875" style="23"/>
    <col min="14584" max="14584" width="8.7265625" style="23" customWidth="1"/>
    <col min="14585" max="14585" width="9.81640625" style="23" customWidth="1"/>
    <col min="14586" max="14586" width="14.453125" style="23" customWidth="1"/>
    <col min="14587" max="14587" width="7.26953125" style="23" customWidth="1"/>
    <col min="14588" max="14588" width="5.54296875" style="23" customWidth="1"/>
    <col min="14589" max="14589" width="9" style="23" customWidth="1"/>
    <col min="14590" max="14591" width="9.81640625" style="23" customWidth="1"/>
    <col min="14592" max="14592" width="11.1796875" style="23" customWidth="1"/>
    <col min="14593" max="14593" width="2.81640625" style="23" customWidth="1"/>
    <col min="14594" max="14594" width="3.54296875" style="23" customWidth="1"/>
    <col min="14595" max="14839" width="9.1796875" style="23"/>
    <col min="14840" max="14840" width="8.7265625" style="23" customWidth="1"/>
    <col min="14841" max="14841" width="9.81640625" style="23" customWidth="1"/>
    <col min="14842" max="14842" width="14.453125" style="23" customWidth="1"/>
    <col min="14843" max="14843" width="7.26953125" style="23" customWidth="1"/>
    <col min="14844" max="14844" width="5.54296875" style="23" customWidth="1"/>
    <col min="14845" max="14845" width="9" style="23" customWidth="1"/>
    <col min="14846" max="14847" width="9.81640625" style="23" customWidth="1"/>
    <col min="14848" max="14848" width="11.1796875" style="23" customWidth="1"/>
    <col min="14849" max="14849" width="2.81640625" style="23" customWidth="1"/>
    <col min="14850" max="14850" width="3.54296875" style="23" customWidth="1"/>
    <col min="14851" max="15095" width="9.1796875" style="23"/>
    <col min="15096" max="15096" width="8.7265625" style="23" customWidth="1"/>
    <col min="15097" max="15097" width="9.81640625" style="23" customWidth="1"/>
    <col min="15098" max="15098" width="14.453125" style="23" customWidth="1"/>
    <col min="15099" max="15099" width="7.26953125" style="23" customWidth="1"/>
    <col min="15100" max="15100" width="5.54296875" style="23" customWidth="1"/>
    <col min="15101" max="15101" width="9" style="23" customWidth="1"/>
    <col min="15102" max="15103" width="9.81640625" style="23" customWidth="1"/>
    <col min="15104" max="15104" width="11.1796875" style="23" customWidth="1"/>
    <col min="15105" max="15105" width="2.81640625" style="23" customWidth="1"/>
    <col min="15106" max="15106" width="3.54296875" style="23" customWidth="1"/>
    <col min="15107" max="15351" width="9.1796875" style="23"/>
    <col min="15352" max="15352" width="8.7265625" style="23" customWidth="1"/>
    <col min="15353" max="15353" width="9.81640625" style="23" customWidth="1"/>
    <col min="15354" max="15354" width="14.453125" style="23" customWidth="1"/>
    <col min="15355" max="15355" width="7.26953125" style="23" customWidth="1"/>
    <col min="15356" max="15356" width="5.54296875" style="23" customWidth="1"/>
    <col min="15357" max="15357" width="9" style="23" customWidth="1"/>
    <col min="15358" max="15359" width="9.81640625" style="23" customWidth="1"/>
    <col min="15360" max="15360" width="11.1796875" style="23" customWidth="1"/>
    <col min="15361" max="15361" width="2.81640625" style="23" customWidth="1"/>
    <col min="15362" max="15362" width="3.54296875" style="23" customWidth="1"/>
    <col min="15363" max="15607" width="9.1796875" style="23"/>
    <col min="15608" max="15608" width="8.7265625" style="23" customWidth="1"/>
    <col min="15609" max="15609" width="9.81640625" style="23" customWidth="1"/>
    <col min="15610" max="15610" width="14.453125" style="23" customWidth="1"/>
    <col min="15611" max="15611" width="7.26953125" style="23" customWidth="1"/>
    <col min="15612" max="15612" width="5.54296875" style="23" customWidth="1"/>
    <col min="15613" max="15613" width="9" style="23" customWidth="1"/>
    <col min="15614" max="15615" width="9.81640625" style="23" customWidth="1"/>
    <col min="15616" max="15616" width="11.1796875" style="23" customWidth="1"/>
    <col min="15617" max="15617" width="2.81640625" style="23" customWidth="1"/>
    <col min="15618" max="15618" width="3.54296875" style="23" customWidth="1"/>
    <col min="15619" max="15863" width="9.1796875" style="23"/>
    <col min="15864" max="15864" width="8.7265625" style="23" customWidth="1"/>
    <col min="15865" max="15865" width="9.81640625" style="23" customWidth="1"/>
    <col min="15866" max="15866" width="14.453125" style="23" customWidth="1"/>
    <col min="15867" max="15867" width="7.26953125" style="23" customWidth="1"/>
    <col min="15868" max="15868" width="5.54296875" style="23" customWidth="1"/>
    <col min="15869" max="15869" width="9" style="23" customWidth="1"/>
    <col min="15870" max="15871" width="9.81640625" style="23" customWidth="1"/>
    <col min="15872" max="15872" width="11.1796875" style="23" customWidth="1"/>
    <col min="15873" max="15873" width="2.81640625" style="23" customWidth="1"/>
    <col min="15874" max="15874" width="3.54296875" style="23" customWidth="1"/>
    <col min="15875" max="16119" width="9.1796875" style="23"/>
    <col min="16120" max="16120" width="8.7265625" style="23" customWidth="1"/>
    <col min="16121" max="16121" width="9.81640625" style="23" customWidth="1"/>
    <col min="16122" max="16122" width="14.453125" style="23" customWidth="1"/>
    <col min="16123" max="16123" width="7.26953125" style="23" customWidth="1"/>
    <col min="16124" max="16124" width="5.54296875" style="23" customWidth="1"/>
    <col min="16125" max="16125" width="9" style="23" customWidth="1"/>
    <col min="16126" max="16127" width="9.81640625" style="23" customWidth="1"/>
    <col min="16128" max="16128" width="11.1796875" style="23" customWidth="1"/>
    <col min="16129" max="16129" width="2.81640625" style="23" customWidth="1"/>
    <col min="16130" max="16130" width="3.54296875" style="23" customWidth="1"/>
    <col min="16131" max="16384" width="9.1796875" style="23"/>
  </cols>
  <sheetData>
    <row r="1" spans="1:8" ht="46.5" customHeight="1" x14ac:dyDescent="0.35">
      <c r="A1" s="179" t="s">
        <v>225</v>
      </c>
      <c r="B1" s="179"/>
      <c r="C1" s="179"/>
      <c r="D1" s="179"/>
      <c r="E1" s="179"/>
      <c r="F1" s="179"/>
      <c r="G1" s="179"/>
      <c r="H1" s="179"/>
    </row>
    <row r="2" spans="1:8" ht="16.5" customHeight="1" x14ac:dyDescent="0.35">
      <c r="A2" s="180" t="s">
        <v>0</v>
      </c>
      <c r="B2" s="180"/>
      <c r="C2" s="180"/>
      <c r="D2" s="180"/>
      <c r="E2" s="180"/>
      <c r="F2" s="180"/>
      <c r="G2" s="180"/>
      <c r="H2" s="180"/>
    </row>
    <row r="3" spans="1:8" x14ac:dyDescent="0.35">
      <c r="A3" s="154" t="s">
        <v>1</v>
      </c>
      <c r="B3" s="154"/>
      <c r="C3" s="154"/>
      <c r="D3" s="154"/>
      <c r="E3" s="154" t="str">
        <f ca="1">TEXT(TODAY(),"DD/MM/YYYY")</f>
        <v>23/08/2025</v>
      </c>
      <c r="F3" s="154"/>
      <c r="G3" s="154"/>
      <c r="H3" s="154"/>
    </row>
    <row r="4" spans="1:8" ht="15" customHeight="1" x14ac:dyDescent="0.35">
      <c r="A4" s="154" t="s">
        <v>2</v>
      </c>
      <c r="B4" s="154"/>
      <c r="C4" s="154"/>
      <c r="D4" s="154"/>
      <c r="E4" s="154" t="s">
        <v>172</v>
      </c>
      <c r="F4" s="154"/>
      <c r="G4" s="154"/>
      <c r="H4" s="154"/>
    </row>
    <row r="5" spans="1:8" x14ac:dyDescent="0.35">
      <c r="A5" s="154" t="s">
        <v>3</v>
      </c>
      <c r="B5" s="154"/>
      <c r="C5" s="154"/>
      <c r="D5" s="154"/>
      <c r="E5" s="181">
        <v>45891</v>
      </c>
      <c r="F5" s="154"/>
      <c r="G5" s="154"/>
      <c r="H5" s="154"/>
    </row>
    <row r="6" spans="1:8" ht="16.5" customHeight="1" x14ac:dyDescent="0.35">
      <c r="A6" s="154" t="s">
        <v>4</v>
      </c>
      <c r="B6" s="154"/>
      <c r="C6" s="154"/>
      <c r="D6" s="154"/>
      <c r="E6" s="154" t="s">
        <v>180</v>
      </c>
      <c r="F6" s="154"/>
      <c r="G6" s="154"/>
      <c r="H6" s="154"/>
    </row>
    <row r="7" spans="1:8" ht="15" customHeight="1" x14ac:dyDescent="0.35">
      <c r="A7" s="154" t="s">
        <v>5</v>
      </c>
      <c r="B7" s="154"/>
      <c r="C7" s="154"/>
      <c r="D7" s="154"/>
      <c r="E7" s="154" t="str">
        <f>E6</f>
        <v>Arihant Abode Limited</v>
      </c>
      <c r="F7" s="154"/>
      <c r="G7" s="154"/>
      <c r="H7" s="154"/>
    </row>
    <row r="8" spans="1:8" x14ac:dyDescent="0.35">
      <c r="A8" s="154" t="s">
        <v>6</v>
      </c>
      <c r="B8" s="154"/>
      <c r="C8" s="154"/>
      <c r="D8" s="154"/>
      <c r="E8" s="173" t="s">
        <v>226</v>
      </c>
      <c r="F8" s="173"/>
      <c r="G8" s="173"/>
      <c r="H8" s="173"/>
    </row>
    <row r="9" spans="1:8" x14ac:dyDescent="0.35">
      <c r="A9" s="154" t="s">
        <v>124</v>
      </c>
      <c r="B9" s="154"/>
      <c r="C9" s="154"/>
      <c r="D9" s="154"/>
      <c r="E9" s="154" t="s">
        <v>181</v>
      </c>
      <c r="F9" s="154"/>
      <c r="G9" s="154"/>
      <c r="H9" s="154"/>
    </row>
    <row r="10" spans="1:8" ht="32.25" customHeight="1" x14ac:dyDescent="0.35">
      <c r="A10" s="154" t="s">
        <v>7</v>
      </c>
      <c r="B10" s="154"/>
      <c r="C10" s="154"/>
      <c r="D10" s="154"/>
      <c r="E10" s="98" t="s">
        <v>244</v>
      </c>
      <c r="F10" s="154"/>
      <c r="G10" s="154"/>
      <c r="H10" s="154"/>
    </row>
    <row r="11" spans="1:8" x14ac:dyDescent="0.35">
      <c r="A11" s="120" t="s">
        <v>8</v>
      </c>
      <c r="B11" s="120"/>
      <c r="C11" s="120"/>
      <c r="D11" s="120"/>
      <c r="E11" s="98" t="s">
        <v>214</v>
      </c>
      <c r="F11" s="98"/>
      <c r="G11" s="98"/>
      <c r="H11" s="98"/>
    </row>
    <row r="12" spans="1:8" ht="33.75" customHeight="1" x14ac:dyDescent="0.35">
      <c r="A12" s="120" t="s">
        <v>9</v>
      </c>
      <c r="B12" s="120"/>
      <c r="C12" s="120"/>
      <c r="D12" s="120"/>
      <c r="E12" s="98" t="s">
        <v>227</v>
      </c>
      <c r="F12" s="154"/>
      <c r="G12" s="154"/>
      <c r="H12" s="154"/>
    </row>
    <row r="13" spans="1:8" ht="65.25" customHeight="1" x14ac:dyDescent="0.35">
      <c r="A13" s="140" t="s">
        <v>10</v>
      </c>
      <c r="B13" s="140"/>
      <c r="C13" s="140" t="str">
        <f>CONCATENATE((IF(OR(E8="",E8="NA"),"",E8)),", ",(IF(OR(A14="",A14="NA"),"",A14)),".",(IF(OR(C14="",C14="NA"),"",C14)),", near ",(IF(OR(C19="",C19="NA"),"",C19)),", ",(IF(OR(C16="",C16="NA"),"",C16)),", ",(IF(OR(C15="",C15="NA"),"",C15)),", ",(IF(OR(G16="",G16="NA"),"",G16)),", ",(IF(OR(C17="",C17="NA"),"",C17)),", ",(IF(OR(C18="",C18="NA"),"",C18)),", ",(IF(OR(G17="",G17="NA"),"",G17))," - ",(IF(OR(G18="",G18="NA"),"",G18)),".")</f>
        <v>Arihant Aspire Phase I &amp; II, Survey No.7/5,14/6, 14/7, 15/1, 15/3, 16, 18/1A, 18/1B, 23/3, 23/4, 24/1A, 149/1 to149/5, 150/1 to 150/7, 153/(1) to 153(6), near Chattrapati Shivaji Vidyalay, Mumbai-Goa Highway, Palaspe Phata, Palaspe, Somatne, Panvel, Raigad - 410221.</v>
      </c>
      <c r="D13" s="140"/>
      <c r="E13" s="140"/>
      <c r="F13" s="140"/>
      <c r="G13" s="140"/>
      <c r="H13" s="140"/>
    </row>
    <row r="14" spans="1:8" ht="31.5" customHeight="1" x14ac:dyDescent="0.35">
      <c r="A14" s="98" t="s">
        <v>173</v>
      </c>
      <c r="B14" s="98"/>
      <c r="C14" s="98" t="s">
        <v>174</v>
      </c>
      <c r="D14" s="98"/>
      <c r="E14" s="98"/>
      <c r="F14" s="98"/>
      <c r="G14" s="98"/>
      <c r="H14" s="98"/>
    </row>
    <row r="15" spans="1:8" ht="15.75" customHeight="1" x14ac:dyDescent="0.35">
      <c r="A15" s="157" t="s">
        <v>169</v>
      </c>
      <c r="B15" s="159"/>
      <c r="C15" s="157" t="s">
        <v>178</v>
      </c>
      <c r="D15" s="158"/>
      <c r="E15" s="158"/>
      <c r="F15" s="158"/>
      <c r="G15" s="158"/>
      <c r="H15" s="159"/>
    </row>
    <row r="16" spans="1:8" ht="15.75" customHeight="1" x14ac:dyDescent="0.35">
      <c r="A16" s="140" t="s">
        <v>11</v>
      </c>
      <c r="B16" s="140"/>
      <c r="C16" s="154" t="s">
        <v>179</v>
      </c>
      <c r="D16" s="154"/>
      <c r="E16" s="140" t="s">
        <v>170</v>
      </c>
      <c r="F16" s="140"/>
      <c r="G16" s="98" t="s">
        <v>175</v>
      </c>
      <c r="H16" s="98"/>
    </row>
    <row r="17" spans="1:8" x14ac:dyDescent="0.35">
      <c r="A17" s="120" t="s">
        <v>13</v>
      </c>
      <c r="B17" s="120"/>
      <c r="C17" s="98" t="s">
        <v>183</v>
      </c>
      <c r="D17" s="98"/>
      <c r="E17" s="140" t="s">
        <v>12</v>
      </c>
      <c r="F17" s="140"/>
      <c r="G17" s="182" t="s">
        <v>176</v>
      </c>
      <c r="H17" s="182"/>
    </row>
    <row r="18" spans="1:8" x14ac:dyDescent="0.35">
      <c r="A18" s="120" t="s">
        <v>74</v>
      </c>
      <c r="B18" s="120"/>
      <c r="C18" s="98" t="s">
        <v>177</v>
      </c>
      <c r="D18" s="98"/>
      <c r="E18" s="140" t="s">
        <v>14</v>
      </c>
      <c r="F18" s="140"/>
      <c r="G18" s="98">
        <v>410221</v>
      </c>
      <c r="H18" s="98"/>
    </row>
    <row r="19" spans="1:8" ht="32.25" customHeight="1" x14ac:dyDescent="0.35">
      <c r="A19" s="120" t="s">
        <v>125</v>
      </c>
      <c r="B19" s="120"/>
      <c r="C19" s="98" t="s">
        <v>182</v>
      </c>
      <c r="D19" s="98"/>
      <c r="E19" s="140" t="s">
        <v>15</v>
      </c>
      <c r="F19" s="140"/>
      <c r="G19" s="98" t="s">
        <v>184</v>
      </c>
      <c r="H19" s="98"/>
    </row>
    <row r="20" spans="1:8" ht="15" customHeight="1" x14ac:dyDescent="0.35">
      <c r="A20" s="140" t="s">
        <v>77</v>
      </c>
      <c r="B20" s="140"/>
      <c r="C20" s="140"/>
      <c r="D20" s="140"/>
      <c r="E20" s="154" t="s">
        <v>16</v>
      </c>
      <c r="F20" s="154"/>
      <c r="G20" s="154"/>
      <c r="H20" s="154"/>
    </row>
    <row r="21" spans="1:8" ht="18.75" customHeight="1" x14ac:dyDescent="0.35">
      <c r="A21" s="140"/>
      <c r="B21" s="140"/>
      <c r="C21" s="140"/>
      <c r="D21" s="140"/>
      <c r="E21" s="154"/>
      <c r="F21" s="154"/>
      <c r="G21" s="154"/>
      <c r="H21" s="154"/>
    </row>
    <row r="22" spans="1:8" ht="15" customHeight="1" x14ac:dyDescent="0.35">
      <c r="A22" s="140" t="s">
        <v>17</v>
      </c>
      <c r="B22" s="140"/>
      <c r="C22" s="140"/>
      <c r="D22" s="140"/>
      <c r="E22" s="98" t="s">
        <v>18</v>
      </c>
      <c r="F22" s="98"/>
      <c r="G22" s="98"/>
      <c r="H22" s="98"/>
    </row>
    <row r="23" spans="1:8" ht="15" customHeight="1" x14ac:dyDescent="0.35">
      <c r="A23" s="120" t="s">
        <v>19</v>
      </c>
      <c r="B23" s="120"/>
      <c r="C23" s="120"/>
      <c r="D23" s="120"/>
      <c r="E23" s="98" t="str">
        <f>IF(AND(G17="Mumbai"),"Upper Class","Middle Class")</f>
        <v>Middle Class</v>
      </c>
      <c r="F23" s="98"/>
      <c r="G23" s="98"/>
      <c r="H23" s="98"/>
    </row>
    <row r="24" spans="1:8" x14ac:dyDescent="0.35">
      <c r="A24" s="120" t="s">
        <v>20</v>
      </c>
      <c r="B24" s="120"/>
      <c r="C24" s="120"/>
      <c r="D24" s="120"/>
      <c r="E24" s="98" t="s">
        <v>21</v>
      </c>
      <c r="F24" s="98"/>
      <c r="G24" s="98"/>
      <c r="H24" s="98"/>
    </row>
    <row r="25" spans="1:8" ht="15.75" customHeight="1" x14ac:dyDescent="0.35">
      <c r="A25" s="120" t="s">
        <v>22</v>
      </c>
      <c r="B25" s="120"/>
      <c r="C25" s="120"/>
      <c r="D25" s="120"/>
      <c r="E25" s="98" t="str">
        <f>IF(AND(G17="Mumbai"),"Developed","Developing")</f>
        <v>Developing</v>
      </c>
      <c r="F25" s="98"/>
      <c r="G25" s="98"/>
      <c r="H25" s="98"/>
    </row>
    <row r="26" spans="1:8" x14ac:dyDescent="0.35">
      <c r="A26" s="120" t="s">
        <v>23</v>
      </c>
      <c r="B26" s="120"/>
      <c r="C26" s="120"/>
      <c r="D26" s="120"/>
      <c r="E26" s="98" t="s">
        <v>24</v>
      </c>
      <c r="F26" s="98"/>
      <c r="G26" s="98"/>
      <c r="H26" s="98"/>
    </row>
    <row r="27" spans="1:8" ht="15.75" customHeight="1" x14ac:dyDescent="0.35">
      <c r="A27" s="120" t="s">
        <v>82</v>
      </c>
      <c r="B27" s="120"/>
      <c r="C27" s="120"/>
      <c r="D27" s="120"/>
      <c r="E27" s="98" t="s">
        <v>83</v>
      </c>
      <c r="F27" s="98"/>
      <c r="G27" s="98"/>
      <c r="H27" s="98"/>
    </row>
    <row r="28" spans="1:8" ht="15" customHeight="1" x14ac:dyDescent="0.35">
      <c r="A28" s="120" t="s">
        <v>35</v>
      </c>
      <c r="B28" s="120"/>
      <c r="C28" s="120"/>
      <c r="D28" s="120"/>
      <c r="E28" s="98" t="str">
        <f>IF(AND(ISNUMBER(SEARCH("Flat",D60)),ISNUMBER(SEARCH("Shop",D60)),ISNUMBER(SEARCH("Office",D60))),"Residential + Commercial",IF(AND(ISNUMBER(SEARCH("Flat",D60)),ISNUMBER(SEARCH("Shop",D60))),"Residential + Commercial",IF(AND(ISNUMBER(SEARCH("Flat",D60)),ISNUMBER(SEARCH("Office",D60))),"Residential + Commercial",IF(AND(ISNUMBER(SEARCH("Shop",D60)),ISNUMBER(SEARCH("Office",D60))),"Commercial",IF(ISNUMBER(SEARCH("Shop",D60)),"Commercial",IF(ISNUMBER(SEARCH("Office",D60)),"Commercial",IF(ISNUMBER(SEARCH("Flat",D60)),"Residential")))))))</f>
        <v>Residential + Commercial</v>
      </c>
      <c r="F28" s="98"/>
      <c r="G28" s="98"/>
      <c r="H28" s="98"/>
    </row>
    <row r="29" spans="1:8" ht="15.75" customHeight="1" x14ac:dyDescent="0.35">
      <c r="A29" s="120" t="s">
        <v>94</v>
      </c>
      <c r="B29" s="120"/>
      <c r="C29" s="120"/>
      <c r="D29" s="120"/>
      <c r="E29" s="98" t="s">
        <v>36</v>
      </c>
      <c r="F29" s="98"/>
      <c r="G29" s="98"/>
      <c r="H29" s="98"/>
    </row>
    <row r="30" spans="1:8" s="24" customFormat="1" x14ac:dyDescent="0.35">
      <c r="A30" s="186" t="s">
        <v>95</v>
      </c>
      <c r="B30" s="186"/>
      <c r="C30" s="185" t="s">
        <v>29</v>
      </c>
      <c r="D30" s="185"/>
      <c r="E30" s="185"/>
      <c r="F30" s="185" t="s">
        <v>31</v>
      </c>
      <c r="G30" s="185"/>
      <c r="H30" s="185"/>
    </row>
    <row r="31" spans="1:8" s="24" customFormat="1" x14ac:dyDescent="0.35">
      <c r="A31" s="183" t="s">
        <v>25</v>
      </c>
      <c r="B31" s="183" t="s">
        <v>30</v>
      </c>
      <c r="C31" s="184" t="s">
        <v>30</v>
      </c>
      <c r="D31" s="184"/>
      <c r="E31" s="184"/>
      <c r="F31" s="184" t="s">
        <v>185</v>
      </c>
      <c r="G31" s="184"/>
      <c r="H31" s="184"/>
    </row>
    <row r="32" spans="1:8" x14ac:dyDescent="0.35">
      <c r="A32" s="183" t="s">
        <v>26</v>
      </c>
      <c r="B32" s="183" t="s">
        <v>30</v>
      </c>
      <c r="C32" s="184" t="s">
        <v>30</v>
      </c>
      <c r="D32" s="184"/>
      <c r="E32" s="184"/>
      <c r="F32" s="184" t="s">
        <v>179</v>
      </c>
      <c r="G32" s="184"/>
      <c r="H32" s="184"/>
    </row>
    <row r="33" spans="1:10" s="24" customFormat="1" x14ac:dyDescent="0.35">
      <c r="A33" s="183" t="s">
        <v>28</v>
      </c>
      <c r="B33" s="183" t="s">
        <v>30</v>
      </c>
      <c r="C33" s="184" t="s">
        <v>30</v>
      </c>
      <c r="D33" s="184"/>
      <c r="E33" s="184"/>
      <c r="F33" s="184" t="s">
        <v>185</v>
      </c>
      <c r="G33" s="184"/>
      <c r="H33" s="184"/>
    </row>
    <row r="34" spans="1:10" x14ac:dyDescent="0.35">
      <c r="A34" s="183" t="s">
        <v>27</v>
      </c>
      <c r="B34" s="183" t="s">
        <v>30</v>
      </c>
      <c r="C34" s="184" t="s">
        <v>30</v>
      </c>
      <c r="D34" s="184"/>
      <c r="E34" s="184"/>
      <c r="F34" s="184" t="s">
        <v>215</v>
      </c>
      <c r="G34" s="184"/>
      <c r="H34" s="184"/>
    </row>
    <row r="35" spans="1:10" x14ac:dyDescent="0.35">
      <c r="A35" s="120" t="s">
        <v>32</v>
      </c>
      <c r="B35" s="120"/>
      <c r="C35" s="120"/>
      <c r="D35" s="120"/>
      <c r="E35" s="120"/>
      <c r="F35" s="120"/>
      <c r="G35" s="120"/>
      <c r="H35" s="120"/>
    </row>
    <row r="36" spans="1:10" ht="15.75" customHeight="1" x14ac:dyDescent="0.35">
      <c r="A36" s="180" t="s">
        <v>33</v>
      </c>
      <c r="B36" s="180"/>
      <c r="C36" s="189">
        <v>18.9636706</v>
      </c>
      <c r="D36" s="189"/>
      <c r="E36" s="180" t="s">
        <v>34</v>
      </c>
      <c r="F36" s="180"/>
      <c r="G36" s="190">
        <v>73.130710800000003</v>
      </c>
      <c r="H36" s="190"/>
    </row>
    <row r="37" spans="1:10" x14ac:dyDescent="0.35">
      <c r="A37" s="180" t="s">
        <v>168</v>
      </c>
      <c r="B37" s="180"/>
      <c r="C37" s="226" t="s">
        <v>186</v>
      </c>
      <c r="D37" s="227"/>
      <c r="E37" s="227"/>
      <c r="F37" s="227"/>
      <c r="G37" s="227"/>
      <c r="H37" s="227"/>
    </row>
    <row r="38" spans="1:10" x14ac:dyDescent="0.35">
      <c r="A38" s="156" t="s">
        <v>37</v>
      </c>
      <c r="B38" s="156"/>
      <c r="C38" s="156"/>
      <c r="D38" s="156"/>
      <c r="E38" s="156"/>
      <c r="F38" s="156"/>
      <c r="G38" s="156"/>
      <c r="H38" s="156"/>
    </row>
    <row r="39" spans="1:10" x14ac:dyDescent="0.35">
      <c r="A39" s="120"/>
      <c r="B39" s="120"/>
      <c r="C39" s="120"/>
      <c r="D39" s="120"/>
      <c r="E39" s="230" t="s">
        <v>187</v>
      </c>
      <c r="F39" s="231"/>
      <c r="G39" s="231"/>
      <c r="H39" s="232"/>
    </row>
    <row r="40" spans="1:10" x14ac:dyDescent="0.35">
      <c r="A40" s="120" t="s">
        <v>38</v>
      </c>
      <c r="B40" s="120"/>
      <c r="C40" s="120"/>
      <c r="D40" s="120"/>
      <c r="E40" s="233">
        <v>54316.22</v>
      </c>
      <c r="F40" s="234"/>
      <c r="G40" s="234"/>
      <c r="H40" s="235"/>
      <c r="I40" s="23">
        <v>40737.160000000003</v>
      </c>
      <c r="J40" s="23">
        <f>40737.16+13579.05</f>
        <v>54316.210000000006</v>
      </c>
    </row>
    <row r="41" spans="1:10" x14ac:dyDescent="0.35">
      <c r="A41" s="120" t="s">
        <v>39</v>
      </c>
      <c r="B41" s="120"/>
      <c r="C41" s="120"/>
      <c r="D41" s="120"/>
      <c r="E41" s="233">
        <v>3</v>
      </c>
      <c r="F41" s="234"/>
      <c r="G41" s="234"/>
      <c r="H41" s="235"/>
      <c r="I41" s="23">
        <v>162948.66</v>
      </c>
    </row>
    <row r="42" spans="1:10" x14ac:dyDescent="0.35">
      <c r="A42" s="120" t="s">
        <v>40</v>
      </c>
      <c r="B42" s="120"/>
      <c r="C42" s="120"/>
      <c r="D42" s="120"/>
      <c r="E42" s="236">
        <f>E44/E40-E41</f>
        <v>0</v>
      </c>
      <c r="F42" s="236"/>
      <c r="G42" s="236"/>
      <c r="H42" s="236"/>
    </row>
    <row r="43" spans="1:10" x14ac:dyDescent="0.35">
      <c r="A43" s="120" t="s">
        <v>41</v>
      </c>
      <c r="B43" s="120"/>
      <c r="C43" s="120"/>
      <c r="D43" s="120"/>
      <c r="E43" s="236">
        <f>E41+E42</f>
        <v>3</v>
      </c>
      <c r="F43" s="236"/>
      <c r="G43" s="236"/>
      <c r="H43" s="236"/>
    </row>
    <row r="44" spans="1:10" x14ac:dyDescent="0.35">
      <c r="A44" s="120" t="s">
        <v>93</v>
      </c>
      <c r="B44" s="120"/>
      <c r="C44" s="120"/>
      <c r="D44" s="120"/>
      <c r="E44" s="236">
        <v>162948.66</v>
      </c>
      <c r="F44" s="236"/>
      <c r="G44" s="236"/>
      <c r="H44" s="236"/>
    </row>
    <row r="45" spans="1:10" x14ac:dyDescent="0.35">
      <c r="A45" s="154" t="s">
        <v>42</v>
      </c>
      <c r="B45" s="154"/>
      <c r="C45" s="154"/>
      <c r="D45" s="154"/>
      <c r="E45" s="154" t="s">
        <v>246</v>
      </c>
      <c r="F45" s="154"/>
      <c r="G45" s="154"/>
      <c r="H45" s="154"/>
    </row>
    <row r="46" spans="1:10" x14ac:dyDescent="0.35">
      <c r="A46" s="156" t="s">
        <v>43</v>
      </c>
      <c r="B46" s="156"/>
      <c r="C46" s="156"/>
      <c r="D46" s="156"/>
      <c r="E46" s="156"/>
      <c r="F46" s="156"/>
      <c r="G46" s="156"/>
      <c r="H46" s="156"/>
    </row>
    <row r="47" spans="1:10" ht="33.75" customHeight="1" x14ac:dyDescent="0.35">
      <c r="A47" s="136" t="s">
        <v>155</v>
      </c>
      <c r="B47" s="137"/>
      <c r="C47" s="220" t="s">
        <v>188</v>
      </c>
      <c r="D47" s="221"/>
      <c r="E47" s="221"/>
      <c r="F47" s="221"/>
      <c r="G47" s="221"/>
      <c r="H47" s="222"/>
    </row>
    <row r="48" spans="1:10" ht="33" customHeight="1" x14ac:dyDescent="0.35">
      <c r="A48" s="136" t="s">
        <v>217</v>
      </c>
      <c r="B48" s="137"/>
      <c r="C48" s="136" t="s">
        <v>189</v>
      </c>
      <c r="D48" s="138"/>
      <c r="E48" s="137"/>
      <c r="F48" s="20" t="s">
        <v>44</v>
      </c>
      <c r="G48" s="192">
        <v>44615</v>
      </c>
      <c r="H48" s="137"/>
    </row>
    <row r="49" spans="1:9" ht="78" customHeight="1" x14ac:dyDescent="0.35">
      <c r="A49" s="136" t="s">
        <v>221</v>
      </c>
      <c r="B49" s="137"/>
      <c r="C49" s="157" t="s">
        <v>208</v>
      </c>
      <c r="D49" s="158"/>
      <c r="E49" s="159"/>
      <c r="F49" s="74" t="s">
        <v>44</v>
      </c>
      <c r="G49" s="160">
        <v>43024</v>
      </c>
      <c r="H49" s="161"/>
    </row>
    <row r="50" spans="1:9" ht="68.25" customHeight="1" x14ac:dyDescent="0.35">
      <c r="A50" s="136" t="s">
        <v>220</v>
      </c>
      <c r="B50" s="137"/>
      <c r="C50" s="136" t="str">
        <f>C48</f>
        <v>CIDCO/NAINA/Panvel/Palaspe/BP-00006/ACC/2022/0163</v>
      </c>
      <c r="D50" s="138"/>
      <c r="E50" s="137"/>
      <c r="F50" s="20" t="s">
        <v>44</v>
      </c>
      <c r="G50" s="192">
        <f>G48</f>
        <v>44615</v>
      </c>
      <c r="H50" s="243"/>
    </row>
    <row r="51" spans="1:9" ht="99" customHeight="1" x14ac:dyDescent="0.35">
      <c r="A51" s="136" t="s">
        <v>249</v>
      </c>
      <c r="B51" s="137"/>
      <c r="C51" s="136" t="s">
        <v>231</v>
      </c>
      <c r="D51" s="138"/>
      <c r="E51" s="137"/>
      <c r="F51" s="20" t="s">
        <v>44</v>
      </c>
      <c r="G51" s="192">
        <v>45001</v>
      </c>
      <c r="H51" s="243"/>
    </row>
    <row r="52" spans="1:9" s="25" customFormat="1" ht="32.25" customHeight="1" x14ac:dyDescent="0.35">
      <c r="A52" s="98" t="s">
        <v>159</v>
      </c>
      <c r="B52" s="98"/>
      <c r="C52" s="98" t="s">
        <v>208</v>
      </c>
      <c r="D52" s="98"/>
      <c r="E52" s="98"/>
      <c r="F52" s="74" t="s">
        <v>44</v>
      </c>
      <c r="G52" s="99">
        <v>43024</v>
      </c>
      <c r="H52" s="99"/>
    </row>
    <row r="53" spans="1:9" s="25" customFormat="1" ht="64.5" customHeight="1" x14ac:dyDescent="0.35">
      <c r="A53" s="98"/>
      <c r="B53" s="98"/>
      <c r="C53" s="98" t="s">
        <v>216</v>
      </c>
      <c r="D53" s="98"/>
      <c r="E53" s="98"/>
      <c r="F53" s="98"/>
      <c r="G53" s="98"/>
      <c r="H53" s="98"/>
    </row>
    <row r="54" spans="1:9" s="25" customFormat="1" ht="32.25" customHeight="1" x14ac:dyDescent="0.35">
      <c r="A54" s="98" t="s">
        <v>159</v>
      </c>
      <c r="B54" s="98"/>
      <c r="C54" s="98" t="str">
        <f>C50</f>
        <v>CIDCO/NAINA/Panvel/Palaspe/BP-00006/ACC/2022/0163</v>
      </c>
      <c r="D54" s="98"/>
      <c r="E54" s="98"/>
      <c r="F54" s="74" t="s">
        <v>44</v>
      </c>
      <c r="G54" s="99">
        <f>G51</f>
        <v>45001</v>
      </c>
      <c r="H54" s="99"/>
    </row>
    <row r="55" spans="1:9" s="25" customFormat="1" ht="35.25" customHeight="1" x14ac:dyDescent="0.35">
      <c r="A55" s="98"/>
      <c r="B55" s="98"/>
      <c r="C55" s="98" t="s">
        <v>245</v>
      </c>
      <c r="D55" s="98"/>
      <c r="E55" s="98"/>
      <c r="F55" s="98"/>
      <c r="G55" s="98"/>
      <c r="H55" s="98"/>
    </row>
    <row r="56" spans="1:9" x14ac:dyDescent="0.35">
      <c r="A56" s="133" t="s">
        <v>171</v>
      </c>
      <c r="B56" s="133"/>
      <c r="C56" s="133" t="s">
        <v>30</v>
      </c>
      <c r="D56" s="133"/>
      <c r="E56" s="133"/>
      <c r="F56" s="91" t="s">
        <v>44</v>
      </c>
      <c r="G56" s="155" t="s">
        <v>30</v>
      </c>
      <c r="H56" s="156"/>
    </row>
    <row r="57" spans="1:9" x14ac:dyDescent="0.35">
      <c r="A57" s="133"/>
      <c r="B57" s="133"/>
      <c r="C57" s="133" t="s">
        <v>30</v>
      </c>
      <c r="D57" s="133"/>
      <c r="E57" s="133"/>
      <c r="F57" s="133"/>
      <c r="G57" s="133"/>
      <c r="H57" s="133"/>
    </row>
    <row r="58" spans="1:9" x14ac:dyDescent="0.35">
      <c r="A58" s="153" t="s">
        <v>46</v>
      </c>
      <c r="B58" s="153"/>
      <c r="C58" s="153"/>
      <c r="D58" s="153"/>
      <c r="E58" s="153"/>
      <c r="F58" s="153"/>
      <c r="G58" s="153"/>
      <c r="H58" s="153"/>
    </row>
    <row r="59" spans="1:9" x14ac:dyDescent="0.35">
      <c r="A59" s="140" t="s">
        <v>92</v>
      </c>
      <c r="B59" s="140"/>
      <c r="C59" s="140"/>
      <c r="D59" s="120">
        <f>E44</f>
        <v>162948.66</v>
      </c>
      <c r="E59" s="120"/>
      <c r="F59" s="120"/>
      <c r="G59" s="120"/>
      <c r="H59" s="120"/>
    </row>
    <row r="60" spans="1:9" ht="18" customHeight="1" x14ac:dyDescent="0.35">
      <c r="A60" s="98" t="s">
        <v>47</v>
      </c>
      <c r="B60" s="154"/>
      <c r="C60" s="154"/>
      <c r="D60" s="154" t="s">
        <v>248</v>
      </c>
      <c r="E60" s="154"/>
      <c r="F60" s="154"/>
      <c r="G60" s="154"/>
      <c r="H60" s="154"/>
      <c r="I60" s="26"/>
    </row>
    <row r="61" spans="1:9" ht="66" customHeight="1" x14ac:dyDescent="0.35">
      <c r="A61" s="147" t="s">
        <v>48</v>
      </c>
      <c r="B61" s="148"/>
      <c r="C61" s="149"/>
      <c r="D61" s="142" t="s">
        <v>232</v>
      </c>
      <c r="E61" s="191"/>
      <c r="F61" s="191"/>
      <c r="G61" s="191"/>
      <c r="H61" s="191"/>
      <c r="I61" s="63"/>
    </row>
    <row r="62" spans="1:9" ht="32.25" customHeight="1" x14ac:dyDescent="0.35">
      <c r="A62" s="147" t="s">
        <v>90</v>
      </c>
      <c r="B62" s="148"/>
      <c r="C62" s="149"/>
      <c r="D62" s="147" t="s">
        <v>233</v>
      </c>
      <c r="E62" s="148"/>
      <c r="F62" s="148"/>
      <c r="G62" s="148"/>
      <c r="H62" s="149"/>
      <c r="I62" s="27"/>
    </row>
    <row r="63" spans="1:9" ht="15.75" customHeight="1" x14ac:dyDescent="0.35">
      <c r="A63" s="237"/>
      <c r="B63" s="238"/>
      <c r="C63" s="239"/>
      <c r="D63" s="150" t="s">
        <v>230</v>
      </c>
      <c r="E63" s="151"/>
      <c r="F63" s="151"/>
      <c r="G63" s="151"/>
      <c r="H63" s="152"/>
      <c r="I63" s="27"/>
    </row>
    <row r="64" spans="1:9" ht="15.75" customHeight="1" x14ac:dyDescent="0.35">
      <c r="A64" s="240"/>
      <c r="B64" s="241"/>
      <c r="C64" s="242"/>
      <c r="D64" s="150" t="s">
        <v>229</v>
      </c>
      <c r="E64" s="151"/>
      <c r="F64" s="151"/>
      <c r="G64" s="151"/>
      <c r="H64" s="152"/>
      <c r="I64" s="27"/>
    </row>
    <row r="65" spans="1:14" ht="15.75" customHeight="1" x14ac:dyDescent="0.35">
      <c r="A65" s="120" t="s">
        <v>45</v>
      </c>
      <c r="B65" s="120"/>
      <c r="C65" s="120"/>
      <c r="D65" s="187" t="s">
        <v>190</v>
      </c>
      <c r="E65" s="187"/>
      <c r="F65" s="187"/>
      <c r="G65" s="187"/>
      <c r="H65" s="187"/>
      <c r="J65" s="28"/>
      <c r="K65" s="26"/>
      <c r="N65" s="26"/>
    </row>
    <row r="66" spans="1:14" ht="15.75" customHeight="1" x14ac:dyDescent="0.35">
      <c r="A66" s="120" t="s">
        <v>88</v>
      </c>
      <c r="B66" s="120"/>
      <c r="C66" s="120"/>
      <c r="D66" s="188" t="str">
        <f>(IF(G56="NA","60 Years After Completion",IF(G56&lt;&gt;"NA",""&amp;60-ROUNDDOWN((E3-G56)/360,0)&amp;" Years"," ")))</f>
        <v>60 Years After Completion</v>
      </c>
      <c r="E66" s="188"/>
      <c r="F66" s="188"/>
      <c r="G66" s="188"/>
      <c r="H66" s="188"/>
      <c r="N66" s="26"/>
    </row>
    <row r="67" spans="1:14" ht="15.75" customHeight="1" x14ac:dyDescent="0.35">
      <c r="A67" s="120" t="s">
        <v>89</v>
      </c>
      <c r="B67" s="120"/>
      <c r="C67" s="120"/>
      <c r="D67" s="140" t="s">
        <v>24</v>
      </c>
      <c r="E67" s="140"/>
      <c r="F67" s="140"/>
      <c r="G67" s="140"/>
      <c r="H67" s="140"/>
      <c r="J67" s="29"/>
      <c r="K67" s="29"/>
    </row>
    <row r="68" spans="1:14" ht="15" customHeight="1" x14ac:dyDescent="0.35">
      <c r="A68" s="120" t="s">
        <v>75</v>
      </c>
      <c r="B68" s="120"/>
      <c r="C68" s="120"/>
      <c r="D68" s="98" t="s">
        <v>228</v>
      </c>
      <c r="E68" s="140"/>
      <c r="F68" s="140"/>
      <c r="G68" s="140"/>
      <c r="H68" s="140"/>
    </row>
    <row r="69" spans="1:14" x14ac:dyDescent="0.35">
      <c r="A69" s="140" t="s">
        <v>152</v>
      </c>
      <c r="B69" s="140"/>
      <c r="C69" s="140"/>
      <c r="D69" s="140" t="s">
        <v>30</v>
      </c>
      <c r="E69" s="140"/>
      <c r="F69" s="140"/>
      <c r="G69" s="140"/>
      <c r="H69" s="140"/>
      <c r="I69" s="30"/>
      <c r="J69" s="30"/>
      <c r="K69" s="30"/>
      <c r="L69" s="30"/>
      <c r="M69" s="30"/>
      <c r="N69" s="30"/>
    </row>
    <row r="70" spans="1:14" ht="15.75" customHeight="1" x14ac:dyDescent="0.35">
      <c r="A70" s="169" t="s">
        <v>87</v>
      </c>
      <c r="B70" s="169"/>
      <c r="C70" s="169"/>
      <c r="D70" s="142" t="str">
        <f>(IF(G76&gt;95%,"Nothing",IF(G76&gt;0%,"Cement, Aggregate, Steel, etc",IF(G76=0%,"Work not yet Started"))))</f>
        <v>Cement, Aggregate, Steel, etc</v>
      </c>
      <c r="E70" s="142"/>
      <c r="F70" s="142"/>
      <c r="G70" s="142"/>
      <c r="H70" s="142"/>
      <c r="J70" s="29"/>
    </row>
    <row r="71" spans="1:14" ht="33.75" customHeight="1" thickBot="1" x14ac:dyDescent="0.4">
      <c r="A71" s="141" t="s">
        <v>119</v>
      </c>
      <c r="B71" s="141"/>
      <c r="C71" s="141"/>
      <c r="D71" s="142" t="str">
        <f>(IF(D70="Nothing","Yes",IF(D70="Cement, Aggregate, Steel, etc","Under Construction",IF(D70="Work not yet Started","Work not yet Started"))))</f>
        <v>Under Construction</v>
      </c>
      <c r="E71" s="142"/>
      <c r="F71" s="142" t="str">
        <f>(IF(D70="Nothing","Yes",IF(D70="Cement, Aggregate, Steel, etc","Under Construction",IF(D70="Work not yet Started","Work not yet Started"))))</f>
        <v>Under Construction</v>
      </c>
      <c r="G71" s="142"/>
      <c r="H71" s="142"/>
    </row>
    <row r="72" spans="1:14" ht="33" customHeight="1" x14ac:dyDescent="0.35">
      <c r="A72" s="174" t="s">
        <v>143</v>
      </c>
      <c r="B72" s="175"/>
      <c r="C72" s="176" t="str">
        <f>D62</f>
        <v>Wing B (Iliana) &amp; C (Hortensia)- 3 Basement + Stilt/Ground + 2 Podium + 3rd to 43rd Floor</v>
      </c>
      <c r="D72" s="177"/>
      <c r="E72" s="177"/>
      <c r="F72" s="177"/>
      <c r="G72" s="177"/>
      <c r="H72" s="178"/>
      <c r="I72" s="51" t="str">
        <f>IF(D85=100%,"All work Completed. Possession granted to the Building.",IF(D84=100%,"All work Completed, Waiting for OC",I73&amp;""&amp;I74&amp;""&amp;J73&amp;""&amp;J72&amp;" "&amp;J74))</f>
        <v>Excavation, Plinth, RCC Slab, Brickwork, Internal Plaster, External Plaster Completed, Flooring upto 40 Floor, Painting upto 36 Floor Completed</v>
      </c>
      <c r="J72" s="52" t="str">
        <f>(IF(C78=(D73+F73+H73),"",IF(C78&gt;0,", RCC upto "&amp;C78&amp;" Slab","")))&amp;(IF(C79=H73,"",IF(C79&gt;0,", Brickwork upto "&amp;C79&amp;" Floor","")))&amp;(IF(C80=H73,"",IF(C80&gt;0,", Internal Plaster upto "&amp;C80&amp;" Floor","")))&amp;(IF(C81=H73,"",IF(C81&gt;0,", External Plaster upto "&amp;C81&amp;" Floor","")))&amp;(IF(C82=H73,"",IF(C82&gt;0,", Flooring upto "&amp;C82&amp;" Floor","")))&amp;(IF(C83=H73,"",IF(C83&gt;0,", Painting upto "&amp;C83&amp;" Floor","")))&amp;(IF(C84=H73,"",IF(C84&gt;0,", Finishing upto "&amp;C84&amp;" Floor","")))&amp;(IF(C85=H73,"",IF(C85&gt;0,", Possession upto "&amp;C85&amp;" Floor","")))</f>
        <v>, Flooring upto 40 Floor, Painting upto 36 Floor</v>
      </c>
    </row>
    <row r="73" spans="1:14" x14ac:dyDescent="0.35">
      <c r="A73" s="18" t="s">
        <v>145</v>
      </c>
      <c r="B73" s="61">
        <v>3</v>
      </c>
      <c r="C73" s="61" t="s">
        <v>73</v>
      </c>
      <c r="D73" s="61">
        <v>1</v>
      </c>
      <c r="E73" s="61" t="s">
        <v>72</v>
      </c>
      <c r="F73" s="61">
        <v>0</v>
      </c>
      <c r="G73" s="49" t="s">
        <v>81</v>
      </c>
      <c r="H73" s="19">
        <v>43</v>
      </c>
      <c r="I73" s="53" t="str">
        <f>IF(D76=100%,"Excavation","")&amp;IF(D77=100%,", Plinth","")&amp;IF(D78=100%,", RCC Slab","")&amp;IF(D79=100%,", Brickwork","")&amp;IF(D80=100%,", Internal Plaster","")&amp;IF(D81=100%,", External Plaster","")&amp;IF(D82=100%,", Flooring","")&amp;IF(D83=100%,", Painting","")&amp;IF(D84=100%,", Building common Amenities","")</f>
        <v>Excavation, Plinth, RCC Slab, Brickwork, Internal Plaster, External Plaster</v>
      </c>
      <c r="J73" s="54" t="str">
        <f>(IF(C76=0,"Work not yet Started.",IF(D76=25%,"Piling work in process",IF(D76=50%,"Excavation work in process",IF(D76=100%,"","0")))))&amp;(IF(C77=0%,"",IF(C77=J78,", Footing work is process",IF(C77=J79,", Footing work Completed",IF(C77=J80,", 1st Basement Completed",IF(C77=J81,", 1st &amp; 2nd Basement Completed",IF(C77=J82,", 1st to 3rd Basement Completed",IF(C77=J83,", 1st to 4th Basement Completed",IF(C77=J84,", Plinth work is process",IF(C77=J85,"","0"))))))))))</f>
        <v/>
      </c>
    </row>
    <row r="74" spans="1:14" ht="33.5" customHeight="1" x14ac:dyDescent="0.35">
      <c r="A74" s="172" t="s">
        <v>91</v>
      </c>
      <c r="B74" s="173"/>
      <c r="C74" s="162" t="str">
        <f>(IF($C$57=C72,"All work Completed. OC Received.",I72))</f>
        <v>Excavation, Plinth, RCC Slab, Brickwork, Internal Plaster, External Plaster Completed, Flooring upto 40 Floor, Painting upto 36 Floor Completed</v>
      </c>
      <c r="D74" s="162"/>
      <c r="E74" s="162"/>
      <c r="F74" s="162"/>
      <c r="G74" s="162"/>
      <c r="H74" s="163"/>
      <c r="I74" s="53" t="str">
        <f>IF(I73&lt;&gt;""," Completed","")</f>
        <v xml:space="preserve"> Completed</v>
      </c>
      <c r="J74" s="54" t="str">
        <f>IF(J72&lt;&gt;"","Completed","")</f>
        <v>Completed</v>
      </c>
    </row>
    <row r="75" spans="1:14" ht="15.75" customHeight="1" x14ac:dyDescent="0.35">
      <c r="A75" s="131" t="s">
        <v>49</v>
      </c>
      <c r="B75" s="132"/>
      <c r="C75" s="47" t="s">
        <v>142</v>
      </c>
      <c r="D75" s="47" t="s">
        <v>84</v>
      </c>
      <c r="E75" s="132" t="s">
        <v>86</v>
      </c>
      <c r="F75" s="132"/>
      <c r="G75" s="132" t="s">
        <v>85</v>
      </c>
      <c r="H75" s="170"/>
      <c r="I75" s="16" t="s">
        <v>144</v>
      </c>
      <c r="J75" s="31">
        <f>H73*25%</f>
        <v>10.75</v>
      </c>
    </row>
    <row r="76" spans="1:14" x14ac:dyDescent="0.35">
      <c r="A76" s="132" t="s">
        <v>131</v>
      </c>
      <c r="B76" s="132"/>
      <c r="C76" s="87">
        <f>J77</f>
        <v>43</v>
      </c>
      <c r="D76" s="21">
        <f>((100/H73)*C76)/100</f>
        <v>1</v>
      </c>
      <c r="E76" s="171">
        <f>(((C77/H73*10)+(40/(D73+F73+H73)*C78)+(7.5/(H73)*C79)+(7.5/(H73)*C80)+(10/H73*C81)+(10/H73*C82)+(5/H73*C83)+(5/H73*C84)+(5/H73*C85))/100)</f>
        <v>0.8848837209302326</v>
      </c>
      <c r="F76" s="171"/>
      <c r="G76" s="171">
        <f>((((C76/H73)*20)+((C77/H73)*25)+(30/(H73+F73+D73)*C78)+(5/H73*C79)+(5/H73*C80)+(5/H73*C81)+(5/H73*C82)+(0/H73*C83)+(0/H73*C84)+(5/H73*C85))/100)</f>
        <v>0.94651162790697674</v>
      </c>
      <c r="H76" s="171"/>
      <c r="I76" s="16" t="s">
        <v>102</v>
      </c>
      <c r="J76" s="32">
        <f>H73*50%</f>
        <v>21.5</v>
      </c>
    </row>
    <row r="77" spans="1:14" x14ac:dyDescent="0.35">
      <c r="A77" s="132" t="s">
        <v>50</v>
      </c>
      <c r="B77" s="132"/>
      <c r="C77" s="87">
        <f>J85</f>
        <v>42.999999999999993</v>
      </c>
      <c r="D77" s="21">
        <f>((100/H73)*C77)/100</f>
        <v>0.99999999999999989</v>
      </c>
      <c r="E77" s="171"/>
      <c r="F77" s="171"/>
      <c r="G77" s="171"/>
      <c r="H77" s="171"/>
      <c r="I77" s="16" t="s">
        <v>103</v>
      </c>
      <c r="J77" s="32">
        <f>H73</f>
        <v>43</v>
      </c>
    </row>
    <row r="78" spans="1:14" ht="15.75" customHeight="1" x14ac:dyDescent="0.35">
      <c r="A78" s="132" t="s">
        <v>132</v>
      </c>
      <c r="B78" s="132"/>
      <c r="C78" s="87">
        <f>D73+F73+H73</f>
        <v>44</v>
      </c>
      <c r="D78" s="21">
        <f>((100/(D73+F73+H73))*C78)/100</f>
        <v>1.0000000000000002</v>
      </c>
      <c r="E78" s="171"/>
      <c r="F78" s="171"/>
      <c r="G78" s="171"/>
      <c r="H78" s="171"/>
      <c r="I78" s="16" t="s">
        <v>104</v>
      </c>
      <c r="J78" s="33">
        <f>(IF(B73&gt;1,(H73/(B73+2)),H73/4))</f>
        <v>8.6</v>
      </c>
    </row>
    <row r="79" spans="1:14" ht="15.75" customHeight="1" x14ac:dyDescent="0.35">
      <c r="A79" s="132" t="s">
        <v>139</v>
      </c>
      <c r="B79" s="132" t="s">
        <v>133</v>
      </c>
      <c r="C79" s="87">
        <v>43</v>
      </c>
      <c r="D79" s="21">
        <f>((100/H73)*C79)/100</f>
        <v>1</v>
      </c>
      <c r="E79" s="171"/>
      <c r="F79" s="171"/>
      <c r="G79" s="171"/>
      <c r="H79" s="171"/>
      <c r="I79" s="16" t="s">
        <v>105</v>
      </c>
      <c r="J79" s="33">
        <f>(IF(B73&gt;1,(H73/(B73+2)+J78),H73/4+J78))</f>
        <v>17.2</v>
      </c>
    </row>
    <row r="80" spans="1:14" ht="15.75" customHeight="1" x14ac:dyDescent="0.35">
      <c r="A80" s="132" t="s">
        <v>140</v>
      </c>
      <c r="B80" s="132" t="s">
        <v>133</v>
      </c>
      <c r="C80" s="87">
        <v>43</v>
      </c>
      <c r="D80" s="21">
        <f>((100/H73)*C80)/100</f>
        <v>1</v>
      </c>
      <c r="E80" s="171"/>
      <c r="F80" s="171"/>
      <c r="G80" s="171"/>
      <c r="H80" s="171"/>
      <c r="I80" s="16" t="s">
        <v>150</v>
      </c>
      <c r="J80" s="33">
        <f>(IF(B73&gt;1,(H73/(B73+2)+J79),0))</f>
        <v>25.799999999999997</v>
      </c>
    </row>
    <row r="81" spans="1:10" ht="15" customHeight="1" x14ac:dyDescent="0.35">
      <c r="A81" s="132" t="s">
        <v>138</v>
      </c>
      <c r="B81" s="132" t="s">
        <v>135</v>
      </c>
      <c r="C81" s="87">
        <v>43</v>
      </c>
      <c r="D81" s="21">
        <f>((100/(H73))*C81)/100</f>
        <v>1</v>
      </c>
      <c r="E81" s="171"/>
      <c r="F81" s="171"/>
      <c r="G81" s="171"/>
      <c r="H81" s="171"/>
      <c r="I81" s="16" t="s">
        <v>146</v>
      </c>
      <c r="J81" s="33">
        <f>(IF(B73&gt;2,(H73/(B73+2)+J80),0))</f>
        <v>34.4</v>
      </c>
    </row>
    <row r="82" spans="1:10" ht="15.75" customHeight="1" x14ac:dyDescent="0.35">
      <c r="A82" s="132" t="s">
        <v>134</v>
      </c>
      <c r="B82" s="132" t="s">
        <v>134</v>
      </c>
      <c r="C82" s="87">
        <v>40</v>
      </c>
      <c r="D82" s="21">
        <f>((100/H73)*C82)/100</f>
        <v>0.93023255813953498</v>
      </c>
      <c r="E82" s="171"/>
      <c r="F82" s="171"/>
      <c r="G82" s="171"/>
      <c r="H82" s="171"/>
      <c r="I82" s="16" t="s">
        <v>147</v>
      </c>
      <c r="J82" s="34">
        <f>(IF(B73&gt;3,(H73/(B73+2)+J81),0))</f>
        <v>0</v>
      </c>
    </row>
    <row r="83" spans="1:10" ht="15.75" customHeight="1" x14ac:dyDescent="0.35">
      <c r="A83" s="132" t="s">
        <v>141</v>
      </c>
      <c r="B83" s="132"/>
      <c r="C83" s="87">
        <v>36</v>
      </c>
      <c r="D83" s="21">
        <f>((100/H73)*C83)/100</f>
        <v>0.83720930232558144</v>
      </c>
      <c r="E83" s="171"/>
      <c r="F83" s="171"/>
      <c r="G83" s="171"/>
      <c r="H83" s="171"/>
      <c r="I83" s="16" t="s">
        <v>148</v>
      </c>
      <c r="J83" s="33">
        <f>(IF(B73&gt;4,(H73/(B73+2)+J82),0))</f>
        <v>0</v>
      </c>
    </row>
    <row r="84" spans="1:10" ht="15.75" customHeight="1" x14ac:dyDescent="0.35">
      <c r="A84" s="132" t="s">
        <v>136</v>
      </c>
      <c r="B84" s="132" t="s">
        <v>136</v>
      </c>
      <c r="C84" s="87">
        <v>0</v>
      </c>
      <c r="D84" s="21">
        <f>((100/(H73))*C84)/100</f>
        <v>0</v>
      </c>
      <c r="E84" s="171"/>
      <c r="F84" s="171"/>
      <c r="G84" s="171"/>
      <c r="H84" s="171"/>
      <c r="I84" s="16" t="s">
        <v>151</v>
      </c>
      <c r="J84" s="33">
        <f>(IF(B73=1,(H73/(B73+3)+J79),IF(B73=0,(H73/4+J79),IF(B73&gt;1,0))))</f>
        <v>0</v>
      </c>
    </row>
    <row r="85" spans="1:10" ht="16" thickBot="1" x14ac:dyDescent="0.4">
      <c r="A85" s="132" t="s">
        <v>137</v>
      </c>
      <c r="B85" s="132"/>
      <c r="C85" s="87">
        <v>0</v>
      </c>
      <c r="D85" s="21">
        <f>((100/(H73))*C85)/100</f>
        <v>0</v>
      </c>
      <c r="E85" s="171"/>
      <c r="F85" s="171"/>
      <c r="G85" s="171"/>
      <c r="H85" s="171"/>
      <c r="I85" s="17" t="s">
        <v>106</v>
      </c>
      <c r="J85" s="35">
        <f>(IF(B73&gt;1.5,(H73/(B73+2)+J79+MAX(0,J80-J79)+MAX(0,J81-J80)+MAX(0,J82-J81)+MAX(0,J83-J82)+MAX(0,J84-J83)),IF(B73=1,(H73/(B73+3)+J84),IF(B73=0,H73/4+J84))))</f>
        <v>42.999999999999993</v>
      </c>
    </row>
    <row r="86" spans="1:10" ht="15.75" customHeight="1" x14ac:dyDescent="0.35">
      <c r="A86" s="133" t="s">
        <v>143</v>
      </c>
      <c r="B86" s="133"/>
      <c r="C86" s="133" t="str">
        <f>D63</f>
        <v>Wing H (Della) - 3Basement + Stilt/Ground + 1st to 43rd Floor</v>
      </c>
      <c r="D86" s="133"/>
      <c r="E86" s="133"/>
      <c r="F86" s="133"/>
      <c r="G86" s="133"/>
      <c r="H86" s="133"/>
      <c r="I86" s="92" t="str">
        <f ca="1">IF(D99=100%,"All work Completed. Possession granted to the Building.",IF(D98=100%,"All work Completed, Waiting for OC",I87&amp;""&amp;I88&amp;""&amp;J87&amp;""&amp;J86&amp;" "&amp;J88))</f>
        <v>Excavation, Plinth Completed, RCC upto 43 Slab, Brickwork upto 42 Floor, Internal Plaster upto 36 Floor, External Plaster upto 34 Floor, Flooring upto 5 Floor Completed</v>
      </c>
      <c r="J86" s="52" t="str">
        <f ca="1">(IF(C92=(D87+F87+H87),"",IF(C92&gt;0,", RCC upto "&amp;C92&amp;" Slab","")))&amp;(IF(C93=H87,"",IF(C93&gt;0,", Brickwork upto "&amp;C93&amp;" Floor","")))&amp;(IF(C94=H87,"",IF(C94&gt;0,", Internal Plaster upto "&amp;C94&amp;" Floor","")))&amp;(IF(C95=H87,"",IF(C95&gt;0,", External Plaster upto "&amp;C95&amp;" Floor","")))&amp;(IF(C96=H87,"",IF(C96&gt;0,", Flooring upto "&amp;C96&amp;" Floor","")))&amp;(IF(C97=H87,"",IF(C97&gt;0,", Painting upto "&amp;C97&amp;" Floor","")))&amp;(IF(C98=H87,"",IF(C98&gt;0,", Finishing upto "&amp;C98&amp;" Floor","")))&amp;(IF(C99=H87,"",IF(C99&gt;0,", Possession upto "&amp;C99&amp;" Floor","")))</f>
        <v>, RCC upto 43 Slab, Brickwork upto 42 Floor, Internal Plaster upto 36 Floor, External Plaster upto 34 Floor, Flooring upto 5 Floor</v>
      </c>
    </row>
    <row r="87" spans="1:10" x14ac:dyDescent="0.35">
      <c r="A87" s="88" t="s">
        <v>145</v>
      </c>
      <c r="B87" s="88">
        <v>3</v>
      </c>
      <c r="C87" s="88" t="s">
        <v>73</v>
      </c>
      <c r="D87" s="88">
        <v>1</v>
      </c>
      <c r="E87" s="88" t="s">
        <v>72</v>
      </c>
      <c r="F87" s="88">
        <v>0</v>
      </c>
      <c r="G87" s="89" t="s">
        <v>81</v>
      </c>
      <c r="H87" s="88">
        <f ca="1">--TRIM(RIGHT(SUBSTITUTE(LEFT(C86,_xlfn.AGGREGATE(16,6,FIND({0,1,2,3,4,5,6,7,8,9},C86,ROW(INDIRECT("1:"&amp;LEN(C86)))),1))," ",REPT(" ",LEN(C86))),LEN(C86)))</f>
        <v>43</v>
      </c>
      <c r="I87" s="93" t="str">
        <f ca="1">IF(D90=100%,"Excavation","")&amp;IF(D91=100%,", Plinth","")&amp;IF(D92=100%,", RCC Slab","")&amp;IF(D93=100%,", Brickwork","")&amp;IF(D94=100%,", Internal Plaster","")&amp;IF(D95=100%,", External Plaster","")&amp;IF(D96=100%,", Flooring","")&amp;IF(D97=100%,", Painting","")&amp;IF(D98=100%,", Building common Amenities","")</f>
        <v>Excavation, Plinth</v>
      </c>
      <c r="J87" s="54" t="str">
        <f ca="1">(IF(C90=0,"Work not yet Started.",IF(D90=25%,"Piling work in process",IF(D90=50%,"Excavation work in process",IF(D90=100%,"","0")))))&amp;(IF(C91=0%,"",IF(C91=J92,", Footing work is process",IF(C91=J93,", Footing work Completed",IF(C91=J94,", 1st Basement Completed",IF(C91=J95,", 1st &amp; 2nd Basement Completed",IF(C91=J96,", 1st to 3rd Basement Completed",IF(C91=J97,", 1st to 4th Basement Completed",IF(C91=J98,", Plinth work is process",IF(C91=J99,"","0"))))))))))</f>
        <v/>
      </c>
    </row>
    <row r="88" spans="1:10" ht="52" customHeight="1" x14ac:dyDescent="0.35">
      <c r="A88" s="173" t="s">
        <v>91</v>
      </c>
      <c r="B88" s="173"/>
      <c r="C88" s="162" t="str">
        <f ca="1">(IF($C$57=C86,"All work Completed. OC Received.",I86))</f>
        <v>Excavation, Plinth Completed, RCC upto 43 Slab, Brickwork upto 42 Floor, Internal Plaster upto 36 Floor, External Plaster upto 34 Floor, Flooring upto 5 Floor Completed</v>
      </c>
      <c r="D88" s="162"/>
      <c r="E88" s="162"/>
      <c r="F88" s="162"/>
      <c r="G88" s="162"/>
      <c r="H88" s="162"/>
      <c r="I88" s="93" t="str">
        <f ca="1">IF(I87&lt;&gt;""," Completed","")</f>
        <v xml:space="preserve"> Completed</v>
      </c>
      <c r="J88" s="54" t="str">
        <f ca="1">IF(J86&lt;&gt;"","Completed","")</f>
        <v>Completed</v>
      </c>
    </row>
    <row r="89" spans="1:10" ht="15.75" customHeight="1" x14ac:dyDescent="0.35">
      <c r="A89" s="132" t="s">
        <v>49</v>
      </c>
      <c r="B89" s="132"/>
      <c r="C89" s="87" t="s">
        <v>142</v>
      </c>
      <c r="D89" s="87" t="s">
        <v>84</v>
      </c>
      <c r="E89" s="132" t="s">
        <v>86</v>
      </c>
      <c r="F89" s="132"/>
      <c r="G89" s="132" t="s">
        <v>85</v>
      </c>
      <c r="H89" s="132"/>
      <c r="I89" s="16" t="s">
        <v>144</v>
      </c>
      <c r="J89" s="31">
        <f ca="1">H87*25%</f>
        <v>10.75</v>
      </c>
    </row>
    <row r="90" spans="1:10" x14ac:dyDescent="0.35">
      <c r="A90" s="131" t="s">
        <v>131</v>
      </c>
      <c r="B90" s="132"/>
      <c r="C90" s="47">
        <f ca="1">J91</f>
        <v>43</v>
      </c>
      <c r="D90" s="21">
        <f ca="1">((100/H87)*C90)/100</f>
        <v>1</v>
      </c>
      <c r="E90" s="193">
        <f ca="1">(((C91/H87*10)+(40/(D87+F87+H87)*C92)+(7.5/(H87)*C93)+(7.5/(H87)*C94)+(10/H87*C95)+(10/H87*C96)+(5/H87*C97)+(5/H87*C98)+(5/H87*C99))/100)</f>
        <v>0.71765327695560255</v>
      </c>
      <c r="F90" s="194"/>
      <c r="G90" s="193">
        <f ca="1">((((C90/H87)*20)+((C91/H87)*25)+(30/(H87+F87+D87)*C92)+(5/H87*C93)+(5/H87*C94)+(5/H87*C95)+(5/H87*C96)+(0/H87*C97)+(0/H87*C98)+(5/H87*C99))/100)</f>
        <v>0.87922832980972498</v>
      </c>
      <c r="H90" s="223"/>
      <c r="I90" s="16" t="s">
        <v>102</v>
      </c>
      <c r="J90" s="32">
        <f ca="1">H87*50%</f>
        <v>21.5</v>
      </c>
    </row>
    <row r="91" spans="1:10" x14ac:dyDescent="0.35">
      <c r="A91" s="131" t="s">
        <v>50</v>
      </c>
      <c r="B91" s="132"/>
      <c r="C91" s="64">
        <v>43</v>
      </c>
      <c r="D91" s="21">
        <f ca="1">((100/H87)*C91)/100</f>
        <v>1</v>
      </c>
      <c r="E91" s="195"/>
      <c r="F91" s="196"/>
      <c r="G91" s="195"/>
      <c r="H91" s="224"/>
      <c r="I91" s="16" t="s">
        <v>103</v>
      </c>
      <c r="J91" s="32">
        <f ca="1">H87</f>
        <v>43</v>
      </c>
    </row>
    <row r="92" spans="1:10" ht="15.75" customHeight="1" x14ac:dyDescent="0.35">
      <c r="A92" s="131" t="s">
        <v>132</v>
      </c>
      <c r="B92" s="132"/>
      <c r="C92" s="47">
        <v>43</v>
      </c>
      <c r="D92" s="21">
        <f ca="1">((100/(D87+F87+H87))*C92)/100</f>
        <v>0.97727272727272729</v>
      </c>
      <c r="E92" s="195"/>
      <c r="F92" s="196"/>
      <c r="G92" s="195"/>
      <c r="H92" s="224"/>
      <c r="I92" s="16" t="s">
        <v>104</v>
      </c>
      <c r="J92" s="33">
        <f ca="1">(IF(B87&gt;1,(H87/(B87+2)),H87/4))</f>
        <v>8.6</v>
      </c>
    </row>
    <row r="93" spans="1:10" ht="15.75" customHeight="1" x14ac:dyDescent="0.35">
      <c r="A93" s="131" t="s">
        <v>139</v>
      </c>
      <c r="B93" s="132" t="s">
        <v>133</v>
      </c>
      <c r="C93" s="47">
        <f>C92-1</f>
        <v>42</v>
      </c>
      <c r="D93" s="21">
        <f ca="1">((100/H87)*C93)/100</f>
        <v>0.9767441860465117</v>
      </c>
      <c r="E93" s="195"/>
      <c r="F93" s="196"/>
      <c r="G93" s="195"/>
      <c r="H93" s="224"/>
      <c r="I93" s="16" t="s">
        <v>105</v>
      </c>
      <c r="J93" s="33">
        <f ca="1">(IF(B87&gt;1,(H87/(B87+2)+J92),H87/4+J92))</f>
        <v>17.2</v>
      </c>
    </row>
    <row r="94" spans="1:10" ht="15.75" customHeight="1" x14ac:dyDescent="0.35">
      <c r="A94" s="131" t="s">
        <v>140</v>
      </c>
      <c r="B94" s="132" t="s">
        <v>133</v>
      </c>
      <c r="C94" s="64">
        <v>36</v>
      </c>
      <c r="D94" s="21">
        <f ca="1">((100/H87)*C94)/100</f>
        <v>0.83720930232558144</v>
      </c>
      <c r="E94" s="195"/>
      <c r="F94" s="196"/>
      <c r="G94" s="195"/>
      <c r="H94" s="224"/>
      <c r="I94" s="16" t="s">
        <v>150</v>
      </c>
      <c r="J94" s="33">
        <f ca="1">(IF(B87&gt;1,(H87/(B87+2)+J93),0))</f>
        <v>25.799999999999997</v>
      </c>
    </row>
    <row r="95" spans="1:10" ht="15" customHeight="1" x14ac:dyDescent="0.35">
      <c r="A95" s="131" t="s">
        <v>138</v>
      </c>
      <c r="B95" s="132" t="s">
        <v>135</v>
      </c>
      <c r="C95" s="64">
        <v>34</v>
      </c>
      <c r="D95" s="21">
        <f ca="1">((100/(H87))*C95)/100</f>
        <v>0.79069767441860461</v>
      </c>
      <c r="E95" s="195"/>
      <c r="F95" s="196"/>
      <c r="G95" s="195"/>
      <c r="H95" s="224"/>
      <c r="I95" s="16" t="s">
        <v>146</v>
      </c>
      <c r="J95" s="33">
        <f ca="1">(IF(B87&gt;2,(H87/(B87+2)+J94),0))</f>
        <v>34.4</v>
      </c>
    </row>
    <row r="96" spans="1:10" ht="15.75" customHeight="1" x14ac:dyDescent="0.35">
      <c r="A96" s="131" t="s">
        <v>134</v>
      </c>
      <c r="B96" s="132" t="s">
        <v>134</v>
      </c>
      <c r="C96" s="47">
        <v>5</v>
      </c>
      <c r="D96" s="21">
        <f ca="1">((100/H87)*C96)/100</f>
        <v>0.11627906976744187</v>
      </c>
      <c r="E96" s="195"/>
      <c r="F96" s="196"/>
      <c r="G96" s="195"/>
      <c r="H96" s="224"/>
      <c r="I96" s="16" t="s">
        <v>147</v>
      </c>
      <c r="J96" s="34">
        <f>(IF(B87&gt;3,(H87/(B87+2)+J95),0))</f>
        <v>0</v>
      </c>
    </row>
    <row r="97" spans="1:10" ht="15.75" customHeight="1" x14ac:dyDescent="0.35">
      <c r="A97" s="131" t="s">
        <v>141</v>
      </c>
      <c r="B97" s="132"/>
      <c r="C97" s="47">
        <v>0</v>
      </c>
      <c r="D97" s="21">
        <f ca="1">((100/H87)*C97)/100</f>
        <v>0</v>
      </c>
      <c r="E97" s="195"/>
      <c r="F97" s="196"/>
      <c r="G97" s="195"/>
      <c r="H97" s="224"/>
      <c r="I97" s="16" t="s">
        <v>148</v>
      </c>
      <c r="J97" s="33">
        <f>(IF(B87&gt;4,(H87/(B87+2)+J96),0))</f>
        <v>0</v>
      </c>
    </row>
    <row r="98" spans="1:10" ht="15.75" customHeight="1" x14ac:dyDescent="0.35">
      <c r="A98" s="131" t="s">
        <v>136</v>
      </c>
      <c r="B98" s="132" t="s">
        <v>136</v>
      </c>
      <c r="C98" s="47">
        <v>0</v>
      </c>
      <c r="D98" s="21">
        <f ca="1">((100/(H87))*C98)/100</f>
        <v>0</v>
      </c>
      <c r="E98" s="195"/>
      <c r="F98" s="196"/>
      <c r="G98" s="195"/>
      <c r="H98" s="224"/>
      <c r="I98" s="16" t="s">
        <v>151</v>
      </c>
      <c r="J98" s="33">
        <f>(IF(B87=1,(H87/(B87+3)+J93),IF(B87=0,(H87/4+J93),IF(B87&gt;1,0))))</f>
        <v>0</v>
      </c>
    </row>
    <row r="99" spans="1:10" ht="16" thickBot="1" x14ac:dyDescent="0.4">
      <c r="A99" s="199" t="s">
        <v>137</v>
      </c>
      <c r="B99" s="200"/>
      <c r="C99" s="48">
        <v>0</v>
      </c>
      <c r="D99" s="22">
        <f ca="1">((100/(H87))*C99)/100</f>
        <v>0</v>
      </c>
      <c r="E99" s="197"/>
      <c r="F99" s="198"/>
      <c r="G99" s="197"/>
      <c r="H99" s="225"/>
      <c r="I99" s="17" t="s">
        <v>106</v>
      </c>
      <c r="J99" s="35">
        <f ca="1">(IF(B87&gt;1.5,(H87/(B87+2)+J93+MAX(0,J94-J93)+MAX(0,J95-J94)+MAX(0,J96-J95)+MAX(0,J97-J96)+MAX(0,J98-J97)),IF(B87=1,(H87/(B87+3)+J98),IF(B87=0,H87/4+J98))))</f>
        <v>42.999999999999993</v>
      </c>
    </row>
    <row r="100" spans="1:10" ht="15.75" customHeight="1" x14ac:dyDescent="0.35">
      <c r="A100" s="174" t="s">
        <v>143</v>
      </c>
      <c r="B100" s="175"/>
      <c r="C100" s="176" t="str">
        <f>D64</f>
        <v>Wing D (Galenia) - 3Basement + Stilt/Ground + 1st to 43rd Floor</v>
      </c>
      <c r="D100" s="177"/>
      <c r="E100" s="177"/>
      <c r="F100" s="177"/>
      <c r="G100" s="177"/>
      <c r="H100" s="178"/>
      <c r="I100" s="51" t="str">
        <f ca="1">IF(D113=100%,"All work Completed. Possession granted to the Building.",IF(D112=100%,"All work Completed, Waiting for OC",I101&amp;""&amp;I102&amp;""&amp;J101&amp;""&amp;J100&amp;" "&amp;J102))</f>
        <v>Excavation, Plinth Completed, RCC upto 21 Slab, Brickwork upto 20 Floor, Internal Plaster upto 15 Floor, External Plaster upto 14 Floor Completed</v>
      </c>
      <c r="J100" s="52" t="str">
        <f ca="1">(IF(C106=(D101+F101+H101),"",IF(C106&gt;0,", RCC upto "&amp;C106&amp;" Slab","")))&amp;(IF(C107=H101,"",IF(C107&gt;0,", Brickwork upto "&amp;C107&amp;" Floor","")))&amp;(IF(C108=H101,"",IF(C108&gt;0,", Internal Plaster upto "&amp;C108&amp;" Floor","")))&amp;(IF(C109=H101,"",IF(C109&gt;0,", External Plaster upto "&amp;C109&amp;" Floor","")))&amp;(IF(C110=H101,"",IF(C110&gt;0,", Flooring upto "&amp;C110&amp;" Floor","")))&amp;(IF(C111=H101,"",IF(C111&gt;0,", Painting upto "&amp;C111&amp;" Floor","")))&amp;(IF(C112=H101,"",IF(C112&gt;0,", Finishing upto "&amp;C112&amp;" Floor","")))&amp;(IF(C113=H101,"",IF(C113&gt;0,", Possession upto "&amp;C113&amp;" Floor","")))</f>
        <v>, RCC upto 21 Slab, Brickwork upto 20 Floor, Internal Plaster upto 15 Floor, External Plaster upto 14 Floor</v>
      </c>
    </row>
    <row r="101" spans="1:10" x14ac:dyDescent="0.35">
      <c r="A101" s="18" t="s">
        <v>145</v>
      </c>
      <c r="B101" s="82">
        <v>3</v>
      </c>
      <c r="C101" s="82" t="s">
        <v>73</v>
      </c>
      <c r="D101" s="82">
        <v>1</v>
      </c>
      <c r="E101" s="82" t="s">
        <v>72</v>
      </c>
      <c r="F101" s="82">
        <v>0</v>
      </c>
      <c r="G101" s="83" t="s">
        <v>81</v>
      </c>
      <c r="H101" s="19">
        <f ca="1">--TRIM(RIGHT(SUBSTITUTE(LEFT(C100,_xlfn.AGGREGATE(16,6,FIND({0,1,2,3,4,5,6,7,8,9},C100,ROW(INDIRECT("1:"&amp;LEN(C100)))),1))," ",REPT(" ",LEN(C100))),LEN(C100)))</f>
        <v>43</v>
      </c>
      <c r="I101" s="53" t="str">
        <f ca="1">IF(D104=100%,"Excavation","")&amp;IF(D105=100%,", Plinth","")&amp;IF(D106=100%,", RCC Slab","")&amp;IF(D107=100%,", Brickwork","")&amp;IF(D108=100%,", Internal Plaster","")&amp;IF(D109=100%,", External Plaster","")&amp;IF(D110=100%,", Flooring","")&amp;IF(D111=100%,", Painting","")&amp;IF(D112=100%,", Building common Amenities","")</f>
        <v>Excavation, Plinth</v>
      </c>
      <c r="J101" s="54" t="str">
        <f ca="1">(IF(C104=0,"Work not yet Started.",IF(D104=25%,"Piling work in process",IF(D104=50%,"Excavation work in process",IF(D104=100%,"","0")))))&amp;(IF(C105=0%,"",IF(C105=J106,", Footing work is process",IF(C105=J107,", Footing work Completed",IF(C105=J108,", 1st Basement Completed",IF(C105=J109,", 1st &amp; 2nd Basement Completed",IF(C105=J110,", 1st to 3rd Basement Completed",IF(C105=J111,", 1st to 4th Basement Completed",IF(C105=J112,", Plinth work is process",IF(C105=J113,"","0"))))))))))</f>
        <v/>
      </c>
    </row>
    <row r="102" spans="1:10" ht="32.5" customHeight="1" x14ac:dyDescent="0.35">
      <c r="A102" s="172" t="s">
        <v>91</v>
      </c>
      <c r="B102" s="173"/>
      <c r="C102" s="162" t="str">
        <f ca="1">(IF($C$57=C100,"All work Completed. OC Received.",I100))</f>
        <v>Excavation, Plinth Completed, RCC upto 21 Slab, Brickwork upto 20 Floor, Internal Plaster upto 15 Floor, External Plaster upto 14 Floor Completed</v>
      </c>
      <c r="D102" s="162"/>
      <c r="E102" s="162"/>
      <c r="F102" s="162"/>
      <c r="G102" s="162"/>
      <c r="H102" s="163"/>
      <c r="I102" s="53" t="str">
        <f ca="1">IF(I101&lt;&gt;""," Completed","")</f>
        <v xml:space="preserve"> Completed</v>
      </c>
      <c r="J102" s="54" t="str">
        <f ca="1">IF(J100&lt;&gt;"","Completed","")</f>
        <v>Completed</v>
      </c>
    </row>
    <row r="103" spans="1:10" ht="15.75" customHeight="1" x14ac:dyDescent="0.35">
      <c r="A103" s="131" t="s">
        <v>49</v>
      </c>
      <c r="B103" s="132"/>
      <c r="C103" s="79" t="s">
        <v>142</v>
      </c>
      <c r="D103" s="79" t="s">
        <v>84</v>
      </c>
      <c r="E103" s="132" t="s">
        <v>86</v>
      </c>
      <c r="F103" s="132"/>
      <c r="G103" s="132" t="s">
        <v>85</v>
      </c>
      <c r="H103" s="170"/>
      <c r="I103" s="16" t="s">
        <v>144</v>
      </c>
      <c r="J103" s="31">
        <f ca="1">H101*25%</f>
        <v>10.75</v>
      </c>
    </row>
    <row r="104" spans="1:10" x14ac:dyDescent="0.35">
      <c r="A104" s="131" t="s">
        <v>131</v>
      </c>
      <c r="B104" s="132"/>
      <c r="C104" s="79">
        <v>43</v>
      </c>
      <c r="D104" s="21">
        <f ca="1">((100/H101)*C104)/100</f>
        <v>1</v>
      </c>
      <c r="E104" s="193">
        <f ca="1">(((C105/H101*10)+(40/(D101+F101+H101)*C106)+(7.5/(H101)*C107)+(7.5/(H101)*C108)+(10/H101*C109)+(10/H101*C110)+(5/H101*C111)+(5/H101*C112)+(5/H101*C113))/100)</f>
        <v>0.3845137420718816</v>
      </c>
      <c r="F104" s="194"/>
      <c r="G104" s="193">
        <f ca="1">((((C104/H101)*20)+((C105/H101)*25)+(30/(H101+F101+D101)*C106)+(5/H101*C107)+(5/H101*C108)+(5/H101*C109)+(5/H101*C110)+(0/H101*C111)+(0/H101*C112)+(5/H101*C113))/100)</f>
        <v>0.65015856236786462</v>
      </c>
      <c r="H104" s="223"/>
      <c r="I104" s="16" t="s">
        <v>102</v>
      </c>
      <c r="J104" s="32">
        <f ca="1">H101*50%</f>
        <v>21.5</v>
      </c>
    </row>
    <row r="105" spans="1:10" x14ac:dyDescent="0.35">
      <c r="A105" s="131" t="s">
        <v>50</v>
      </c>
      <c r="B105" s="132"/>
      <c r="C105" s="64">
        <v>43</v>
      </c>
      <c r="D105" s="21">
        <f ca="1">((100/H101)*C105)/100</f>
        <v>1</v>
      </c>
      <c r="E105" s="195"/>
      <c r="F105" s="196"/>
      <c r="G105" s="195"/>
      <c r="H105" s="224"/>
      <c r="I105" s="16" t="s">
        <v>103</v>
      </c>
      <c r="J105" s="32">
        <f ca="1">H101</f>
        <v>43</v>
      </c>
    </row>
    <row r="106" spans="1:10" ht="15.75" customHeight="1" x14ac:dyDescent="0.35">
      <c r="A106" s="131" t="s">
        <v>132</v>
      </c>
      <c r="B106" s="132"/>
      <c r="C106" s="79">
        <v>21</v>
      </c>
      <c r="D106" s="21">
        <f ca="1">((100/(D101+F101+H101))*C106)/100</f>
        <v>0.47727272727272735</v>
      </c>
      <c r="E106" s="195"/>
      <c r="F106" s="196"/>
      <c r="G106" s="195"/>
      <c r="H106" s="224"/>
      <c r="I106" s="16" t="s">
        <v>104</v>
      </c>
      <c r="J106" s="33">
        <f ca="1">(IF(B101&gt;1,(H101/(B101+2)),H101/4))</f>
        <v>8.6</v>
      </c>
    </row>
    <row r="107" spans="1:10" ht="15.75" customHeight="1" x14ac:dyDescent="0.35">
      <c r="A107" s="131" t="s">
        <v>139</v>
      </c>
      <c r="B107" s="132" t="s">
        <v>133</v>
      </c>
      <c r="C107" s="79">
        <f>C106-1</f>
        <v>20</v>
      </c>
      <c r="D107" s="21">
        <f ca="1">((100/H101)*C107)/100</f>
        <v>0.46511627906976749</v>
      </c>
      <c r="E107" s="195"/>
      <c r="F107" s="196"/>
      <c r="G107" s="195"/>
      <c r="H107" s="224"/>
      <c r="I107" s="16" t="s">
        <v>105</v>
      </c>
      <c r="J107" s="33">
        <f ca="1">(IF(B101&gt;1,(H101/(B101+2)+J106),H101/4+J106))</f>
        <v>17.2</v>
      </c>
    </row>
    <row r="108" spans="1:10" ht="15.75" customHeight="1" x14ac:dyDescent="0.35">
      <c r="A108" s="131" t="s">
        <v>140</v>
      </c>
      <c r="B108" s="132" t="s">
        <v>133</v>
      </c>
      <c r="C108" s="64">
        <f>C107*0.75</f>
        <v>15</v>
      </c>
      <c r="D108" s="21">
        <f ca="1">((100/H101)*C108)/100</f>
        <v>0.34883720930232565</v>
      </c>
      <c r="E108" s="195"/>
      <c r="F108" s="196"/>
      <c r="G108" s="195"/>
      <c r="H108" s="224"/>
      <c r="I108" s="16" t="s">
        <v>150</v>
      </c>
      <c r="J108" s="33">
        <f ca="1">(IF(B101&gt;1,(H101/(B101+2)+J107),0))</f>
        <v>25.799999999999997</v>
      </c>
    </row>
    <row r="109" spans="1:10" ht="15" customHeight="1" x14ac:dyDescent="0.35">
      <c r="A109" s="131" t="s">
        <v>138</v>
      </c>
      <c r="B109" s="132" t="s">
        <v>135</v>
      </c>
      <c r="C109" s="64">
        <f>C107*0.7</f>
        <v>14</v>
      </c>
      <c r="D109" s="21">
        <f ca="1">((100/(H101))*C109)/100</f>
        <v>0.32558139534883723</v>
      </c>
      <c r="E109" s="195"/>
      <c r="F109" s="196"/>
      <c r="G109" s="195"/>
      <c r="H109" s="224"/>
      <c r="I109" s="16" t="s">
        <v>146</v>
      </c>
      <c r="J109" s="33">
        <f ca="1">(IF(B101&gt;2,(H101/(B101+2)+J108),0))</f>
        <v>34.4</v>
      </c>
    </row>
    <row r="110" spans="1:10" ht="15.75" customHeight="1" x14ac:dyDescent="0.35">
      <c r="A110" s="131" t="s">
        <v>134</v>
      </c>
      <c r="B110" s="132" t="s">
        <v>134</v>
      </c>
      <c r="C110" s="79">
        <v>0</v>
      </c>
      <c r="D110" s="21">
        <f ca="1">((100/H101)*C110)/100</f>
        <v>0</v>
      </c>
      <c r="E110" s="195"/>
      <c r="F110" s="196"/>
      <c r="G110" s="195"/>
      <c r="H110" s="224"/>
      <c r="I110" s="16" t="s">
        <v>147</v>
      </c>
      <c r="J110" s="34">
        <f>(IF(B101&gt;3,(H101/(B101+2)+J109),0))</f>
        <v>0</v>
      </c>
    </row>
    <row r="111" spans="1:10" ht="15.75" customHeight="1" x14ac:dyDescent="0.35">
      <c r="A111" s="131" t="s">
        <v>141</v>
      </c>
      <c r="B111" s="132"/>
      <c r="C111" s="79">
        <v>0</v>
      </c>
      <c r="D111" s="21">
        <f ca="1">((100/H101)*C111)/100</f>
        <v>0</v>
      </c>
      <c r="E111" s="195"/>
      <c r="F111" s="196"/>
      <c r="G111" s="195"/>
      <c r="H111" s="224"/>
      <c r="I111" s="16" t="s">
        <v>148</v>
      </c>
      <c r="J111" s="33">
        <f>(IF(B101&gt;4,(H101/(B101+2)+J110),0))</f>
        <v>0</v>
      </c>
    </row>
    <row r="112" spans="1:10" ht="15.75" customHeight="1" x14ac:dyDescent="0.35">
      <c r="A112" s="131" t="s">
        <v>136</v>
      </c>
      <c r="B112" s="132" t="s">
        <v>136</v>
      </c>
      <c r="C112" s="79">
        <v>0</v>
      </c>
      <c r="D112" s="21">
        <f ca="1">((100/(H101))*C112)/100</f>
        <v>0</v>
      </c>
      <c r="E112" s="195"/>
      <c r="F112" s="196"/>
      <c r="G112" s="195"/>
      <c r="H112" s="224"/>
      <c r="I112" s="16" t="s">
        <v>151</v>
      </c>
      <c r="J112" s="33">
        <f>(IF(B101=1,(H101/(B101+3)+J107),IF(B101=0,(H101/4+J107),IF(B101&gt;1,0))))</f>
        <v>0</v>
      </c>
    </row>
    <row r="113" spans="1:13" ht="16" thickBot="1" x14ac:dyDescent="0.4">
      <c r="A113" s="199" t="s">
        <v>137</v>
      </c>
      <c r="B113" s="200"/>
      <c r="C113" s="81">
        <v>0</v>
      </c>
      <c r="D113" s="22">
        <f ca="1">((100/(H101))*C113)/100</f>
        <v>0</v>
      </c>
      <c r="E113" s="197"/>
      <c r="F113" s="198"/>
      <c r="G113" s="197"/>
      <c r="H113" s="225"/>
      <c r="I113" s="17" t="s">
        <v>106</v>
      </c>
      <c r="J113" s="35">
        <f ca="1">(IF(B101&gt;1.5,(H101/(B101+2)+J107+MAX(0,J108-J107)+MAX(0,J109-J108)+MAX(0,J110-J109)+MAX(0,J111-J110)+MAX(0,J112-J111)),IF(B101=1,(H101/(B101+3)+J112),IF(B101=0,H101/4+J112))))</f>
        <v>42.999999999999993</v>
      </c>
    </row>
    <row r="114" spans="1:13" x14ac:dyDescent="0.35">
      <c r="A114" s="244" t="s">
        <v>161</v>
      </c>
      <c r="B114" s="244"/>
      <c r="C114" s="244"/>
      <c r="D114" s="244"/>
      <c r="E114" s="244"/>
      <c r="F114" s="201" t="s">
        <v>166</v>
      </c>
      <c r="G114" s="201"/>
      <c r="H114" s="201"/>
    </row>
    <row r="115" spans="1:13" x14ac:dyDescent="0.35">
      <c r="A115" s="120" t="s">
        <v>164</v>
      </c>
      <c r="B115" s="120"/>
      <c r="C115" s="120"/>
      <c r="D115" s="120"/>
      <c r="E115" s="120"/>
      <c r="F115" s="134">
        <v>7000</v>
      </c>
      <c r="G115" s="134"/>
      <c r="H115" s="134"/>
      <c r="I115" s="24"/>
      <c r="J115" s="24" t="s">
        <v>210</v>
      </c>
      <c r="K115" s="24"/>
      <c r="L115" s="24">
        <v>6000</v>
      </c>
      <c r="M115" s="24"/>
    </row>
    <row r="116" spans="1:13" x14ac:dyDescent="0.35">
      <c r="A116" s="120" t="s">
        <v>163</v>
      </c>
      <c r="B116" s="120"/>
      <c r="C116" s="120"/>
      <c r="D116" s="120"/>
      <c r="E116" s="120"/>
      <c r="F116" s="134">
        <v>12000</v>
      </c>
      <c r="G116" s="134"/>
      <c r="H116" s="134"/>
      <c r="I116" s="24"/>
      <c r="J116" s="24" t="s">
        <v>211</v>
      </c>
      <c r="K116" s="24"/>
      <c r="L116" s="24">
        <v>6700</v>
      </c>
      <c r="M116" s="24"/>
    </row>
    <row r="117" spans="1:13" hidden="1" x14ac:dyDescent="0.35">
      <c r="A117" s="120" t="s">
        <v>165</v>
      </c>
      <c r="B117" s="120"/>
      <c r="C117" s="120"/>
      <c r="D117" s="120"/>
      <c r="E117" s="120"/>
      <c r="F117" s="202"/>
      <c r="G117" s="202"/>
      <c r="H117" s="202"/>
      <c r="I117" s="24"/>
      <c r="J117" s="24" t="s">
        <v>212</v>
      </c>
      <c r="K117" s="24"/>
      <c r="L117" s="24">
        <v>6300</v>
      </c>
      <c r="M117" s="24"/>
    </row>
    <row r="118" spans="1:13" s="36" customFormat="1" ht="16.5" hidden="1" customHeight="1" x14ac:dyDescent="0.3">
      <c r="A118" s="120" t="s">
        <v>162</v>
      </c>
      <c r="B118" s="120"/>
      <c r="C118" s="120"/>
      <c r="D118" s="120"/>
      <c r="E118" s="120"/>
      <c r="F118" s="202"/>
      <c r="G118" s="202"/>
      <c r="H118" s="202"/>
      <c r="I118" s="75"/>
      <c r="J118" s="75"/>
      <c r="K118" s="75"/>
      <c r="L118" s="75"/>
      <c r="M118" s="75"/>
    </row>
    <row r="119" spans="1:13" s="36" customFormat="1" ht="16.5" hidden="1" customHeight="1" x14ac:dyDescent="0.3">
      <c r="A119" s="120" t="s">
        <v>96</v>
      </c>
      <c r="B119" s="120"/>
      <c r="C119" s="120"/>
      <c r="D119" s="120"/>
      <c r="E119" s="120"/>
      <c r="F119" s="202"/>
      <c r="G119" s="202"/>
      <c r="H119" s="202"/>
      <c r="I119" s="75"/>
      <c r="J119" s="75"/>
      <c r="K119" s="75"/>
      <c r="L119" s="75"/>
      <c r="M119" s="75"/>
    </row>
    <row r="120" spans="1:13" s="36" customFormat="1" hidden="1" x14ac:dyDescent="0.3">
      <c r="A120" s="120" t="s">
        <v>97</v>
      </c>
      <c r="B120" s="120"/>
      <c r="C120" s="120"/>
      <c r="D120" s="120"/>
      <c r="E120" s="120"/>
      <c r="F120" s="202"/>
      <c r="G120" s="202"/>
      <c r="H120" s="202"/>
      <c r="I120" s="75"/>
      <c r="J120" s="75"/>
      <c r="K120" s="75"/>
      <c r="L120" s="75"/>
      <c r="M120" s="75"/>
    </row>
    <row r="121" spans="1:13" s="36" customFormat="1" hidden="1" x14ac:dyDescent="0.3">
      <c r="A121" s="120" t="s">
        <v>167</v>
      </c>
      <c r="B121" s="120"/>
      <c r="C121" s="120"/>
      <c r="D121" s="120"/>
      <c r="E121" s="120"/>
      <c r="F121" s="202"/>
      <c r="G121" s="202"/>
      <c r="H121" s="202"/>
      <c r="I121" s="75"/>
      <c r="J121" s="75"/>
      <c r="K121" s="75"/>
      <c r="L121" s="75"/>
      <c r="M121" s="75"/>
    </row>
    <row r="122" spans="1:13" s="36" customFormat="1" hidden="1" x14ac:dyDescent="0.3">
      <c r="A122" s="120" t="s">
        <v>98</v>
      </c>
      <c r="B122" s="120"/>
      <c r="C122" s="120"/>
      <c r="D122" s="120"/>
      <c r="E122" s="120"/>
      <c r="F122" s="202"/>
      <c r="G122" s="202"/>
      <c r="H122" s="202"/>
      <c r="I122" s="75"/>
      <c r="J122" s="75"/>
      <c r="K122" s="75"/>
      <c r="L122" s="75"/>
      <c r="M122" s="75"/>
    </row>
    <row r="123" spans="1:13" s="36" customFormat="1" hidden="1" x14ac:dyDescent="0.3">
      <c r="A123" s="120" t="s">
        <v>99</v>
      </c>
      <c r="B123" s="120"/>
      <c r="C123" s="120"/>
      <c r="D123" s="120"/>
      <c r="E123" s="120"/>
      <c r="F123" s="202"/>
      <c r="G123" s="202"/>
      <c r="H123" s="202"/>
      <c r="I123" s="75"/>
      <c r="J123" s="75"/>
      <c r="K123" s="75"/>
      <c r="L123" s="75"/>
      <c r="M123" s="75"/>
    </row>
    <row r="124" spans="1:13" s="36" customFormat="1" hidden="1" x14ac:dyDescent="0.3">
      <c r="A124" s="120" t="s">
        <v>100</v>
      </c>
      <c r="B124" s="120"/>
      <c r="C124" s="120"/>
      <c r="D124" s="120"/>
      <c r="E124" s="120"/>
      <c r="F124" s="202"/>
      <c r="G124" s="202"/>
      <c r="H124" s="202"/>
      <c r="I124" s="75"/>
      <c r="J124" s="75"/>
      <c r="K124" s="75"/>
      <c r="L124" s="75"/>
      <c r="M124" s="75"/>
    </row>
    <row r="125" spans="1:13" s="36" customFormat="1" hidden="1" x14ac:dyDescent="0.3">
      <c r="A125" s="120" t="s">
        <v>101</v>
      </c>
      <c r="B125" s="120"/>
      <c r="C125" s="120"/>
      <c r="D125" s="120"/>
      <c r="E125" s="120"/>
      <c r="F125" s="202"/>
      <c r="G125" s="202"/>
      <c r="H125" s="202"/>
      <c r="I125" s="75"/>
      <c r="J125" s="75"/>
      <c r="K125" s="75"/>
      <c r="L125" s="75"/>
      <c r="M125" s="75"/>
    </row>
    <row r="126" spans="1:13" x14ac:dyDescent="0.35">
      <c r="A126" s="120" t="s">
        <v>51</v>
      </c>
      <c r="B126" s="120"/>
      <c r="C126" s="120"/>
      <c r="D126" s="120"/>
      <c r="E126" s="120"/>
      <c r="F126" s="134">
        <v>500000</v>
      </c>
      <c r="G126" s="134"/>
      <c r="H126" s="134"/>
      <c r="I126" s="24"/>
      <c r="J126" s="24"/>
      <c r="K126" s="24"/>
      <c r="L126" s="24"/>
      <c r="M126" s="24"/>
    </row>
    <row r="127" spans="1:13" s="37" customFormat="1" x14ac:dyDescent="0.35">
      <c r="A127" s="156" t="s">
        <v>52</v>
      </c>
      <c r="B127" s="156"/>
      <c r="C127" s="156"/>
      <c r="D127" s="156"/>
      <c r="E127" s="156"/>
      <c r="F127" s="134">
        <f>F115*0.8</f>
        <v>5600</v>
      </c>
      <c r="G127" s="134"/>
      <c r="H127" s="134"/>
    </row>
    <row r="128" spans="1:13" s="38" customFormat="1" ht="15.75" customHeight="1" x14ac:dyDescent="0.35">
      <c r="A128" s="143" t="s">
        <v>76</v>
      </c>
      <c r="B128" s="143"/>
      <c r="C128" s="143"/>
      <c r="D128" s="143"/>
      <c r="E128" s="143"/>
      <c r="F128" s="143"/>
      <c r="G128" s="143"/>
      <c r="H128" s="143"/>
    </row>
    <row r="129" spans="1:11" s="38" customFormat="1" ht="15.75" customHeight="1" x14ac:dyDescent="0.35">
      <c r="A129" s="122" t="s">
        <v>53</v>
      </c>
      <c r="B129" s="122"/>
      <c r="C129" s="144" t="s">
        <v>213</v>
      </c>
      <c r="D129" s="144"/>
      <c r="E129" s="146" t="s">
        <v>54</v>
      </c>
      <c r="F129" s="146"/>
      <c r="G129" s="122" t="s">
        <v>55</v>
      </c>
      <c r="H129" s="122"/>
    </row>
    <row r="130" spans="1:11" s="38" customFormat="1" ht="31" hidden="1" x14ac:dyDescent="0.35">
      <c r="A130" s="204" t="s">
        <v>202</v>
      </c>
      <c r="B130" s="69" t="s">
        <v>203</v>
      </c>
      <c r="C130" s="139"/>
      <c r="D130" s="139"/>
      <c r="E130" s="203"/>
      <c r="F130" s="203"/>
      <c r="G130" s="135"/>
      <c r="H130" s="135"/>
    </row>
    <row r="131" spans="1:11" s="38" customFormat="1" ht="31" hidden="1" x14ac:dyDescent="0.35">
      <c r="A131" s="204"/>
      <c r="B131" s="69" t="s">
        <v>204</v>
      </c>
      <c r="C131" s="139"/>
      <c r="D131" s="139"/>
      <c r="E131" s="203"/>
      <c r="F131" s="203"/>
      <c r="G131" s="135"/>
      <c r="H131" s="135"/>
    </row>
    <row r="132" spans="1:11" s="38" customFormat="1" ht="31" x14ac:dyDescent="0.35">
      <c r="A132" s="62" t="s">
        <v>218</v>
      </c>
      <c r="B132" s="65" t="s">
        <v>203</v>
      </c>
      <c r="C132" s="139">
        <f>COUNT(D150:D158)</f>
        <v>9</v>
      </c>
      <c r="D132" s="139"/>
      <c r="E132" s="97">
        <f>SUM(D150:D158)</f>
        <v>913.97123999999985</v>
      </c>
      <c r="F132" s="97"/>
      <c r="G132" s="97">
        <f>SUM(F150:F158)</f>
        <v>1462.3539839999999</v>
      </c>
      <c r="H132" s="97"/>
    </row>
    <row r="133" spans="1:11" s="38" customFormat="1" ht="31" x14ac:dyDescent="0.35">
      <c r="A133" s="62" t="s">
        <v>219</v>
      </c>
      <c r="B133" s="62" t="s">
        <v>191</v>
      </c>
      <c r="C133" s="228">
        <f>COUNT(D163:D177)</f>
        <v>15</v>
      </c>
      <c r="D133" s="139"/>
      <c r="E133" s="97">
        <f>SUM(D163:D177)</f>
        <v>3176.8116119999995</v>
      </c>
      <c r="F133" s="229"/>
      <c r="G133" s="97">
        <f>SUM(F163:F177)</f>
        <v>5082.8985791999994</v>
      </c>
      <c r="H133" s="229"/>
    </row>
    <row r="134" spans="1:11" s="38" customFormat="1" ht="31" x14ac:dyDescent="0.35">
      <c r="A134" s="62" t="s">
        <v>218</v>
      </c>
      <c r="B134" s="65" t="s">
        <v>243</v>
      </c>
      <c r="C134" s="139">
        <f>COUNT(D181:D198)</f>
        <v>18</v>
      </c>
      <c r="D134" s="139"/>
      <c r="E134" s="97">
        <f t="shared" ref="E134" si="0">SUM(D181:D198)</f>
        <v>4564.1432070000001</v>
      </c>
      <c r="F134" s="97"/>
      <c r="G134" s="97">
        <f>SUM(F181:F198)</f>
        <v>7302.6291311999994</v>
      </c>
      <c r="H134" s="97"/>
    </row>
    <row r="135" spans="1:11" s="38" customFormat="1" x14ac:dyDescent="0.35">
      <c r="A135" s="143" t="s">
        <v>154</v>
      </c>
      <c r="B135" s="143"/>
      <c r="C135" s="144">
        <f>SUM(C131:C134)</f>
        <v>42</v>
      </c>
      <c r="D135" s="144"/>
      <c r="E135" s="145">
        <f>SUM(E131:E134)</f>
        <v>8654.9260589999994</v>
      </c>
      <c r="F135" s="146"/>
      <c r="G135" s="122">
        <f>SUM(G131:G134)</f>
        <v>13847.881694399999</v>
      </c>
      <c r="H135" s="122"/>
      <c r="I135" s="38">
        <f>15+9</f>
        <v>24</v>
      </c>
    </row>
    <row r="136" spans="1:11" s="38" customFormat="1" x14ac:dyDescent="0.35">
      <c r="A136" s="143" t="s">
        <v>71</v>
      </c>
      <c r="B136" s="143"/>
      <c r="C136" s="143"/>
      <c r="D136" s="143"/>
      <c r="E136" s="143"/>
      <c r="F136" s="143"/>
      <c r="G136" s="143"/>
      <c r="H136" s="143"/>
      <c r="J136" s="38">
        <f>32*9+8*9</f>
        <v>360</v>
      </c>
      <c r="K136" s="38">
        <f>32+9+2</f>
        <v>43</v>
      </c>
    </row>
    <row r="137" spans="1:11" s="38" customFormat="1" ht="15.75" customHeight="1" x14ac:dyDescent="0.35">
      <c r="A137" s="122" t="s">
        <v>53</v>
      </c>
      <c r="B137" s="122"/>
      <c r="C137" s="144" t="s">
        <v>79</v>
      </c>
      <c r="D137" s="144"/>
      <c r="E137" s="146" t="s">
        <v>54</v>
      </c>
      <c r="F137" s="146"/>
      <c r="G137" s="122" t="s">
        <v>55</v>
      </c>
      <c r="H137" s="122"/>
    </row>
    <row r="138" spans="1:11" s="38" customFormat="1" ht="31" x14ac:dyDescent="0.35">
      <c r="A138" s="205" t="s">
        <v>218</v>
      </c>
      <c r="B138" s="65" t="s">
        <v>203</v>
      </c>
      <c r="C138" s="139">
        <f>COUNT(D215:D222)*31+COUNT(D224:D228,D230:D231)*9</f>
        <v>311</v>
      </c>
      <c r="D138" s="139"/>
      <c r="E138" s="97">
        <f>SUM(D215:D222)*31+SUM(D224:D228,D230:D231)*9</f>
        <v>228530.82844799999</v>
      </c>
      <c r="F138" s="97"/>
      <c r="G138" s="97">
        <f>SUM(F215:F222)*31+SUM(F224:F228,F230:F231)*9</f>
        <v>365649.32551679993</v>
      </c>
      <c r="H138" s="97"/>
    </row>
    <row r="139" spans="1:11" s="38" customFormat="1" ht="31.5" customHeight="1" x14ac:dyDescent="0.35">
      <c r="A139" s="206"/>
      <c r="B139" s="65" t="s">
        <v>243</v>
      </c>
      <c r="C139" s="139">
        <f>COUNT(D329:D334)+COUNT(D338:D346)*32+COUNT(D348,D350:D356)*9</f>
        <v>366</v>
      </c>
      <c r="D139" s="139"/>
      <c r="E139" s="97">
        <f>SUM(D329:D334)+SUM(D338:D346)*32+SUM(D348,D350:D356)*9</f>
        <v>193579.88363999999</v>
      </c>
      <c r="F139" s="97"/>
      <c r="G139" s="97">
        <f>SUM(F329:F334)+SUM(F338:F346)*32+SUM(F348,F350:F356)*9</f>
        <v>309727.81382399995</v>
      </c>
      <c r="H139" s="97"/>
    </row>
    <row r="140" spans="1:11" s="38" customFormat="1" ht="31" x14ac:dyDescent="0.35">
      <c r="A140" s="62" t="s">
        <v>219</v>
      </c>
      <c r="B140" s="62" t="s">
        <v>191</v>
      </c>
      <c r="C140" s="139">
        <f>COUNT(D246:D255)+COUNT(D259:D268)*3+COUNT(D272:D283)*32+COUNT(D285:D286,D289:D296)*7</f>
        <v>494</v>
      </c>
      <c r="D140" s="139"/>
      <c r="E140" s="97">
        <f>SUM(D246:D255)+SUM(D259:D268)*3+SUM(D272:D283)*32+SUM(D285:D286,D289:D296)*7</f>
        <v>277879.16145599994</v>
      </c>
      <c r="F140" s="97"/>
      <c r="G140" s="97">
        <f>SUM(F246:F255)+SUM(F259:F268)*3+SUM(F272:F283)*32+SUM(F285:F286,F289:F296)*7</f>
        <v>444606.6583296</v>
      </c>
      <c r="H140" s="97"/>
    </row>
    <row r="141" spans="1:11" s="38" customFormat="1" x14ac:dyDescent="0.35">
      <c r="A141" s="143" t="s">
        <v>154</v>
      </c>
      <c r="B141" s="143"/>
      <c r="C141" s="144">
        <f>SUM(C138:D140)</f>
        <v>1171</v>
      </c>
      <c r="D141" s="144"/>
      <c r="E141" s="145">
        <f>SUM(E138:E140)</f>
        <v>699989.87354399986</v>
      </c>
      <c r="F141" s="146"/>
      <c r="G141" s="122">
        <f>SUM(G138:G140)</f>
        <v>1119983.7976703998</v>
      </c>
      <c r="H141" s="122"/>
    </row>
    <row r="142" spans="1:11" s="37" customFormat="1" x14ac:dyDescent="0.35">
      <c r="A142" s="180" t="s">
        <v>56</v>
      </c>
      <c r="B142" s="180"/>
      <c r="C142" s="180"/>
      <c r="D142" s="180"/>
      <c r="E142" s="180"/>
      <c r="F142" s="180"/>
      <c r="G142" s="180"/>
      <c r="H142" s="180"/>
    </row>
    <row r="143" spans="1:11" x14ac:dyDescent="0.35">
      <c r="A143" s="180" t="s">
        <v>57</v>
      </c>
      <c r="B143" s="180"/>
      <c r="C143" s="180"/>
      <c r="D143" s="180"/>
      <c r="E143" s="180"/>
      <c r="F143" s="180"/>
      <c r="G143" s="180"/>
      <c r="H143" s="180"/>
    </row>
    <row r="144" spans="1:11" ht="47.25" customHeight="1" x14ac:dyDescent="0.35">
      <c r="A144" s="123" t="s">
        <v>121</v>
      </c>
      <c r="B144" s="123" t="s">
        <v>120</v>
      </c>
      <c r="C144" s="123" t="s">
        <v>58</v>
      </c>
      <c r="D144" s="123" t="s">
        <v>59</v>
      </c>
      <c r="E144" s="125" t="s">
        <v>160</v>
      </c>
      <c r="F144" s="46" t="s">
        <v>153</v>
      </c>
      <c r="G144" s="127" t="s">
        <v>61</v>
      </c>
      <c r="H144" s="128"/>
    </row>
    <row r="145" spans="1:14" s="50" customFormat="1" x14ac:dyDescent="0.35">
      <c r="A145" s="124"/>
      <c r="B145" s="124"/>
      <c r="C145" s="124"/>
      <c r="D145" s="124"/>
      <c r="E145" s="126"/>
      <c r="F145" s="15">
        <v>0.6</v>
      </c>
      <c r="G145" s="129"/>
      <c r="H145" s="130"/>
    </row>
    <row r="146" spans="1:14" s="77" customFormat="1" x14ac:dyDescent="0.35">
      <c r="A146" s="114" t="s">
        <v>218</v>
      </c>
      <c r="B146" s="115"/>
      <c r="C146" s="115"/>
      <c r="D146" s="115"/>
      <c r="E146" s="115"/>
      <c r="F146" s="115"/>
      <c r="G146" s="115"/>
      <c r="H146" s="116"/>
      <c r="J146" s="39"/>
    </row>
    <row r="147" spans="1:14" s="77" customFormat="1" x14ac:dyDescent="0.35">
      <c r="A147" s="114" t="s">
        <v>203</v>
      </c>
      <c r="B147" s="115"/>
      <c r="C147" s="115"/>
      <c r="D147" s="115"/>
      <c r="E147" s="115"/>
      <c r="F147" s="115"/>
      <c r="G147" s="115"/>
      <c r="H147" s="116"/>
      <c r="J147" s="39"/>
    </row>
    <row r="148" spans="1:14" s="77" customFormat="1" x14ac:dyDescent="0.35">
      <c r="A148" s="114" t="s">
        <v>201</v>
      </c>
      <c r="B148" s="115"/>
      <c r="C148" s="115"/>
      <c r="D148" s="115"/>
      <c r="E148" s="115"/>
      <c r="F148" s="115"/>
      <c r="G148" s="115"/>
      <c r="H148" s="116"/>
      <c r="J148" s="39"/>
    </row>
    <row r="149" spans="1:14" s="77" customFormat="1" x14ac:dyDescent="0.35">
      <c r="A149" s="114" t="s">
        <v>200</v>
      </c>
      <c r="B149" s="115"/>
      <c r="C149" s="115"/>
      <c r="D149" s="115"/>
      <c r="E149" s="115"/>
      <c r="F149" s="115"/>
      <c r="G149" s="115"/>
      <c r="H149" s="116"/>
      <c r="J149" s="39"/>
    </row>
    <row r="150" spans="1:14" s="77" customFormat="1" ht="15.75" customHeight="1" x14ac:dyDescent="0.35">
      <c r="A150" s="100">
        <v>55</v>
      </c>
      <c r="B150" s="101"/>
      <c r="C150" s="76" t="s">
        <v>192</v>
      </c>
      <c r="D150" s="68">
        <f>2.7*3.65*10.764</f>
        <v>106.07921999999999</v>
      </c>
      <c r="E150" s="76">
        <v>0</v>
      </c>
      <c r="F150" s="76">
        <f t="shared" ref="F150:F158" si="1">(D150+E150)*(($F$145)+1)</f>
        <v>169.726752</v>
      </c>
      <c r="G150" s="107" t="str">
        <f>A149</f>
        <v>Ground Floor for Commercial</v>
      </c>
      <c r="H150" s="108"/>
      <c r="I150" s="39"/>
      <c r="J150" s="68">
        <v>10.763999999999999</v>
      </c>
      <c r="L150" s="106"/>
      <c r="M150" s="106"/>
      <c r="N150" s="39"/>
    </row>
    <row r="151" spans="1:14" s="77" customFormat="1" ht="15.75" customHeight="1" x14ac:dyDescent="0.35">
      <c r="A151" s="100">
        <f t="shared" ref="A151:A158" si="2">A150+1</f>
        <v>56</v>
      </c>
      <c r="B151" s="101"/>
      <c r="C151" s="76" t="s">
        <v>192</v>
      </c>
      <c r="D151" s="68">
        <f>3.55*2.75*10.764</f>
        <v>105.08354999999999</v>
      </c>
      <c r="E151" s="76">
        <v>0</v>
      </c>
      <c r="F151" s="76">
        <f t="shared" si="1"/>
        <v>168.13368</v>
      </c>
      <c r="G151" s="109"/>
      <c r="H151" s="110"/>
      <c r="I151" s="67">
        <f>2.5*7.6</f>
        <v>19</v>
      </c>
      <c r="L151" s="106"/>
      <c r="M151" s="106"/>
      <c r="N151" s="39"/>
    </row>
    <row r="152" spans="1:14" s="77" customFormat="1" ht="15.75" customHeight="1" x14ac:dyDescent="0.35">
      <c r="A152" s="100">
        <f t="shared" si="2"/>
        <v>57</v>
      </c>
      <c r="B152" s="101"/>
      <c r="C152" s="76" t="s">
        <v>192</v>
      </c>
      <c r="D152" s="68">
        <f>3.55*2.7*10.764</f>
        <v>103.17294</v>
      </c>
      <c r="E152" s="76">
        <v>0</v>
      </c>
      <c r="F152" s="76">
        <f t="shared" si="1"/>
        <v>165.07670400000001</v>
      </c>
      <c r="G152" s="109"/>
      <c r="H152" s="110"/>
      <c r="I152" s="39"/>
      <c r="L152" s="106"/>
      <c r="M152" s="106"/>
      <c r="N152" s="39"/>
    </row>
    <row r="153" spans="1:14" s="77" customFormat="1" ht="15.75" customHeight="1" x14ac:dyDescent="0.35">
      <c r="A153" s="100">
        <f t="shared" si="2"/>
        <v>58</v>
      </c>
      <c r="B153" s="101"/>
      <c r="C153" s="76" t="s">
        <v>192</v>
      </c>
      <c r="D153" s="68">
        <f>3.55*2.35*10.764</f>
        <v>89.798669999999987</v>
      </c>
      <c r="E153" s="76">
        <v>0</v>
      </c>
      <c r="F153" s="76">
        <f t="shared" si="1"/>
        <v>143.67787199999998</v>
      </c>
      <c r="G153" s="109"/>
      <c r="H153" s="110"/>
      <c r="I153" s="39"/>
      <c r="L153" s="106"/>
      <c r="M153" s="106"/>
      <c r="N153" s="39"/>
    </row>
    <row r="154" spans="1:14" s="77" customFormat="1" ht="15.75" customHeight="1" x14ac:dyDescent="0.35">
      <c r="A154" s="100">
        <f t="shared" si="2"/>
        <v>59</v>
      </c>
      <c r="B154" s="101"/>
      <c r="C154" s="76" t="s">
        <v>192</v>
      </c>
      <c r="D154" s="68">
        <f>3.55*2.35*10.764</f>
        <v>89.798669999999987</v>
      </c>
      <c r="E154" s="76">
        <v>0</v>
      </c>
      <c r="F154" s="76">
        <f t="shared" si="1"/>
        <v>143.67787199999998</v>
      </c>
      <c r="G154" s="109"/>
      <c r="H154" s="110"/>
      <c r="I154" s="39"/>
      <c r="L154" s="106"/>
      <c r="M154" s="106"/>
      <c r="N154" s="39"/>
    </row>
    <row r="155" spans="1:14" s="77" customFormat="1" ht="15.75" customHeight="1" x14ac:dyDescent="0.35">
      <c r="A155" s="100">
        <f t="shared" si="2"/>
        <v>60</v>
      </c>
      <c r="B155" s="101"/>
      <c r="C155" s="76" t="s">
        <v>192</v>
      </c>
      <c r="D155" s="68">
        <f>3.55*2.75*10.764</f>
        <v>105.08354999999999</v>
      </c>
      <c r="E155" s="76">
        <v>0</v>
      </c>
      <c r="F155" s="76">
        <f t="shared" si="1"/>
        <v>168.13368</v>
      </c>
      <c r="G155" s="109"/>
      <c r="H155" s="110"/>
      <c r="I155" s="39"/>
      <c r="L155" s="106"/>
      <c r="M155" s="106"/>
      <c r="N155" s="39"/>
    </row>
    <row r="156" spans="1:14" s="77" customFormat="1" ht="15.75" customHeight="1" x14ac:dyDescent="0.35">
      <c r="A156" s="100">
        <f t="shared" si="2"/>
        <v>61</v>
      </c>
      <c r="B156" s="101"/>
      <c r="C156" s="76" t="s">
        <v>192</v>
      </c>
      <c r="D156" s="68">
        <f>3.25*3.05*10.764</f>
        <v>106.69814999999998</v>
      </c>
      <c r="E156" s="76">
        <v>0</v>
      </c>
      <c r="F156" s="76">
        <f t="shared" si="1"/>
        <v>170.71704</v>
      </c>
      <c r="G156" s="109"/>
      <c r="H156" s="110"/>
      <c r="I156" s="39"/>
      <c r="L156" s="106"/>
      <c r="M156" s="106"/>
      <c r="N156" s="39"/>
    </row>
    <row r="157" spans="1:14" s="77" customFormat="1" ht="15.75" customHeight="1" x14ac:dyDescent="0.35">
      <c r="A157" s="100">
        <f t="shared" si="2"/>
        <v>62</v>
      </c>
      <c r="B157" s="101"/>
      <c r="C157" s="76" t="s">
        <v>192</v>
      </c>
      <c r="D157" s="68">
        <f>3.55*2.7*10.764</f>
        <v>103.17294</v>
      </c>
      <c r="E157" s="76">
        <v>0</v>
      </c>
      <c r="F157" s="76">
        <f t="shared" si="1"/>
        <v>165.07670400000001</v>
      </c>
      <c r="G157" s="109"/>
      <c r="H157" s="110"/>
      <c r="I157" s="39"/>
      <c r="L157" s="106"/>
      <c r="M157" s="106"/>
      <c r="N157" s="39"/>
    </row>
    <row r="158" spans="1:14" s="77" customFormat="1" ht="15.75" customHeight="1" x14ac:dyDescent="0.35">
      <c r="A158" s="100">
        <f t="shared" si="2"/>
        <v>63</v>
      </c>
      <c r="B158" s="101"/>
      <c r="C158" s="76" t="s">
        <v>192</v>
      </c>
      <c r="D158" s="68">
        <f>3.55*2.75*10.764</f>
        <v>105.08354999999999</v>
      </c>
      <c r="E158" s="76">
        <v>0</v>
      </c>
      <c r="F158" s="76">
        <f t="shared" si="1"/>
        <v>168.13368</v>
      </c>
      <c r="G158" s="207"/>
      <c r="H158" s="208"/>
      <c r="I158" s="39"/>
      <c r="L158" s="106"/>
      <c r="M158" s="106"/>
      <c r="N158" s="39"/>
    </row>
    <row r="159" spans="1:14" s="59" customFormat="1" x14ac:dyDescent="0.35">
      <c r="A159" s="114" t="s">
        <v>219</v>
      </c>
      <c r="B159" s="115"/>
      <c r="C159" s="115"/>
      <c r="D159" s="115"/>
      <c r="E159" s="115"/>
      <c r="F159" s="115"/>
      <c r="G159" s="115"/>
      <c r="H159" s="116"/>
      <c r="J159" s="39"/>
    </row>
    <row r="160" spans="1:14" s="59" customFormat="1" x14ac:dyDescent="0.35">
      <c r="A160" s="114" t="s">
        <v>191</v>
      </c>
      <c r="B160" s="115"/>
      <c r="C160" s="115"/>
      <c r="D160" s="115"/>
      <c r="E160" s="115"/>
      <c r="F160" s="115"/>
      <c r="G160" s="115"/>
      <c r="H160" s="116"/>
      <c r="J160" s="39"/>
    </row>
    <row r="161" spans="1:14" s="59" customFormat="1" x14ac:dyDescent="0.35">
      <c r="A161" s="102" t="s">
        <v>201</v>
      </c>
      <c r="B161" s="102"/>
      <c r="C161" s="102"/>
      <c r="D161" s="102"/>
      <c r="E161" s="102"/>
      <c r="F161" s="102"/>
      <c r="G161" s="102"/>
      <c r="H161" s="102"/>
      <c r="J161" s="39"/>
    </row>
    <row r="162" spans="1:14" s="50" customFormat="1" x14ac:dyDescent="0.35">
      <c r="A162" s="102" t="s">
        <v>200</v>
      </c>
      <c r="B162" s="102"/>
      <c r="C162" s="102"/>
      <c r="D162" s="102"/>
      <c r="E162" s="102"/>
      <c r="F162" s="102"/>
      <c r="G162" s="102"/>
      <c r="H162" s="102"/>
      <c r="J162" s="39"/>
    </row>
    <row r="163" spans="1:14" s="50" customFormat="1" ht="15.75" customHeight="1" x14ac:dyDescent="0.35">
      <c r="A163" s="103">
        <v>1</v>
      </c>
      <c r="B163" s="103"/>
      <c r="C163" s="90" t="s">
        <v>192</v>
      </c>
      <c r="D163" s="68">
        <f>(16.67)*10.764</f>
        <v>179.43588</v>
      </c>
      <c r="E163" s="90">
        <v>0</v>
      </c>
      <c r="F163" s="90">
        <f>(D163+E163)*(($F$145)+1)</f>
        <v>287.09740800000003</v>
      </c>
      <c r="G163" s="103" t="str">
        <f>A162</f>
        <v>Ground Floor for Commercial</v>
      </c>
      <c r="H163" s="103"/>
      <c r="I163" s="39"/>
      <c r="J163" s="68">
        <v>10.763999999999999</v>
      </c>
      <c r="L163" s="106"/>
      <c r="M163" s="106"/>
      <c r="N163" s="39"/>
    </row>
    <row r="164" spans="1:14" s="50" customFormat="1" ht="15.75" customHeight="1" x14ac:dyDescent="0.35">
      <c r="A164" s="103">
        <f t="shared" ref="A164:A177" si="3">A163+1</f>
        <v>2</v>
      </c>
      <c r="B164" s="103"/>
      <c r="C164" s="90" t="s">
        <v>192</v>
      </c>
      <c r="D164" s="68">
        <f>(20.725)*10.764</f>
        <v>223.0839</v>
      </c>
      <c r="E164" s="90">
        <v>0</v>
      </c>
      <c r="F164" s="90">
        <f t="shared" ref="F164:F166" si="4">(D164+E164)*(($F$145)+1)</f>
        <v>356.93424000000005</v>
      </c>
      <c r="G164" s="103"/>
      <c r="H164" s="103"/>
      <c r="I164" s="67">
        <f>2.5*7.6</f>
        <v>19</v>
      </c>
      <c r="L164" s="106"/>
      <c r="M164" s="106"/>
      <c r="N164" s="39"/>
    </row>
    <row r="165" spans="1:14" s="50" customFormat="1" ht="15.75" customHeight="1" x14ac:dyDescent="0.35">
      <c r="A165" s="103">
        <f t="shared" si="3"/>
        <v>3</v>
      </c>
      <c r="B165" s="103"/>
      <c r="C165" s="90" t="s">
        <v>192</v>
      </c>
      <c r="D165" s="68">
        <f>(18.115)*10.764</f>
        <v>194.98985999999996</v>
      </c>
      <c r="E165" s="90">
        <v>0</v>
      </c>
      <c r="F165" s="90">
        <f t="shared" si="4"/>
        <v>311.98377599999998</v>
      </c>
      <c r="G165" s="103"/>
      <c r="H165" s="103"/>
      <c r="I165" s="39"/>
      <c r="L165" s="106"/>
      <c r="M165" s="106"/>
      <c r="N165" s="39"/>
    </row>
    <row r="166" spans="1:14" s="50" customFormat="1" ht="15.75" customHeight="1" x14ac:dyDescent="0.35">
      <c r="A166" s="103">
        <f t="shared" si="3"/>
        <v>4</v>
      </c>
      <c r="B166" s="103"/>
      <c r="C166" s="90" t="s">
        <v>192</v>
      </c>
      <c r="D166" s="68">
        <f>(22.857)*10.764</f>
        <v>246.03274799999997</v>
      </c>
      <c r="E166" s="90">
        <v>0</v>
      </c>
      <c r="F166" s="90">
        <f t="shared" si="4"/>
        <v>393.65239679999996</v>
      </c>
      <c r="G166" s="103"/>
      <c r="H166" s="103"/>
      <c r="I166" s="39"/>
      <c r="L166" s="106"/>
      <c r="M166" s="106"/>
      <c r="N166" s="39"/>
    </row>
    <row r="167" spans="1:14" s="58" customFormat="1" ht="15.75" customHeight="1" x14ac:dyDescent="0.35">
      <c r="A167" s="103">
        <f t="shared" si="3"/>
        <v>5</v>
      </c>
      <c r="B167" s="103"/>
      <c r="C167" s="90" t="s">
        <v>192</v>
      </c>
      <c r="D167" s="68">
        <f>(22.857)*10.764</f>
        <v>246.03274799999997</v>
      </c>
      <c r="E167" s="90">
        <v>0</v>
      </c>
      <c r="F167" s="90">
        <f t="shared" ref="F167:F169" si="5">(D167+E167)*(($F$145)+1)</f>
        <v>393.65239679999996</v>
      </c>
      <c r="G167" s="103"/>
      <c r="H167" s="103"/>
      <c r="I167" s="39"/>
      <c r="L167" s="106"/>
      <c r="M167" s="106"/>
      <c r="N167" s="39"/>
    </row>
    <row r="168" spans="1:14" s="58" customFormat="1" ht="15.75" customHeight="1" x14ac:dyDescent="0.35">
      <c r="A168" s="103">
        <f t="shared" si="3"/>
        <v>6</v>
      </c>
      <c r="B168" s="103"/>
      <c r="C168" s="90" t="s">
        <v>192</v>
      </c>
      <c r="D168" s="68">
        <f>(18.115)*10.764</f>
        <v>194.98985999999996</v>
      </c>
      <c r="E168" s="90">
        <v>0</v>
      </c>
      <c r="F168" s="90">
        <f t="shared" si="5"/>
        <v>311.98377599999998</v>
      </c>
      <c r="G168" s="103"/>
      <c r="H168" s="103"/>
      <c r="I168" s="39"/>
      <c r="L168" s="106"/>
      <c r="M168" s="106"/>
      <c r="N168" s="39"/>
    </row>
    <row r="169" spans="1:14" s="58" customFormat="1" ht="15.75" customHeight="1" x14ac:dyDescent="0.35">
      <c r="A169" s="103">
        <f t="shared" si="3"/>
        <v>7</v>
      </c>
      <c r="B169" s="103"/>
      <c r="C169" s="90" t="s">
        <v>192</v>
      </c>
      <c r="D169" s="68">
        <f>(21.099)*10.764</f>
        <v>227.10963599999999</v>
      </c>
      <c r="E169" s="90">
        <v>0</v>
      </c>
      <c r="F169" s="90">
        <f t="shared" si="5"/>
        <v>363.37541759999999</v>
      </c>
      <c r="G169" s="103"/>
      <c r="H169" s="103"/>
      <c r="I169" s="39"/>
      <c r="L169" s="106"/>
      <c r="M169" s="106"/>
      <c r="N169" s="39"/>
    </row>
    <row r="170" spans="1:14" s="58" customFormat="1" ht="15.75" customHeight="1" x14ac:dyDescent="0.35">
      <c r="A170" s="103">
        <f t="shared" si="3"/>
        <v>8</v>
      </c>
      <c r="B170" s="103"/>
      <c r="C170" s="90" t="s">
        <v>192</v>
      </c>
      <c r="D170" s="68">
        <f>(20.4)*10.764</f>
        <v>219.58559999999997</v>
      </c>
      <c r="E170" s="90">
        <v>0</v>
      </c>
      <c r="F170" s="90">
        <f t="shared" ref="F170:F171" si="6">(D170+E170)*(($F$145)+1)</f>
        <v>351.33695999999998</v>
      </c>
      <c r="G170" s="103"/>
      <c r="H170" s="103"/>
      <c r="I170" s="39"/>
      <c r="L170" s="106"/>
      <c r="M170" s="106"/>
      <c r="N170" s="39"/>
    </row>
    <row r="171" spans="1:14" s="58" customFormat="1" ht="15.75" customHeight="1" x14ac:dyDescent="0.35">
      <c r="A171" s="103">
        <f t="shared" si="3"/>
        <v>9</v>
      </c>
      <c r="B171" s="103"/>
      <c r="C171" s="90" t="s">
        <v>192</v>
      </c>
      <c r="D171" s="68">
        <f>(21.48)*10.764</f>
        <v>231.21071999999998</v>
      </c>
      <c r="E171" s="90">
        <v>0</v>
      </c>
      <c r="F171" s="90">
        <f t="shared" si="6"/>
        <v>369.93715199999997</v>
      </c>
      <c r="G171" s="103"/>
      <c r="H171" s="103"/>
      <c r="I171" s="39"/>
      <c r="L171" s="106"/>
      <c r="M171" s="106"/>
      <c r="N171" s="39"/>
    </row>
    <row r="172" spans="1:14" s="58" customFormat="1" ht="15.75" customHeight="1" x14ac:dyDescent="0.35">
      <c r="A172" s="103">
        <f t="shared" si="3"/>
        <v>10</v>
      </c>
      <c r="B172" s="103"/>
      <c r="C172" s="90" t="s">
        <v>192</v>
      </c>
      <c r="D172" s="68">
        <f>(17.6)*10.764</f>
        <v>189.44640000000001</v>
      </c>
      <c r="E172" s="90">
        <v>0</v>
      </c>
      <c r="F172" s="90">
        <f t="shared" ref="F172:F173" si="7">(D172+E172)*(($F$145)+1)</f>
        <v>303.11424000000005</v>
      </c>
      <c r="G172" s="103"/>
      <c r="H172" s="103"/>
      <c r="I172" s="39"/>
      <c r="L172" s="106"/>
      <c r="M172" s="106"/>
      <c r="N172" s="39"/>
    </row>
    <row r="173" spans="1:14" s="58" customFormat="1" ht="15.75" customHeight="1" x14ac:dyDescent="0.35">
      <c r="A173" s="103">
        <f t="shared" si="3"/>
        <v>11</v>
      </c>
      <c r="B173" s="103"/>
      <c r="C173" s="90" t="s">
        <v>192</v>
      </c>
      <c r="D173" s="68">
        <f>(23.075)*10.764</f>
        <v>248.37929999999997</v>
      </c>
      <c r="E173" s="90">
        <v>0</v>
      </c>
      <c r="F173" s="90">
        <f t="shared" si="7"/>
        <v>397.40688</v>
      </c>
      <c r="G173" s="103"/>
      <c r="H173" s="103"/>
      <c r="I173" s="39"/>
      <c r="L173" s="106"/>
      <c r="M173" s="106"/>
      <c r="N173" s="39"/>
    </row>
    <row r="174" spans="1:14" s="58" customFormat="1" ht="15.75" customHeight="1" x14ac:dyDescent="0.35">
      <c r="A174" s="103">
        <f t="shared" si="3"/>
        <v>12</v>
      </c>
      <c r="B174" s="103"/>
      <c r="C174" s="90" t="s">
        <v>192</v>
      </c>
      <c r="D174" s="68">
        <f>(18.62)*10.764</f>
        <v>200.42568</v>
      </c>
      <c r="E174" s="90">
        <v>0</v>
      </c>
      <c r="F174" s="90">
        <f t="shared" ref="F174:F176" si="8">(D174+E174)*(($F$145)+1)</f>
        <v>320.68108800000005</v>
      </c>
      <c r="G174" s="103"/>
      <c r="H174" s="103"/>
      <c r="I174" s="39"/>
      <c r="L174" s="106"/>
      <c r="M174" s="106"/>
      <c r="N174" s="39"/>
    </row>
    <row r="175" spans="1:14" s="59" customFormat="1" ht="15.75" customHeight="1" x14ac:dyDescent="0.35">
      <c r="A175" s="103">
        <f t="shared" si="3"/>
        <v>13</v>
      </c>
      <c r="B175" s="103"/>
      <c r="C175" s="90" t="s">
        <v>192</v>
      </c>
      <c r="D175" s="68">
        <f>(22.047)*10.764</f>
        <v>237.313908</v>
      </c>
      <c r="E175" s="90">
        <v>0</v>
      </c>
      <c r="F175" s="90">
        <f t="shared" si="8"/>
        <v>379.7022528</v>
      </c>
      <c r="G175" s="103"/>
      <c r="H175" s="103"/>
      <c r="I175" s="39"/>
      <c r="L175" s="106"/>
      <c r="M175" s="106"/>
      <c r="N175" s="39"/>
    </row>
    <row r="176" spans="1:14" s="59" customFormat="1" ht="15.75" customHeight="1" x14ac:dyDescent="0.35">
      <c r="A176" s="103">
        <f t="shared" si="3"/>
        <v>14</v>
      </c>
      <c r="B176" s="103"/>
      <c r="C176" s="90" t="s">
        <v>192</v>
      </c>
      <c r="D176" s="68">
        <f>(21.105)*10.764</f>
        <v>227.17421999999999</v>
      </c>
      <c r="E176" s="90">
        <v>0</v>
      </c>
      <c r="F176" s="90">
        <f t="shared" si="8"/>
        <v>363.47875199999999</v>
      </c>
      <c r="G176" s="103"/>
      <c r="H176" s="103"/>
      <c r="I176" s="39"/>
      <c r="L176" s="106"/>
      <c r="M176" s="106"/>
      <c r="N176" s="39"/>
    </row>
    <row r="177" spans="1:14" s="59" customFormat="1" ht="15.75" customHeight="1" x14ac:dyDescent="0.35">
      <c r="A177" s="103">
        <f t="shared" si="3"/>
        <v>15</v>
      </c>
      <c r="B177" s="103"/>
      <c r="C177" s="90" t="s">
        <v>192</v>
      </c>
      <c r="D177" s="68">
        <f>(10.368)*10.764</f>
        <v>111.601152</v>
      </c>
      <c r="E177" s="90">
        <v>0</v>
      </c>
      <c r="F177" s="90">
        <f t="shared" ref="F177" si="9">(D177+E177)*(($F$145)+1)</f>
        <v>178.5618432</v>
      </c>
      <c r="G177" s="103"/>
      <c r="H177" s="103"/>
      <c r="I177" s="39"/>
      <c r="L177" s="106"/>
      <c r="M177" s="106"/>
      <c r="N177" s="39"/>
    </row>
    <row r="178" spans="1:14" s="78" customFormat="1" x14ac:dyDescent="0.35">
      <c r="A178" s="114" t="s">
        <v>239</v>
      </c>
      <c r="B178" s="115"/>
      <c r="C178" s="115"/>
      <c r="D178" s="115"/>
      <c r="E178" s="115"/>
      <c r="F178" s="115"/>
      <c r="G178" s="115"/>
      <c r="H178" s="116"/>
      <c r="J178" s="39"/>
    </row>
    <row r="179" spans="1:14" s="78" customFormat="1" x14ac:dyDescent="0.35">
      <c r="A179" s="114" t="s">
        <v>201</v>
      </c>
      <c r="B179" s="115"/>
      <c r="C179" s="115"/>
      <c r="D179" s="115"/>
      <c r="E179" s="115"/>
      <c r="F179" s="115"/>
      <c r="G179" s="115"/>
      <c r="H179" s="116"/>
      <c r="J179" s="39"/>
    </row>
    <row r="180" spans="1:14" s="78" customFormat="1" x14ac:dyDescent="0.35">
      <c r="A180" s="114" t="s">
        <v>200</v>
      </c>
      <c r="B180" s="115"/>
      <c r="C180" s="115"/>
      <c r="D180" s="115"/>
      <c r="E180" s="115"/>
      <c r="F180" s="115"/>
      <c r="G180" s="115"/>
      <c r="H180" s="116"/>
      <c r="J180" s="39"/>
    </row>
    <row r="181" spans="1:14" s="78" customFormat="1" ht="15.75" customHeight="1" x14ac:dyDescent="0.35">
      <c r="A181" s="100">
        <v>1</v>
      </c>
      <c r="B181" s="101"/>
      <c r="C181" s="80" t="s">
        <v>192</v>
      </c>
      <c r="D181" s="68">
        <f>(7.35*12.611+1*1.5)*10.764</f>
        <v>1013.8703093999999</v>
      </c>
      <c r="E181" s="80">
        <v>0</v>
      </c>
      <c r="F181" s="80">
        <f>(D181+E181)*(($F$145)+1)</f>
        <v>1622.1924950399998</v>
      </c>
      <c r="G181" s="107" t="str">
        <f>A180</f>
        <v>Ground Floor for Commercial</v>
      </c>
      <c r="H181" s="108"/>
      <c r="I181" s="39"/>
      <c r="J181" s="68">
        <v>10.763999999999999</v>
      </c>
      <c r="L181" s="106"/>
      <c r="M181" s="106"/>
      <c r="N181" s="39"/>
    </row>
    <row r="182" spans="1:14" s="78" customFormat="1" ht="15.75" customHeight="1" x14ac:dyDescent="0.35">
      <c r="A182" s="100">
        <f t="shared" ref="A182:A198" si="10">A181+1</f>
        <v>2</v>
      </c>
      <c r="B182" s="101"/>
      <c r="C182" s="80" t="s">
        <v>192</v>
      </c>
      <c r="D182" s="68">
        <f>(5.911*9.4+1*1.5+1.65*5.5)*10.764</f>
        <v>711.91373759999999</v>
      </c>
      <c r="E182" s="80">
        <v>0</v>
      </c>
      <c r="F182" s="80">
        <f t="shared" ref="F182:F195" si="11">(D182+E182)*(($F$145)+1)</f>
        <v>1139.0619801600001</v>
      </c>
      <c r="G182" s="109"/>
      <c r="H182" s="110"/>
      <c r="I182" s="67">
        <f>2.5*7.6</f>
        <v>19</v>
      </c>
      <c r="L182" s="106"/>
      <c r="M182" s="106"/>
      <c r="N182" s="39"/>
    </row>
    <row r="183" spans="1:14" s="78" customFormat="1" ht="15.75" customHeight="1" x14ac:dyDescent="0.35">
      <c r="A183" s="100">
        <f t="shared" si="10"/>
        <v>3</v>
      </c>
      <c r="B183" s="101"/>
      <c r="C183" s="80" t="s">
        <v>192</v>
      </c>
      <c r="D183" s="68">
        <f>(2.75*9.35+1.65*3.8)*10.764</f>
        <v>344.25962999999996</v>
      </c>
      <c r="E183" s="80">
        <v>0</v>
      </c>
      <c r="F183" s="80">
        <f t="shared" si="11"/>
        <v>550.81540799999993</v>
      </c>
      <c r="G183" s="109"/>
      <c r="H183" s="110"/>
      <c r="I183" s="39"/>
      <c r="L183" s="106"/>
      <c r="M183" s="106"/>
      <c r="N183" s="39"/>
    </row>
    <row r="184" spans="1:14" s="78" customFormat="1" ht="15.75" customHeight="1" x14ac:dyDescent="0.35">
      <c r="A184" s="100">
        <f t="shared" si="10"/>
        <v>4</v>
      </c>
      <c r="B184" s="101"/>
      <c r="C184" s="80" t="s">
        <v>192</v>
      </c>
      <c r="D184" s="68">
        <f>(2.85*7.35)*10.764</f>
        <v>225.47888999999998</v>
      </c>
      <c r="E184" s="80">
        <v>0</v>
      </c>
      <c r="F184" s="80">
        <f t="shared" si="11"/>
        <v>360.76622399999997</v>
      </c>
      <c r="G184" s="109"/>
      <c r="H184" s="110"/>
      <c r="I184" s="39"/>
      <c r="L184" s="106"/>
      <c r="M184" s="106"/>
      <c r="N184" s="39"/>
    </row>
    <row r="185" spans="1:14" s="78" customFormat="1" ht="15.75" customHeight="1" x14ac:dyDescent="0.35">
      <c r="A185" s="100">
        <f t="shared" si="10"/>
        <v>5</v>
      </c>
      <c r="B185" s="101"/>
      <c r="C185" s="80" t="s">
        <v>192</v>
      </c>
      <c r="D185" s="68">
        <f>(3.05*8.45)*10.764</f>
        <v>277.41518999999994</v>
      </c>
      <c r="E185" s="80">
        <v>0</v>
      </c>
      <c r="F185" s="80">
        <f t="shared" si="11"/>
        <v>443.86430399999995</v>
      </c>
      <c r="G185" s="109"/>
      <c r="H185" s="110"/>
      <c r="I185" s="39"/>
      <c r="L185" s="106"/>
      <c r="M185" s="106"/>
      <c r="N185" s="39"/>
    </row>
    <row r="186" spans="1:14" s="78" customFormat="1" ht="15.75" customHeight="1" x14ac:dyDescent="0.35">
      <c r="A186" s="100">
        <f t="shared" si="10"/>
        <v>6</v>
      </c>
      <c r="B186" s="101"/>
      <c r="C186" s="80" t="s">
        <v>192</v>
      </c>
      <c r="D186" s="68">
        <f>(3.05*8.45)*10.764</f>
        <v>277.41518999999994</v>
      </c>
      <c r="E186" s="80">
        <v>0</v>
      </c>
      <c r="F186" s="80">
        <f t="shared" si="11"/>
        <v>443.86430399999995</v>
      </c>
      <c r="G186" s="109"/>
      <c r="H186" s="110"/>
      <c r="I186" s="39"/>
      <c r="L186" s="106"/>
      <c r="M186" s="106"/>
      <c r="N186" s="39"/>
    </row>
    <row r="187" spans="1:14" s="78" customFormat="1" ht="15.75" customHeight="1" x14ac:dyDescent="0.35">
      <c r="A187" s="100">
        <f t="shared" si="10"/>
        <v>7</v>
      </c>
      <c r="B187" s="101"/>
      <c r="C187" s="80" t="s">
        <v>192</v>
      </c>
      <c r="D187" s="68">
        <f>(2.85*7.35+1.3*1)*10.764</f>
        <v>239.47208999999998</v>
      </c>
      <c r="E187" s="80">
        <v>0</v>
      </c>
      <c r="F187" s="80">
        <f t="shared" si="11"/>
        <v>383.15534400000001</v>
      </c>
      <c r="G187" s="109"/>
      <c r="H187" s="110"/>
      <c r="I187" s="39"/>
      <c r="L187" s="106"/>
      <c r="M187" s="106"/>
      <c r="N187" s="39"/>
    </row>
    <row r="188" spans="1:14" s="78" customFormat="1" ht="15.75" customHeight="1" x14ac:dyDescent="0.35">
      <c r="A188" s="100">
        <f t="shared" si="10"/>
        <v>8</v>
      </c>
      <c r="B188" s="101"/>
      <c r="C188" s="80" t="s">
        <v>192</v>
      </c>
      <c r="D188" s="68">
        <f>(2.75*9.35+1.65*3.8)*10.764</f>
        <v>344.25962999999996</v>
      </c>
      <c r="E188" s="80">
        <v>0</v>
      </c>
      <c r="F188" s="80">
        <f t="shared" si="11"/>
        <v>550.81540799999993</v>
      </c>
      <c r="G188" s="109"/>
      <c r="H188" s="110"/>
      <c r="I188" s="39"/>
      <c r="L188" s="106"/>
      <c r="M188" s="106"/>
      <c r="N188" s="39"/>
    </row>
    <row r="189" spans="1:14" s="78" customFormat="1" ht="15.75" customHeight="1" x14ac:dyDescent="0.35">
      <c r="A189" s="100">
        <f t="shared" si="10"/>
        <v>9</v>
      </c>
      <c r="B189" s="101"/>
      <c r="C189" s="80" t="s">
        <v>192</v>
      </c>
      <c r="D189" s="68">
        <f>(3.65*5.5)*10.764</f>
        <v>216.08729999999997</v>
      </c>
      <c r="E189" s="80">
        <v>0</v>
      </c>
      <c r="F189" s="80">
        <f t="shared" si="11"/>
        <v>345.73967999999996</v>
      </c>
      <c r="G189" s="109"/>
      <c r="H189" s="110"/>
      <c r="I189" s="39"/>
      <c r="L189" s="106"/>
      <c r="M189" s="106"/>
      <c r="N189" s="39"/>
    </row>
    <row r="190" spans="1:14" s="78" customFormat="1" ht="15.75" customHeight="1" x14ac:dyDescent="0.35">
      <c r="A190" s="100">
        <v>37</v>
      </c>
      <c r="B190" s="101"/>
      <c r="C190" s="80" t="s">
        <v>192</v>
      </c>
      <c r="D190" s="68">
        <f>(3.55*2.75)*10.764</f>
        <v>105.08354999999999</v>
      </c>
      <c r="E190" s="80">
        <v>0</v>
      </c>
      <c r="F190" s="80">
        <f t="shared" si="11"/>
        <v>168.13368</v>
      </c>
      <c r="G190" s="109"/>
      <c r="H190" s="110"/>
      <c r="I190" s="39"/>
      <c r="L190" s="106"/>
      <c r="M190" s="106"/>
      <c r="N190" s="39"/>
    </row>
    <row r="191" spans="1:14" s="78" customFormat="1" ht="15.75" customHeight="1" x14ac:dyDescent="0.35">
      <c r="A191" s="100">
        <f t="shared" si="10"/>
        <v>38</v>
      </c>
      <c r="B191" s="101"/>
      <c r="C191" s="80" t="s">
        <v>192</v>
      </c>
      <c r="D191" s="68">
        <f>(3.55*2.7)*10.764</f>
        <v>103.17294</v>
      </c>
      <c r="E191" s="80">
        <v>0</v>
      </c>
      <c r="F191" s="80">
        <f t="shared" si="11"/>
        <v>165.07670400000001</v>
      </c>
      <c r="G191" s="109"/>
      <c r="H191" s="110"/>
      <c r="I191" s="39"/>
      <c r="L191" s="106"/>
      <c r="M191" s="106"/>
      <c r="N191" s="39"/>
    </row>
    <row r="192" spans="1:14" s="78" customFormat="1" ht="15.75" customHeight="1" x14ac:dyDescent="0.35">
      <c r="A192" s="100">
        <f t="shared" si="10"/>
        <v>39</v>
      </c>
      <c r="B192" s="101"/>
      <c r="C192" s="80" t="s">
        <v>192</v>
      </c>
      <c r="D192" s="68">
        <f>(3.25*3.05)*10.764</f>
        <v>106.69814999999998</v>
      </c>
      <c r="E192" s="80">
        <v>0</v>
      </c>
      <c r="F192" s="80">
        <f t="shared" si="11"/>
        <v>170.71704</v>
      </c>
      <c r="G192" s="109"/>
      <c r="H192" s="110"/>
      <c r="I192" s="39"/>
      <c r="L192" s="106"/>
      <c r="M192" s="106"/>
      <c r="N192" s="39"/>
    </row>
    <row r="193" spans="1:16" s="78" customFormat="1" ht="15.75" customHeight="1" x14ac:dyDescent="0.35">
      <c r="A193" s="100">
        <f t="shared" si="10"/>
        <v>40</v>
      </c>
      <c r="B193" s="101"/>
      <c r="C193" s="80" t="s">
        <v>192</v>
      </c>
      <c r="D193" s="68">
        <f>(3.55*2.75)*10.764</f>
        <v>105.08354999999999</v>
      </c>
      <c r="E193" s="80">
        <v>0</v>
      </c>
      <c r="F193" s="80">
        <f t="shared" si="11"/>
        <v>168.13368</v>
      </c>
      <c r="G193" s="109"/>
      <c r="H193" s="110"/>
      <c r="I193" s="39"/>
      <c r="L193" s="106"/>
      <c r="M193" s="106"/>
      <c r="N193" s="39"/>
    </row>
    <row r="194" spans="1:16" s="78" customFormat="1" ht="15.75" customHeight="1" x14ac:dyDescent="0.35">
      <c r="A194" s="100">
        <f t="shared" si="10"/>
        <v>41</v>
      </c>
      <c r="B194" s="101"/>
      <c r="C194" s="80" t="s">
        <v>192</v>
      </c>
      <c r="D194" s="68">
        <f>(3.55*2.35)*10.764</f>
        <v>89.798669999999987</v>
      </c>
      <c r="E194" s="80">
        <v>0</v>
      </c>
      <c r="F194" s="80">
        <f t="shared" si="11"/>
        <v>143.67787199999998</v>
      </c>
      <c r="G194" s="109"/>
      <c r="H194" s="110"/>
      <c r="I194" s="39"/>
      <c r="L194" s="106"/>
      <c r="M194" s="106"/>
      <c r="N194" s="39"/>
    </row>
    <row r="195" spans="1:16" s="78" customFormat="1" ht="15.75" customHeight="1" x14ac:dyDescent="0.35">
      <c r="A195" s="100">
        <f t="shared" si="10"/>
        <v>42</v>
      </c>
      <c r="B195" s="101"/>
      <c r="C195" s="80" t="s">
        <v>192</v>
      </c>
      <c r="D195" s="68">
        <f>(3.55*2.35)*10.764</f>
        <v>89.798669999999987</v>
      </c>
      <c r="E195" s="80">
        <v>0</v>
      </c>
      <c r="F195" s="80">
        <f t="shared" si="11"/>
        <v>143.67787199999998</v>
      </c>
      <c r="G195" s="109"/>
      <c r="H195" s="110"/>
      <c r="I195" s="39"/>
      <c r="L195" s="106"/>
      <c r="M195" s="106"/>
      <c r="N195" s="39"/>
    </row>
    <row r="196" spans="1:16" s="78" customFormat="1" ht="15.75" customHeight="1" x14ac:dyDescent="0.35">
      <c r="A196" s="100">
        <f t="shared" si="10"/>
        <v>43</v>
      </c>
      <c r="B196" s="101"/>
      <c r="C196" s="80" t="s">
        <v>192</v>
      </c>
      <c r="D196" s="68">
        <f>(3.55*2.7)*10.764</f>
        <v>103.17294</v>
      </c>
      <c r="E196" s="80">
        <v>0</v>
      </c>
      <c r="F196" s="80">
        <f t="shared" ref="F196:F198" si="12">(D196+E196)*(($F$145)+1)</f>
        <v>165.07670400000001</v>
      </c>
      <c r="G196" s="109"/>
      <c r="H196" s="110"/>
      <c r="I196" s="39"/>
      <c r="L196" s="106"/>
      <c r="M196" s="106"/>
      <c r="N196" s="39"/>
    </row>
    <row r="197" spans="1:16" s="78" customFormat="1" ht="15.75" customHeight="1" x14ac:dyDescent="0.35">
      <c r="A197" s="100">
        <f t="shared" si="10"/>
        <v>44</v>
      </c>
      <c r="B197" s="101"/>
      <c r="C197" s="80" t="s">
        <v>192</v>
      </c>
      <c r="D197" s="68">
        <f>(3.55*2.75)*10.764</f>
        <v>105.08354999999999</v>
      </c>
      <c r="E197" s="80">
        <v>0</v>
      </c>
      <c r="F197" s="80">
        <f t="shared" si="12"/>
        <v>168.13368</v>
      </c>
      <c r="G197" s="109"/>
      <c r="H197" s="110"/>
      <c r="I197" s="39"/>
      <c r="L197" s="106"/>
      <c r="M197" s="106"/>
      <c r="N197" s="39"/>
    </row>
    <row r="198" spans="1:16" s="78" customFormat="1" ht="15.75" customHeight="1" x14ac:dyDescent="0.35">
      <c r="A198" s="100">
        <f t="shared" si="10"/>
        <v>45</v>
      </c>
      <c r="B198" s="101"/>
      <c r="C198" s="80" t="s">
        <v>192</v>
      </c>
      <c r="D198" s="68">
        <f>(2.7*3.65)*10.764</f>
        <v>106.07921999999999</v>
      </c>
      <c r="E198" s="80">
        <v>0</v>
      </c>
      <c r="F198" s="80">
        <f t="shared" si="12"/>
        <v>169.726752</v>
      </c>
      <c r="G198" s="207"/>
      <c r="H198" s="208"/>
      <c r="I198" s="39"/>
      <c r="L198" s="106"/>
      <c r="M198" s="106"/>
      <c r="N198" s="39"/>
    </row>
    <row r="199" spans="1:16" s="50" customFormat="1" x14ac:dyDescent="0.35">
      <c r="A199" s="100"/>
      <c r="B199" s="216"/>
      <c r="C199" s="216"/>
      <c r="D199" s="216"/>
      <c r="E199" s="216"/>
      <c r="F199" s="216"/>
      <c r="G199" s="216"/>
      <c r="H199" s="101"/>
      <c r="I199" s="39"/>
      <c r="N199" s="39"/>
    </row>
    <row r="200" spans="1:16" ht="47.25" customHeight="1" x14ac:dyDescent="0.35">
      <c r="A200" s="127" t="s">
        <v>122</v>
      </c>
      <c r="B200" s="127" t="s">
        <v>123</v>
      </c>
      <c r="C200" s="123" t="s">
        <v>58</v>
      </c>
      <c r="D200" s="123" t="s">
        <v>59</v>
      </c>
      <c r="E200" s="125" t="s">
        <v>60</v>
      </c>
      <c r="F200" s="46" t="s">
        <v>153</v>
      </c>
      <c r="G200" s="127" t="s">
        <v>61</v>
      </c>
      <c r="H200" s="128"/>
      <c r="I200" s="39"/>
    </row>
    <row r="201" spans="1:16" s="50" customFormat="1" x14ac:dyDescent="0.35">
      <c r="A201" s="129"/>
      <c r="B201" s="129"/>
      <c r="C201" s="124"/>
      <c r="D201" s="124"/>
      <c r="E201" s="126"/>
      <c r="F201" s="15">
        <v>0.6</v>
      </c>
      <c r="G201" s="129"/>
      <c r="H201" s="130"/>
      <c r="I201" s="39"/>
    </row>
    <row r="202" spans="1:16" s="71" customFormat="1" x14ac:dyDescent="0.35">
      <c r="A202" s="114" t="s">
        <v>202</v>
      </c>
      <c r="B202" s="115"/>
      <c r="C202" s="115"/>
      <c r="D202" s="115"/>
      <c r="E202" s="115"/>
      <c r="F202" s="115"/>
      <c r="G202" s="115"/>
      <c r="H202" s="116"/>
      <c r="J202" s="39"/>
    </row>
    <row r="203" spans="1:16" s="71" customFormat="1" x14ac:dyDescent="0.35">
      <c r="A203" s="217" t="s">
        <v>203</v>
      </c>
      <c r="B203" s="218"/>
      <c r="C203" s="218"/>
      <c r="D203" s="218"/>
      <c r="E203" s="218"/>
      <c r="F203" s="218"/>
      <c r="G203" s="218"/>
      <c r="H203" s="219"/>
      <c r="J203" s="39"/>
    </row>
    <row r="204" spans="1:16" s="71" customFormat="1" x14ac:dyDescent="0.35">
      <c r="A204" s="102" t="s">
        <v>234</v>
      </c>
      <c r="B204" s="102"/>
      <c r="C204" s="102"/>
      <c r="D204" s="102"/>
      <c r="E204" s="102"/>
      <c r="F204" s="102"/>
      <c r="G204" s="102"/>
      <c r="H204" s="102"/>
      <c r="J204" s="39"/>
    </row>
    <row r="205" spans="1:16" s="78" customFormat="1" x14ac:dyDescent="0.35">
      <c r="A205" s="102" t="s">
        <v>235</v>
      </c>
      <c r="B205" s="102"/>
      <c r="C205" s="102"/>
      <c r="D205" s="102"/>
      <c r="E205" s="102"/>
      <c r="F205" s="102"/>
      <c r="G205" s="102"/>
      <c r="H205" s="102"/>
      <c r="I205" s="39"/>
      <c r="P205" s="40"/>
    </row>
    <row r="206" spans="1:16" s="78" customFormat="1" ht="15.75" customHeight="1" x14ac:dyDescent="0.35">
      <c r="A206" s="103">
        <v>1</v>
      </c>
      <c r="B206" s="103"/>
      <c r="C206" s="55">
        <v>2</v>
      </c>
      <c r="D206" s="68">
        <f>(58.99+1*(1.65+3.1+2.75))*10.764</f>
        <v>715.69836000000009</v>
      </c>
      <c r="E206" s="90">
        <v>0</v>
      </c>
      <c r="F206" s="90">
        <f>D206*(($F$201)+1)+(IF(E206&lt;101,E206,IF(E206&lt;201,E206/2,IF(E206&lt;=301,E206/3,E206/4))))</f>
        <v>1145.1173760000001</v>
      </c>
      <c r="G206" s="102" t="str">
        <f>A205</f>
        <v>2nd Floor</v>
      </c>
      <c r="H206" s="102"/>
      <c r="I206" s="39">
        <f>3.05*4.1+1.2*2.8+2.75*2.45+2.75*3.5+3.35*3.7+1.5*2.1+1.2*1.8+1.5*0.6+2.85*0.9</f>
        <v>53.397500000000001</v>
      </c>
      <c r="J206" s="78">
        <f>0.6*3.15+3.15*0.4+3.15*1</f>
        <v>6.3</v>
      </c>
      <c r="K206" s="68">
        <v>10.763999999999999</v>
      </c>
      <c r="L206" s="39">
        <f>AVERAGE(F206:F214,F216:F220,F222:F223)</f>
        <v>1162.0767429818186</v>
      </c>
      <c r="M206" s="39">
        <f>350*L206</f>
        <v>406726.86004363652</v>
      </c>
    </row>
    <row r="207" spans="1:16" s="78" customFormat="1" x14ac:dyDescent="0.35">
      <c r="A207" s="103">
        <v>2</v>
      </c>
      <c r="B207" s="103"/>
      <c r="C207" s="55">
        <v>2</v>
      </c>
      <c r="D207" s="68">
        <f>(58.99+1*(1.65+3.1+2.75))*10.764</f>
        <v>715.69836000000009</v>
      </c>
      <c r="E207" s="90">
        <v>0</v>
      </c>
      <c r="F207" s="90">
        <f>D207*(($F$201)+1)+(IF(E207&lt;101,E207,IF(E207&lt;201,E207/2,IF(E207&lt;=301,E207/3,E207/4))))</f>
        <v>1145.1173760000001</v>
      </c>
      <c r="G207" s="102"/>
      <c r="H207" s="102"/>
      <c r="I207" s="39"/>
      <c r="K207" s="39">
        <f>7200000/F207</f>
        <v>6287.5650574356487</v>
      </c>
    </row>
    <row r="208" spans="1:16" s="78" customFormat="1" ht="15.75" customHeight="1" x14ac:dyDescent="0.35">
      <c r="A208" s="103">
        <v>3</v>
      </c>
      <c r="B208" s="103"/>
      <c r="C208" s="104" t="s">
        <v>236</v>
      </c>
      <c r="D208" s="104"/>
      <c r="E208" s="104"/>
      <c r="F208" s="104"/>
      <c r="G208" s="102"/>
      <c r="H208" s="102"/>
      <c r="I208" s="39"/>
      <c r="K208" s="39" t="e">
        <f t="shared" ref="K208" si="13">7200000/F208</f>
        <v>#DIV/0!</v>
      </c>
    </row>
    <row r="209" spans="1:16" s="78" customFormat="1" ht="15.75" customHeight="1" x14ac:dyDescent="0.35">
      <c r="A209" s="103">
        <v>4</v>
      </c>
      <c r="B209" s="103"/>
      <c r="C209" s="104"/>
      <c r="D209" s="104"/>
      <c r="E209" s="104"/>
      <c r="F209" s="104"/>
      <c r="G209" s="102"/>
      <c r="H209" s="102"/>
      <c r="I209" s="39"/>
      <c r="K209" s="39"/>
    </row>
    <row r="210" spans="1:16" s="78" customFormat="1" ht="15.75" customHeight="1" x14ac:dyDescent="0.35">
      <c r="A210" s="103">
        <v>5</v>
      </c>
      <c r="B210" s="103"/>
      <c r="C210" s="104"/>
      <c r="D210" s="104"/>
      <c r="E210" s="104"/>
      <c r="F210" s="104"/>
      <c r="G210" s="102"/>
      <c r="H210" s="102"/>
      <c r="I210" s="39"/>
      <c r="K210" s="39" t="e">
        <f t="shared" ref="K210" si="14">7200000/F210</f>
        <v>#DIV/0!</v>
      </c>
    </row>
    <row r="211" spans="1:16" s="78" customFormat="1" ht="15.75" customHeight="1" x14ac:dyDescent="0.35">
      <c r="A211" s="103">
        <v>6</v>
      </c>
      <c r="B211" s="103"/>
      <c r="C211" s="55">
        <v>2</v>
      </c>
      <c r="D211" s="68">
        <f>(58.99+1*(1.65+3.1+2.75))*10.764</f>
        <v>715.69836000000009</v>
      </c>
      <c r="E211" s="90">
        <v>0</v>
      </c>
      <c r="F211" s="90">
        <f>D211*(($F$201)+1)+(IF(E211&lt;101,E211,IF(E211&lt;201,E211/2,IF(E211&lt;=301,E211/3,E211/4))))</f>
        <v>1145.1173760000001</v>
      </c>
      <c r="G211" s="102"/>
      <c r="H211" s="102"/>
      <c r="I211" s="39"/>
    </row>
    <row r="212" spans="1:16" s="78" customFormat="1" ht="15.75" customHeight="1" x14ac:dyDescent="0.35">
      <c r="A212" s="103">
        <v>7</v>
      </c>
      <c r="B212" s="103"/>
      <c r="C212" s="55">
        <v>2</v>
      </c>
      <c r="D212" s="68">
        <f>(58.99+1*(1.65+3.1+2.75))*10.764</f>
        <v>715.69836000000009</v>
      </c>
      <c r="E212" s="90">
        <v>0</v>
      </c>
      <c r="F212" s="90">
        <f>D212*(($F$201)+1)+(IF(E212&lt;101,E212,IF(E212&lt;201,E212/2,IF(E212&lt;=301,E212/3,E212/4))))</f>
        <v>1145.1173760000001</v>
      </c>
      <c r="G212" s="102"/>
      <c r="H212" s="102"/>
      <c r="I212" s="39"/>
    </row>
    <row r="213" spans="1:16" s="78" customFormat="1" ht="15.75" customHeight="1" x14ac:dyDescent="0.35">
      <c r="A213" s="103">
        <v>8</v>
      </c>
      <c r="B213" s="103"/>
      <c r="C213" s="55">
        <v>2</v>
      </c>
      <c r="D213" s="68">
        <f>(58.99+1*(1.65+3.1+2.75))*10.764</f>
        <v>715.69836000000009</v>
      </c>
      <c r="E213" s="90">
        <v>0</v>
      </c>
      <c r="F213" s="90">
        <f>D213*(($F$201)+1)+(IF(E213&lt;101,E213,IF(E213&lt;201,E213/2,IF(E213&lt;=301,E213/3,E213/4))))</f>
        <v>1145.1173760000001</v>
      </c>
      <c r="G213" s="102"/>
      <c r="H213" s="102"/>
      <c r="I213" s="39"/>
    </row>
    <row r="214" spans="1:16" s="50" customFormat="1" ht="32.25" customHeight="1" x14ac:dyDescent="0.35">
      <c r="A214" s="102" t="s">
        <v>205</v>
      </c>
      <c r="B214" s="102"/>
      <c r="C214" s="102"/>
      <c r="D214" s="102"/>
      <c r="E214" s="102"/>
      <c r="F214" s="102"/>
      <c r="G214" s="102"/>
      <c r="H214" s="102"/>
      <c r="I214" s="39"/>
      <c r="P214" s="40"/>
    </row>
    <row r="215" spans="1:16" s="50" customFormat="1" ht="15.75" customHeight="1" x14ac:dyDescent="0.35">
      <c r="A215" s="100">
        <v>1</v>
      </c>
      <c r="B215" s="101"/>
      <c r="C215" s="55">
        <v>2</v>
      </c>
      <c r="D215" s="68">
        <f>(54.207+6.48+1*(1.65+3.1+2.75))*10.764</f>
        <v>733.96486799999991</v>
      </c>
      <c r="E215" s="45">
        <v>0</v>
      </c>
      <c r="F215" s="45">
        <f t="shared" ref="F215:F222" si="15">D215*(($F$201)+1)+(IF(E215&lt;101,E215,IF(E215&lt;201,E215/2,IF(E215&lt;=301,E215/3,E215/4))))</f>
        <v>1174.3437887999999</v>
      </c>
      <c r="G215" s="107" t="str">
        <f>A214</f>
        <v>3rd to 6th, 8th to 10th, 12th to 14th, 16th to 18th, 20th to 22nd, 24th to 26th, 28th to 30th, 32nd to 34th, 36th to 38th &amp; 40th to 42nd Floor</v>
      </c>
      <c r="H215" s="108"/>
      <c r="I215" s="39">
        <f>3.05*4.1+1.2*2.8+2.75*2.45+2.75*3.5+3.35*3.7+1.5*2.1+1.2*1.8+1.5*0.6+2.85*0.9</f>
        <v>53.397500000000001</v>
      </c>
      <c r="J215" s="50">
        <f>0.6*3.15+3.15*0.4+3.15*1</f>
        <v>6.3</v>
      </c>
      <c r="K215" s="68">
        <v>10.763999999999999</v>
      </c>
      <c r="L215" s="39">
        <f>AVERAGE(F215:F222,F224:F228,F230:F231)</f>
        <v>1175.6928768</v>
      </c>
      <c r="M215" s="39">
        <f>350*L215</f>
        <v>411492.50688</v>
      </c>
    </row>
    <row r="216" spans="1:16" s="50" customFormat="1" x14ac:dyDescent="0.35">
      <c r="A216" s="100">
        <v>2</v>
      </c>
      <c r="B216" s="101"/>
      <c r="C216" s="55">
        <v>2</v>
      </c>
      <c r="D216" s="68">
        <f>(54.207+6.48+1*(1.65+3.1+2.75))*10.764</f>
        <v>733.96486799999991</v>
      </c>
      <c r="E216" s="45">
        <v>0</v>
      </c>
      <c r="F216" s="45">
        <f t="shared" si="15"/>
        <v>1174.3437887999999</v>
      </c>
      <c r="G216" s="109"/>
      <c r="H216" s="110"/>
      <c r="I216" s="39"/>
      <c r="K216" s="39">
        <f>7200000/F216</f>
        <v>6131.0836474532734</v>
      </c>
    </row>
    <row r="217" spans="1:16" s="50" customFormat="1" ht="15.75" customHeight="1" x14ac:dyDescent="0.35">
      <c r="A217" s="100">
        <v>3</v>
      </c>
      <c r="B217" s="101"/>
      <c r="C217" s="55">
        <v>2</v>
      </c>
      <c r="D217" s="68">
        <f>(54.207+6.68+1*(1.65+3.1+2.75))*10.764</f>
        <v>736.11766799999998</v>
      </c>
      <c r="E217" s="45">
        <v>0</v>
      </c>
      <c r="F217" s="45">
        <f t="shared" si="15"/>
        <v>1177.7882688</v>
      </c>
      <c r="G217" s="109"/>
      <c r="H217" s="110"/>
      <c r="I217" s="39"/>
      <c r="K217" s="39">
        <f t="shared" ref="K217:K219" si="16">7200000/F217</f>
        <v>6113.1530944316364</v>
      </c>
    </row>
    <row r="218" spans="1:16" s="50" customFormat="1" ht="15.75" customHeight="1" x14ac:dyDescent="0.35">
      <c r="A218" s="100">
        <v>4</v>
      </c>
      <c r="B218" s="101"/>
      <c r="C218" s="55">
        <v>2</v>
      </c>
      <c r="D218" s="68">
        <f>(54.207+6.68+1*(1.65+3.1+2.75))*10.764</f>
        <v>736.11766799999998</v>
      </c>
      <c r="E218" s="45">
        <v>0</v>
      </c>
      <c r="F218" s="45">
        <f t="shared" si="15"/>
        <v>1177.7882688</v>
      </c>
      <c r="G218" s="109"/>
      <c r="H218" s="110"/>
      <c r="I218" s="39"/>
      <c r="K218" s="39"/>
    </row>
    <row r="219" spans="1:16" s="50" customFormat="1" ht="15.75" customHeight="1" x14ac:dyDescent="0.35">
      <c r="A219" s="100">
        <v>5</v>
      </c>
      <c r="B219" s="101"/>
      <c r="C219" s="55">
        <v>2</v>
      </c>
      <c r="D219" s="68">
        <f>(54.207+6.605+1*(1.65+3.1+2.75))*10.764</f>
        <v>735.31036799999993</v>
      </c>
      <c r="E219" s="45">
        <v>0</v>
      </c>
      <c r="F219" s="45">
        <f t="shared" si="15"/>
        <v>1176.4965887999999</v>
      </c>
      <c r="G219" s="109"/>
      <c r="H219" s="110"/>
      <c r="I219" s="39"/>
      <c r="K219" s="39">
        <f t="shared" si="16"/>
        <v>6119.8647480515338</v>
      </c>
    </row>
    <row r="220" spans="1:16" s="71" customFormat="1" ht="15.75" customHeight="1" x14ac:dyDescent="0.35">
      <c r="A220" s="100">
        <v>6</v>
      </c>
      <c r="B220" s="101"/>
      <c r="C220" s="55">
        <v>2</v>
      </c>
      <c r="D220" s="68">
        <f>(54.207+6.605+1*(1.65+3.1+2.75))*10.764</f>
        <v>735.31036799999993</v>
      </c>
      <c r="E220" s="70">
        <v>0</v>
      </c>
      <c r="F220" s="70">
        <f t="shared" si="15"/>
        <v>1176.4965887999999</v>
      </c>
      <c r="G220" s="109"/>
      <c r="H220" s="110"/>
      <c r="I220" s="39"/>
    </row>
    <row r="221" spans="1:16" s="71" customFormat="1" ht="15.75" customHeight="1" x14ac:dyDescent="0.35">
      <c r="A221" s="100">
        <v>7</v>
      </c>
      <c r="B221" s="101"/>
      <c r="C221" s="55">
        <v>2</v>
      </c>
      <c r="D221" s="68">
        <f>(54.207+6.48+1*(1.65+3.1+2.75))*10.764</f>
        <v>733.96486799999991</v>
      </c>
      <c r="E221" s="70">
        <v>0</v>
      </c>
      <c r="F221" s="70">
        <f t="shared" si="15"/>
        <v>1174.3437887999999</v>
      </c>
      <c r="G221" s="109"/>
      <c r="H221" s="110"/>
      <c r="I221" s="39"/>
    </row>
    <row r="222" spans="1:16" s="71" customFormat="1" ht="15.75" customHeight="1" x14ac:dyDescent="0.35">
      <c r="A222" s="100">
        <v>8</v>
      </c>
      <c r="B222" s="101"/>
      <c r="C222" s="55">
        <v>2</v>
      </c>
      <c r="D222" s="68">
        <f>(54.207+6.48+1*(1.65+3.1+2.75))*10.764</f>
        <v>733.96486799999991</v>
      </c>
      <c r="E222" s="70">
        <v>0</v>
      </c>
      <c r="F222" s="70">
        <f t="shared" si="15"/>
        <v>1174.3437887999999</v>
      </c>
      <c r="G222" s="207"/>
      <c r="H222" s="208"/>
      <c r="I222" s="39"/>
    </row>
    <row r="223" spans="1:16" s="71" customFormat="1" x14ac:dyDescent="0.35">
      <c r="A223" s="114" t="s">
        <v>206</v>
      </c>
      <c r="B223" s="115"/>
      <c r="C223" s="115"/>
      <c r="D223" s="115"/>
      <c r="E223" s="115"/>
      <c r="F223" s="115"/>
      <c r="G223" s="115"/>
      <c r="H223" s="116"/>
      <c r="I223" s="39"/>
      <c r="P223" s="40"/>
    </row>
    <row r="224" spans="1:16" s="71" customFormat="1" ht="15.75" customHeight="1" x14ac:dyDescent="0.35">
      <c r="A224" s="100">
        <v>1</v>
      </c>
      <c r="B224" s="101"/>
      <c r="C224" s="55">
        <v>2</v>
      </c>
      <c r="D224" s="68">
        <f>(54.207+6.48+1*(1.65+3.1+2.75))*10.764</f>
        <v>733.96486799999991</v>
      </c>
      <c r="E224" s="70">
        <v>0</v>
      </c>
      <c r="F224" s="70">
        <f>D224*(($F$201)+1)+(IF(E224&lt;101,E224,IF(E224&lt;201,E224/2,IF(E224&lt;=301,E224/3,E224/4))))</f>
        <v>1174.3437887999999</v>
      </c>
      <c r="G224" s="107" t="str">
        <f>A223</f>
        <v>7th, 11th, 15th, 19th, 23rd, 27th, 31st, 35th &amp; 39th Floor (Part Refuge Area)</v>
      </c>
      <c r="H224" s="209"/>
      <c r="I224" s="72"/>
      <c r="J224" s="73"/>
      <c r="K224" s="72"/>
      <c r="L224" s="73"/>
    </row>
    <row r="225" spans="1:16" s="71" customFormat="1" x14ac:dyDescent="0.35">
      <c r="A225" s="100">
        <v>2</v>
      </c>
      <c r="B225" s="101"/>
      <c r="C225" s="55">
        <v>2</v>
      </c>
      <c r="D225" s="68">
        <f>(54.207+6.48+1*(1.65+3.1+2.75))*10.764</f>
        <v>733.96486799999991</v>
      </c>
      <c r="E225" s="70">
        <v>0</v>
      </c>
      <c r="F225" s="70">
        <f>D225*(($F$201)+1)+(IF(E225&lt;101,E225,IF(E225&lt;201,E225/2,IF(E225&lt;=301,E225/3,E225/4))))</f>
        <v>1174.3437887999999</v>
      </c>
      <c r="G225" s="109"/>
      <c r="H225" s="110"/>
      <c r="I225" s="39"/>
    </row>
    <row r="226" spans="1:16" s="71" customFormat="1" ht="15.75" customHeight="1" x14ac:dyDescent="0.35">
      <c r="A226" s="100">
        <v>3</v>
      </c>
      <c r="B226" s="101"/>
      <c r="C226" s="55">
        <v>2</v>
      </c>
      <c r="D226" s="68">
        <f>(54.207+6.68+1*(1.65+3.1+2.75))*10.764</f>
        <v>736.11766799999998</v>
      </c>
      <c r="E226" s="70">
        <v>0</v>
      </c>
      <c r="F226" s="70">
        <f>D226*(($F$201)+1)+(IF(E226&lt;101,E226,IF(E226&lt;201,E226/2,IF(E226&lt;=301,E226/3,E226/4))))</f>
        <v>1177.7882688</v>
      </c>
      <c r="G226" s="109"/>
      <c r="H226" s="110"/>
      <c r="I226" s="39"/>
    </row>
    <row r="227" spans="1:16" s="71" customFormat="1" ht="15.75" customHeight="1" x14ac:dyDescent="0.35">
      <c r="A227" s="100">
        <v>4</v>
      </c>
      <c r="B227" s="101"/>
      <c r="C227" s="55">
        <v>2</v>
      </c>
      <c r="D227" s="68">
        <f>(54.207+6.68+1*(1.65+3.1+2.75))*10.764</f>
        <v>736.11766799999998</v>
      </c>
      <c r="E227" s="70">
        <v>0</v>
      </c>
      <c r="F227" s="70">
        <f>D227*(($F$201)+1)+(IF(E227&lt;101,E227,IF(E227&lt;201,E227/2,IF(E227&lt;=301,E227/3,E227/4))))</f>
        <v>1177.7882688</v>
      </c>
      <c r="G227" s="109"/>
      <c r="H227" s="110"/>
      <c r="I227" s="39"/>
    </row>
    <row r="228" spans="1:16" s="71" customFormat="1" ht="15.75" customHeight="1" x14ac:dyDescent="0.35">
      <c r="A228" s="100">
        <v>5</v>
      </c>
      <c r="B228" s="101"/>
      <c r="C228" s="55">
        <v>2</v>
      </c>
      <c r="D228" s="68">
        <f>(54.207+6.605+1*(1.65+3.1+2.75))*10.764</f>
        <v>735.31036799999993</v>
      </c>
      <c r="E228" s="70">
        <v>0</v>
      </c>
      <c r="F228" s="70">
        <f>D228*(($F$201)+1)+(IF(E228&lt;101,E228,IF(E228&lt;201,E228/2,IF(E228&lt;=301,E228/3,E228/4))))</f>
        <v>1176.4965887999999</v>
      </c>
      <c r="G228" s="109"/>
      <c r="H228" s="110"/>
      <c r="I228" s="39"/>
    </row>
    <row r="229" spans="1:16" s="71" customFormat="1" ht="15.75" customHeight="1" x14ac:dyDescent="0.35">
      <c r="A229" s="100">
        <v>6</v>
      </c>
      <c r="B229" s="101"/>
      <c r="C229" s="111" t="s">
        <v>199</v>
      </c>
      <c r="D229" s="112"/>
      <c r="E229" s="112"/>
      <c r="F229" s="113"/>
      <c r="G229" s="109"/>
      <c r="H229" s="110"/>
      <c r="I229" s="39"/>
    </row>
    <row r="230" spans="1:16" s="71" customFormat="1" ht="15.75" customHeight="1" x14ac:dyDescent="0.35">
      <c r="A230" s="100">
        <v>7</v>
      </c>
      <c r="B230" s="101"/>
      <c r="C230" s="55">
        <v>2</v>
      </c>
      <c r="D230" s="68">
        <f>(54.207+6.48+1*(1.65+3.1+2.75))*10.764</f>
        <v>733.96486799999991</v>
      </c>
      <c r="E230" s="70">
        <v>0</v>
      </c>
      <c r="F230" s="70">
        <f>D230*(($F$201)+1)+(IF(E230&lt;101,E230,IF(E230&lt;201,E230/2,IF(E230&lt;=301,E230/3,E230/4))))</f>
        <v>1174.3437887999999</v>
      </c>
      <c r="G230" s="109"/>
      <c r="H230" s="110"/>
      <c r="I230" s="39"/>
    </row>
    <row r="231" spans="1:16" s="71" customFormat="1" ht="15.75" customHeight="1" x14ac:dyDescent="0.35">
      <c r="A231" s="100">
        <v>8</v>
      </c>
      <c r="B231" s="101"/>
      <c r="C231" s="55">
        <v>2</v>
      </c>
      <c r="D231" s="68">
        <f>(54.207+6.48+1*(1.65+3.1+2.75))*10.764</f>
        <v>733.96486799999991</v>
      </c>
      <c r="E231" s="70">
        <v>0</v>
      </c>
      <c r="F231" s="70">
        <f>D231*(($F$201)+1)+(IF(E231&lt;101,E231,IF(E231&lt;201,E231/2,IF(E231&lt;=301,E231/3,E231/4))))</f>
        <v>1174.3437887999999</v>
      </c>
      <c r="G231" s="207"/>
      <c r="H231" s="208"/>
      <c r="I231" s="39"/>
    </row>
    <row r="232" spans="1:16" s="78" customFormat="1" x14ac:dyDescent="0.35">
      <c r="A232" s="114" t="s">
        <v>237</v>
      </c>
      <c r="B232" s="115"/>
      <c r="C232" s="115"/>
      <c r="D232" s="115"/>
      <c r="E232" s="115"/>
      <c r="F232" s="115"/>
      <c r="G232" s="115"/>
      <c r="H232" s="116"/>
      <c r="I232" s="39"/>
      <c r="P232" s="40"/>
    </row>
    <row r="233" spans="1:16" s="78" customFormat="1" ht="15.75" customHeight="1" x14ac:dyDescent="0.35">
      <c r="A233" s="100">
        <v>1</v>
      </c>
      <c r="B233" s="101"/>
      <c r="C233" s="55">
        <v>2</v>
      </c>
      <c r="D233" s="68">
        <f>(54.207+6.48+1*(1.65+3.1+2.75))*10.764</f>
        <v>733.96486799999991</v>
      </c>
      <c r="E233" s="80">
        <v>0</v>
      </c>
      <c r="F233" s="80">
        <f t="shared" ref="F233:F240" si="17">D233*(($F$201)+1)+(IF(E233&lt;101,E233,IF(E233&lt;201,E233/2,IF(E233&lt;=301,E233/3,E233/4))))</f>
        <v>1174.3437887999999</v>
      </c>
      <c r="G233" s="107" t="str">
        <f>A232</f>
        <v>43rd  Floor</v>
      </c>
      <c r="H233" s="108"/>
      <c r="I233" s="39">
        <f>3.05*4.1+1.2*2.8+2.75*2.45+2.75*3.5+3.35*3.7+1.5*2.1+1.2*1.8+1.5*0.6+2.85*0.9</f>
        <v>53.397500000000001</v>
      </c>
      <c r="J233" s="78">
        <f>0.6*3.15+3.15*0.4+3.15*1</f>
        <v>6.3</v>
      </c>
      <c r="K233" s="68">
        <v>10.763999999999999</v>
      </c>
      <c r="L233" s="39">
        <f>AVERAGE(F233:F240,F242:F246,F248:F249)</f>
        <v>1134.2750923636361</v>
      </c>
      <c r="M233" s="39">
        <f>350*L233</f>
        <v>396996.28232727264</v>
      </c>
    </row>
    <row r="234" spans="1:16" s="78" customFormat="1" x14ac:dyDescent="0.35">
      <c r="A234" s="100">
        <v>2</v>
      </c>
      <c r="B234" s="101"/>
      <c r="C234" s="55">
        <v>2</v>
      </c>
      <c r="D234" s="68">
        <f>(54.207+6.48+1*(1.65+3.1+2.75))*10.764</f>
        <v>733.96486799999991</v>
      </c>
      <c r="E234" s="80">
        <v>0</v>
      </c>
      <c r="F234" s="80">
        <f t="shared" si="17"/>
        <v>1174.3437887999999</v>
      </c>
      <c r="G234" s="109"/>
      <c r="H234" s="110"/>
      <c r="I234" s="39"/>
      <c r="K234" s="39">
        <f>7200000/F234</f>
        <v>6131.0836474532734</v>
      </c>
    </row>
    <row r="235" spans="1:16" s="78" customFormat="1" ht="15.75" customHeight="1" x14ac:dyDescent="0.35">
      <c r="A235" s="100">
        <v>3</v>
      </c>
      <c r="B235" s="101"/>
      <c r="C235" s="55">
        <v>2</v>
      </c>
      <c r="D235" s="68">
        <f>(54.207+6.68+1*(1.65+3.1+2.75))*10.764</f>
        <v>736.11766799999998</v>
      </c>
      <c r="E235" s="80">
        <v>0</v>
      </c>
      <c r="F235" s="80">
        <f t="shared" si="17"/>
        <v>1177.7882688</v>
      </c>
      <c r="G235" s="109"/>
      <c r="H235" s="110"/>
      <c r="I235" s="39"/>
      <c r="K235" s="39">
        <f t="shared" ref="K235" si="18">7200000/F235</f>
        <v>6113.1530944316364</v>
      </c>
    </row>
    <row r="236" spans="1:16" s="78" customFormat="1" ht="15.75" customHeight="1" x14ac:dyDescent="0.35">
      <c r="A236" s="100">
        <v>4</v>
      </c>
      <c r="B236" s="101"/>
      <c r="C236" s="55">
        <v>2</v>
      </c>
      <c r="D236" s="68">
        <f>(54.207+6.68+1*(1.65+3.1+2.75))*10.764</f>
        <v>736.11766799999998</v>
      </c>
      <c r="E236" s="80">
        <v>0</v>
      </c>
      <c r="F236" s="80">
        <f t="shared" si="17"/>
        <v>1177.7882688</v>
      </c>
      <c r="G236" s="109"/>
      <c r="H236" s="110"/>
      <c r="I236" s="39"/>
      <c r="K236" s="39"/>
    </row>
    <row r="237" spans="1:16" s="78" customFormat="1" ht="15.75" customHeight="1" x14ac:dyDescent="0.35">
      <c r="A237" s="100">
        <v>5</v>
      </c>
      <c r="B237" s="101"/>
      <c r="C237" s="55">
        <v>2</v>
      </c>
      <c r="D237" s="68">
        <f>(54.207+6.605+1*(1.65+3.1+2.75))*10.764</f>
        <v>735.31036799999993</v>
      </c>
      <c r="E237" s="80">
        <v>0</v>
      </c>
      <c r="F237" s="80">
        <f t="shared" si="17"/>
        <v>1176.4965887999999</v>
      </c>
      <c r="G237" s="109"/>
      <c r="H237" s="110"/>
      <c r="I237" s="39"/>
      <c r="K237" s="39">
        <f t="shared" ref="K237" si="19">7200000/F237</f>
        <v>6119.8647480515338</v>
      </c>
    </row>
    <row r="238" spans="1:16" s="78" customFormat="1" ht="15.75" customHeight="1" x14ac:dyDescent="0.35">
      <c r="A238" s="100">
        <v>6</v>
      </c>
      <c r="B238" s="101"/>
      <c r="C238" s="55">
        <v>2</v>
      </c>
      <c r="D238" s="68">
        <f>(54.207+6.605+1*(1.65+3.1+2.75))*10.764</f>
        <v>735.31036799999993</v>
      </c>
      <c r="E238" s="80">
        <v>0</v>
      </c>
      <c r="F238" s="80">
        <f t="shared" si="17"/>
        <v>1176.4965887999999</v>
      </c>
      <c r="G238" s="109"/>
      <c r="H238" s="110"/>
      <c r="I238" s="39"/>
    </row>
    <row r="239" spans="1:16" s="78" customFormat="1" ht="15.75" customHeight="1" x14ac:dyDescent="0.35">
      <c r="A239" s="100">
        <v>7</v>
      </c>
      <c r="B239" s="101"/>
      <c r="C239" s="55">
        <v>2</v>
      </c>
      <c r="D239" s="68">
        <f>(54.207+6.48+1*(1.65+3.1+2.75))*10.764</f>
        <v>733.96486799999991</v>
      </c>
      <c r="E239" s="80">
        <v>0</v>
      </c>
      <c r="F239" s="80">
        <f t="shared" si="17"/>
        <v>1174.3437887999999</v>
      </c>
      <c r="G239" s="109"/>
      <c r="H239" s="110"/>
      <c r="I239" s="39"/>
    </row>
    <row r="240" spans="1:16" s="78" customFormat="1" ht="15.75" customHeight="1" x14ac:dyDescent="0.35">
      <c r="A240" s="100">
        <v>8</v>
      </c>
      <c r="B240" s="101"/>
      <c r="C240" s="55">
        <v>2</v>
      </c>
      <c r="D240" s="68">
        <f>(54.207+6.48+1*(1.65+3.1+2.75))*10.764</f>
        <v>733.96486799999991</v>
      </c>
      <c r="E240" s="80">
        <v>0</v>
      </c>
      <c r="F240" s="80">
        <f t="shared" si="17"/>
        <v>1174.3437887999999</v>
      </c>
      <c r="G240" s="207"/>
      <c r="H240" s="208"/>
      <c r="I240" s="39"/>
    </row>
    <row r="241" spans="1:14" s="59" customFormat="1" x14ac:dyDescent="0.35">
      <c r="A241" s="114" t="s">
        <v>193</v>
      </c>
      <c r="B241" s="115"/>
      <c r="C241" s="115"/>
      <c r="D241" s="115"/>
      <c r="E241" s="115"/>
      <c r="F241" s="115"/>
      <c r="G241" s="115"/>
      <c r="H241" s="116"/>
      <c r="J241" s="39"/>
    </row>
    <row r="242" spans="1:14" s="59" customFormat="1" x14ac:dyDescent="0.35">
      <c r="A242" s="114" t="s">
        <v>191</v>
      </c>
      <c r="B242" s="115"/>
      <c r="C242" s="115"/>
      <c r="D242" s="115"/>
      <c r="E242" s="115"/>
      <c r="F242" s="115"/>
      <c r="G242" s="115"/>
      <c r="H242" s="116"/>
      <c r="J242" s="39"/>
    </row>
    <row r="243" spans="1:14" s="59" customFormat="1" x14ac:dyDescent="0.35">
      <c r="A243" s="114" t="s">
        <v>201</v>
      </c>
      <c r="B243" s="115"/>
      <c r="C243" s="115"/>
      <c r="D243" s="115"/>
      <c r="E243" s="115"/>
      <c r="F243" s="115"/>
      <c r="G243" s="115"/>
      <c r="H243" s="116"/>
      <c r="J243" s="39"/>
    </row>
    <row r="244" spans="1:14" s="59" customFormat="1" x14ac:dyDescent="0.35">
      <c r="A244" s="102" t="s">
        <v>200</v>
      </c>
      <c r="B244" s="102"/>
      <c r="C244" s="102"/>
      <c r="D244" s="102"/>
      <c r="E244" s="102"/>
      <c r="F244" s="102"/>
      <c r="G244" s="102"/>
      <c r="H244" s="102"/>
      <c r="J244" s="39"/>
    </row>
    <row r="245" spans="1:14" s="50" customFormat="1" x14ac:dyDescent="0.35">
      <c r="A245" s="102" t="s">
        <v>194</v>
      </c>
      <c r="B245" s="102"/>
      <c r="C245" s="102"/>
      <c r="D245" s="102"/>
      <c r="E245" s="102"/>
      <c r="F245" s="102"/>
      <c r="G245" s="102"/>
      <c r="H245" s="102"/>
      <c r="I245" s="39"/>
      <c r="L245" s="106"/>
      <c r="M245" s="106"/>
    </row>
    <row r="246" spans="1:14" s="50" customFormat="1" ht="15.75" customHeight="1" x14ac:dyDescent="0.35">
      <c r="A246" s="103">
        <v>1</v>
      </c>
      <c r="B246" s="103"/>
      <c r="C246" s="55">
        <v>2</v>
      </c>
      <c r="D246" s="68">
        <f>(51.823+1*(2.85+2.6+2.2))*10.764</f>
        <v>640.167372</v>
      </c>
      <c r="E246" s="68">
        <v>0</v>
      </c>
      <c r="F246" s="90">
        <f t="shared" ref="F246:F247" si="20">D246*(($F$201)+1)+(IF(E246&lt;101,E246,IF(E246&lt;201,E246/2,IF(E246&lt;=301,E246/3,E246/4))))</f>
        <v>1024.2677952000001</v>
      </c>
      <c r="G246" s="103" t="str">
        <f>A245</f>
        <v>1st Floor for Residential</v>
      </c>
      <c r="H246" s="103"/>
      <c r="I246" s="39">
        <f>2.75*3.95+2.8*2.95+2.45*2.15+2.75*3.4+3.35*2.8+2.1*1.25+1.25*1.95+1.25*0.9</f>
        <v>49.307500000000005</v>
      </c>
      <c r="L246" s="39">
        <f>AVERAGE(F246:F255,F259:F268,F272:F283,F285:F286,F289:F296)</f>
        <v>909.24758674285681</v>
      </c>
      <c r="M246" s="68">
        <f>(2.2*2+5*0.85+2.45*2.15+2.75*3.25)*10.764</f>
        <v>246.01121999999998</v>
      </c>
      <c r="N246" s="39"/>
    </row>
    <row r="247" spans="1:14" s="50" customFormat="1" x14ac:dyDescent="0.35">
      <c r="A247" s="103">
        <f>A246+1</f>
        <v>2</v>
      </c>
      <c r="B247" s="103"/>
      <c r="C247" s="55">
        <v>2</v>
      </c>
      <c r="D247" s="68">
        <f>(51.823+1*(2.85+2.6+2.1))*10.764</f>
        <v>639.09097199999997</v>
      </c>
      <c r="E247" s="68">
        <v>0</v>
      </c>
      <c r="F247" s="90">
        <f t="shared" si="20"/>
        <v>1022.5455552</v>
      </c>
      <c r="G247" s="103"/>
      <c r="H247" s="103"/>
      <c r="I247" s="39"/>
      <c r="L247" s="56"/>
      <c r="M247" s="68">
        <f>(2.1*2+5*0.85+2.45*2.15+2.75*3.25)*10.764</f>
        <v>243.85842</v>
      </c>
      <c r="N247" s="39"/>
    </row>
    <row r="248" spans="1:14" s="50" customFormat="1" x14ac:dyDescent="0.35">
      <c r="A248" s="103">
        <f>A247+1</f>
        <v>3</v>
      </c>
      <c r="B248" s="103"/>
      <c r="C248" s="55">
        <v>2</v>
      </c>
      <c r="D248" s="68">
        <f>(51.823+1*(2.85+2.6+2.1))*10.764</f>
        <v>639.09097199999997</v>
      </c>
      <c r="E248" s="68">
        <v>0</v>
      </c>
      <c r="F248" s="90">
        <f>D248*(($F$201)+1)+(IF(E248&lt;101,E248,IF(E248&lt;201,E248/2,IF(E248&lt;=301,E248/3,E248/4))))</f>
        <v>1022.5455552</v>
      </c>
      <c r="G248" s="103"/>
      <c r="H248" s="103"/>
      <c r="I248" s="39"/>
      <c r="M248" s="68">
        <f>(2.1*2+5*0.85+2.45*2.15+2.75*3.25)*10.764</f>
        <v>243.85842</v>
      </c>
      <c r="N248" s="39"/>
    </row>
    <row r="249" spans="1:14" s="50" customFormat="1" x14ac:dyDescent="0.35">
      <c r="A249" s="103">
        <f>A248+1</f>
        <v>4</v>
      </c>
      <c r="B249" s="103"/>
      <c r="C249" s="55">
        <v>2</v>
      </c>
      <c r="D249" s="68">
        <f>(51.823+1*(2.85+2.6+2.2))*10.764</f>
        <v>640.167372</v>
      </c>
      <c r="E249" s="68">
        <v>0</v>
      </c>
      <c r="F249" s="90">
        <f>D249*(($F$201)+1)+(IF(E249&lt;101,E249,IF(E249&lt;201,E249/2,IF(E249&lt;=301,E249/3,E249/4))))</f>
        <v>1024.2677952000001</v>
      </c>
      <c r="G249" s="103"/>
      <c r="H249" s="103"/>
      <c r="I249" s="39"/>
      <c r="M249" s="68">
        <f>(2.1*2+5*0.85+2.45*2.15+2.75*3.25)*10.764</f>
        <v>243.85842</v>
      </c>
      <c r="N249" s="39"/>
    </row>
    <row r="250" spans="1:14" s="50" customFormat="1" x14ac:dyDescent="0.35">
      <c r="A250" s="103">
        <f>A249+1</f>
        <v>5</v>
      </c>
      <c r="B250" s="103"/>
      <c r="C250" s="55">
        <v>1</v>
      </c>
      <c r="D250" s="68">
        <f>(28.563+1*(1.275+2.65)+1*(2.75+2.75))*10.764</f>
        <v>408.90283199999999</v>
      </c>
      <c r="E250" s="68">
        <v>0</v>
      </c>
      <c r="F250" s="90">
        <f>D250*(($F$201)+1)+(IF(E250&lt;101,E250,IF(E250&lt;201,E250/2,IF(E250&lt;=301,E250/3,E250/4))))</f>
        <v>654.24453119999998</v>
      </c>
      <c r="G250" s="103"/>
      <c r="H250" s="103"/>
      <c r="I250" s="39">
        <f>3.65*2.85+2.45*1.95+2.75*2.4+1.2*1.8+0.9*1.5+0.9*1.2</f>
        <v>26.370000000000005</v>
      </c>
      <c r="J250" s="50">
        <f>1*(1.275+2.65)</f>
        <v>3.9249999999999998</v>
      </c>
      <c r="K250" s="39">
        <f>4200000/F250</f>
        <v>6419.6180475463179</v>
      </c>
      <c r="N250" s="39"/>
    </row>
    <row r="251" spans="1:14" s="59" customFormat="1" x14ac:dyDescent="0.35">
      <c r="A251" s="103">
        <f t="shared" ref="A251:A255" si="21">A250+1</f>
        <v>6</v>
      </c>
      <c r="B251" s="103"/>
      <c r="C251" s="55">
        <v>1</v>
      </c>
      <c r="D251" s="68">
        <f>(31.598+1*(1.275+2.65)+1*(2.75+2.75))*10.764</f>
        <v>441.57157199999995</v>
      </c>
      <c r="E251" s="68">
        <v>0</v>
      </c>
      <c r="F251" s="90">
        <f t="shared" ref="F251:F252" si="22">D251*(($F$201)+1)+(IF(E251&lt;101,E251,IF(E251&lt;201,E251/2,IF(E251&lt;=301,E251/3,E251/4))))</f>
        <v>706.51451520000001</v>
      </c>
      <c r="G251" s="103"/>
      <c r="H251" s="103"/>
      <c r="I251" s="39"/>
      <c r="N251" s="39"/>
    </row>
    <row r="252" spans="1:14" s="59" customFormat="1" x14ac:dyDescent="0.35">
      <c r="A252" s="103">
        <f t="shared" si="21"/>
        <v>7</v>
      </c>
      <c r="B252" s="103"/>
      <c r="C252" s="55">
        <v>2</v>
      </c>
      <c r="D252" s="68">
        <f>(42.46+1*(2.3+2.6+2.2)+1*(2.75+2.75))*10.764</f>
        <v>592.66584</v>
      </c>
      <c r="E252" s="68">
        <v>0</v>
      </c>
      <c r="F252" s="90">
        <f t="shared" si="22"/>
        <v>948.26534400000003</v>
      </c>
      <c r="G252" s="103"/>
      <c r="H252" s="103"/>
      <c r="I252" s="39"/>
      <c r="L252" s="56"/>
      <c r="N252" s="39"/>
    </row>
    <row r="253" spans="1:14" s="59" customFormat="1" x14ac:dyDescent="0.35">
      <c r="A253" s="103">
        <f t="shared" si="21"/>
        <v>8</v>
      </c>
      <c r="B253" s="103"/>
      <c r="C253" s="55">
        <v>2</v>
      </c>
      <c r="D253" s="68">
        <f>(42.46+1*(2.3+2.6+2.1)+1*(2.75+2.75))*10.764</f>
        <v>591.58943999999997</v>
      </c>
      <c r="E253" s="68">
        <v>0</v>
      </c>
      <c r="F253" s="90">
        <f>D253*(($F$201)+1)+(IF(E253&lt;101,E253,IF(E253&lt;201,E253/2,IF(E253&lt;=301,E253/3,E253/4))))</f>
        <v>946.54310399999997</v>
      </c>
      <c r="G253" s="103"/>
      <c r="H253" s="103"/>
      <c r="I253" s="39"/>
      <c r="N253" s="39"/>
    </row>
    <row r="254" spans="1:14" s="59" customFormat="1" x14ac:dyDescent="0.35">
      <c r="A254" s="103">
        <f t="shared" si="21"/>
        <v>9</v>
      </c>
      <c r="B254" s="103"/>
      <c r="C254" s="55">
        <v>2</v>
      </c>
      <c r="D254" s="68">
        <f>(42.46+1*(2.2+2.6+2.1)+1*(2.75+2.75))*10.764</f>
        <v>590.51303999999993</v>
      </c>
      <c r="E254" s="68">
        <v>0</v>
      </c>
      <c r="F254" s="90">
        <f>D254*(($F$201)+1)+(IF(E254&lt;101,E254,IF(E254&lt;201,E254/2,IF(E254&lt;=301,E254/3,E254/4))))</f>
        <v>944.82086399999991</v>
      </c>
      <c r="G254" s="103"/>
      <c r="H254" s="103"/>
      <c r="I254" s="39"/>
      <c r="N254" s="39"/>
    </row>
    <row r="255" spans="1:14" s="59" customFormat="1" x14ac:dyDescent="0.35">
      <c r="A255" s="103">
        <f t="shared" si="21"/>
        <v>10</v>
      </c>
      <c r="B255" s="103"/>
      <c r="C255" s="55">
        <v>2</v>
      </c>
      <c r="D255" s="68">
        <f>(42.46+1*(2.2+2.6+2.2)+1*(2.75+2.75))*10.764</f>
        <v>591.58943999999997</v>
      </c>
      <c r="E255" s="68">
        <v>0</v>
      </c>
      <c r="F255" s="90">
        <f>D255*(($F$201)+1)+(IF(E255&lt;101,E255,IF(E255&lt;201,E255/2,IF(E255&lt;=301,E255/3,E255/4))))</f>
        <v>946.54310399999997</v>
      </c>
      <c r="G255" s="103"/>
      <c r="H255" s="103"/>
      <c r="I255" s="39"/>
      <c r="N255" s="39"/>
    </row>
    <row r="256" spans="1:14" s="59" customFormat="1" x14ac:dyDescent="0.35">
      <c r="A256" s="103">
        <f t="shared" ref="A256:A257" si="23">A255+1</f>
        <v>11</v>
      </c>
      <c r="B256" s="103"/>
      <c r="C256" s="104" t="s">
        <v>195</v>
      </c>
      <c r="D256" s="104"/>
      <c r="E256" s="104"/>
      <c r="F256" s="104"/>
      <c r="G256" s="103"/>
      <c r="H256" s="103"/>
      <c r="I256" s="39"/>
      <c r="N256" s="39"/>
    </row>
    <row r="257" spans="1:16" s="59" customFormat="1" x14ac:dyDescent="0.35">
      <c r="A257" s="103">
        <f t="shared" si="23"/>
        <v>12</v>
      </c>
      <c r="B257" s="103"/>
      <c r="C257" s="104"/>
      <c r="D257" s="104"/>
      <c r="E257" s="104"/>
      <c r="F257" s="104"/>
      <c r="G257" s="103"/>
      <c r="H257" s="103"/>
      <c r="I257" s="39"/>
      <c r="N257" s="39"/>
    </row>
    <row r="258" spans="1:16" s="50" customFormat="1" x14ac:dyDescent="0.35">
      <c r="A258" s="102" t="s">
        <v>196</v>
      </c>
      <c r="B258" s="102"/>
      <c r="C258" s="102"/>
      <c r="D258" s="102"/>
      <c r="E258" s="102"/>
      <c r="F258" s="102"/>
      <c r="G258" s="102"/>
      <c r="H258" s="102"/>
      <c r="I258" s="39"/>
      <c r="P258" s="40"/>
    </row>
    <row r="259" spans="1:16" s="50" customFormat="1" ht="15.75" customHeight="1" x14ac:dyDescent="0.35">
      <c r="A259" s="100">
        <v>1</v>
      </c>
      <c r="B259" s="101"/>
      <c r="C259" s="55">
        <v>2</v>
      </c>
      <c r="D259" s="68">
        <f>(49.485+1*(2.85+2.6+2.2)+1*(2.75+2.75))*10.764</f>
        <v>674.20313999999996</v>
      </c>
      <c r="E259" s="45">
        <v>0</v>
      </c>
      <c r="F259" s="45">
        <f t="shared" ref="F259:F268" si="24">D259*(($F$201)+1)+(IF(E259&lt;101,E259,IF(E259&lt;201,E259/2,IF(E259&lt;=301,E259/3,E259/4))))</f>
        <v>1078.7250240000001</v>
      </c>
      <c r="G259" s="107" t="str">
        <f>A258</f>
        <v>2nd to 4th Floor</v>
      </c>
      <c r="H259" s="108"/>
      <c r="I259" s="39"/>
    </row>
    <row r="260" spans="1:16" s="50" customFormat="1" x14ac:dyDescent="0.35">
      <c r="A260" s="100">
        <v>2</v>
      </c>
      <c r="B260" s="101"/>
      <c r="C260" s="55">
        <v>2</v>
      </c>
      <c r="D260" s="68">
        <f>(49.485+1*(2.85+2.6+2.1)+1*(2.75+2.75))*10.764</f>
        <v>673.12673999999993</v>
      </c>
      <c r="E260" s="45">
        <v>0</v>
      </c>
      <c r="F260" s="45">
        <f t="shared" si="24"/>
        <v>1077.002784</v>
      </c>
      <c r="G260" s="109"/>
      <c r="H260" s="110"/>
      <c r="I260" s="39"/>
    </row>
    <row r="261" spans="1:16" s="50" customFormat="1" x14ac:dyDescent="0.35">
      <c r="A261" s="100">
        <v>3</v>
      </c>
      <c r="B261" s="101"/>
      <c r="C261" s="55">
        <v>2</v>
      </c>
      <c r="D261" s="68">
        <f>(49.485+1*(2.85+2.6+2.1)+1*(2.75+2.75))*10.764</f>
        <v>673.12673999999993</v>
      </c>
      <c r="E261" s="45">
        <v>0</v>
      </c>
      <c r="F261" s="45">
        <f t="shared" si="24"/>
        <v>1077.002784</v>
      </c>
      <c r="G261" s="109"/>
      <c r="H261" s="110"/>
      <c r="I261" s="39"/>
    </row>
    <row r="262" spans="1:16" s="50" customFormat="1" x14ac:dyDescent="0.35">
      <c r="A262" s="100">
        <v>4</v>
      </c>
      <c r="B262" s="101"/>
      <c r="C262" s="55">
        <v>2</v>
      </c>
      <c r="D262" s="68">
        <f>(49.485+1*(2.85+2.6+2.2)+1*(2.75+2.75))*10.764</f>
        <v>674.20313999999996</v>
      </c>
      <c r="E262" s="45">
        <v>0</v>
      </c>
      <c r="F262" s="45">
        <f t="shared" si="24"/>
        <v>1078.7250240000001</v>
      </c>
      <c r="G262" s="109"/>
      <c r="H262" s="110"/>
      <c r="I262" s="39"/>
    </row>
    <row r="263" spans="1:16" s="50" customFormat="1" x14ac:dyDescent="0.35">
      <c r="A263" s="100">
        <v>5</v>
      </c>
      <c r="B263" s="101"/>
      <c r="C263" s="55">
        <v>1</v>
      </c>
      <c r="D263" s="68">
        <f>(28.563+1*(1.275+2.65)+1*(2.75+2.75))*10.764</f>
        <v>408.90283199999999</v>
      </c>
      <c r="E263" s="45">
        <v>0</v>
      </c>
      <c r="F263" s="45">
        <f t="shared" si="24"/>
        <v>654.24453119999998</v>
      </c>
      <c r="G263" s="109"/>
      <c r="H263" s="110"/>
      <c r="I263" s="39"/>
    </row>
    <row r="264" spans="1:16" s="59" customFormat="1" ht="15.75" customHeight="1" x14ac:dyDescent="0.35">
      <c r="A264" s="100">
        <v>6</v>
      </c>
      <c r="B264" s="101"/>
      <c r="C264" s="55">
        <v>1</v>
      </c>
      <c r="D264" s="68">
        <f>(31.598+1*(1.275+2.65)+1*(2.75+2.75))*10.764</f>
        <v>441.57157199999995</v>
      </c>
      <c r="E264" s="60">
        <v>0</v>
      </c>
      <c r="F264" s="60">
        <f t="shared" si="24"/>
        <v>706.51451520000001</v>
      </c>
      <c r="G264" s="109"/>
      <c r="H264" s="110"/>
      <c r="I264" s="39"/>
    </row>
    <row r="265" spans="1:16" s="59" customFormat="1" ht="15.75" customHeight="1" x14ac:dyDescent="0.35">
      <c r="A265" s="100">
        <v>7</v>
      </c>
      <c r="B265" s="101"/>
      <c r="C265" s="55">
        <v>2</v>
      </c>
      <c r="D265" s="68">
        <f>(42.46+1*(2.3+2.6+2.2)+1*(2.75+2.75))*10.764</f>
        <v>592.66584</v>
      </c>
      <c r="E265" s="60">
        <v>0</v>
      </c>
      <c r="F265" s="60">
        <f t="shared" si="24"/>
        <v>948.26534400000003</v>
      </c>
      <c r="G265" s="109"/>
      <c r="H265" s="110"/>
      <c r="I265" s="39"/>
    </row>
    <row r="266" spans="1:16" s="59" customFormat="1" ht="15.75" customHeight="1" x14ac:dyDescent="0.35">
      <c r="A266" s="100">
        <v>8</v>
      </c>
      <c r="B266" s="101"/>
      <c r="C266" s="55">
        <v>2</v>
      </c>
      <c r="D266" s="68">
        <f>(42.46+1*(2.3+2.6+2.1)+1*(2.75+2.75))*10.764</f>
        <v>591.58943999999997</v>
      </c>
      <c r="E266" s="60">
        <v>0</v>
      </c>
      <c r="F266" s="60">
        <f t="shared" si="24"/>
        <v>946.54310399999997</v>
      </c>
      <c r="G266" s="109"/>
      <c r="H266" s="110"/>
      <c r="I266" s="39"/>
    </row>
    <row r="267" spans="1:16" s="59" customFormat="1" ht="15.75" customHeight="1" x14ac:dyDescent="0.35">
      <c r="A267" s="100">
        <v>9</v>
      </c>
      <c r="B267" s="101"/>
      <c r="C267" s="55">
        <v>2</v>
      </c>
      <c r="D267" s="68">
        <f>(42.46+1*(2.2+2.6+2.1)+1*(2.75+2.75))*10.764</f>
        <v>590.51303999999993</v>
      </c>
      <c r="E267" s="60">
        <v>0</v>
      </c>
      <c r="F267" s="60">
        <f t="shared" si="24"/>
        <v>944.82086399999991</v>
      </c>
      <c r="G267" s="109"/>
      <c r="H267" s="110"/>
      <c r="I267" s="39"/>
    </row>
    <row r="268" spans="1:16" s="59" customFormat="1" ht="15.75" customHeight="1" x14ac:dyDescent="0.35">
      <c r="A268" s="100">
        <v>10</v>
      </c>
      <c r="B268" s="101"/>
      <c r="C268" s="55">
        <v>2</v>
      </c>
      <c r="D268" s="68">
        <f>(42.46+1*(2.2+2.6+2.2)+1*(2.75+2.75))*10.764</f>
        <v>591.58943999999997</v>
      </c>
      <c r="E268" s="60">
        <v>0</v>
      </c>
      <c r="F268" s="60">
        <f t="shared" si="24"/>
        <v>946.54310399999997</v>
      </c>
      <c r="G268" s="109"/>
      <c r="H268" s="110"/>
      <c r="I268" s="39"/>
      <c r="J268" s="59">
        <f>43-11</f>
        <v>32</v>
      </c>
      <c r="K268" s="59">
        <f>32*12+11*10</f>
        <v>494</v>
      </c>
    </row>
    <row r="269" spans="1:16" s="59" customFormat="1" ht="15.75" customHeight="1" x14ac:dyDescent="0.35">
      <c r="A269" s="100">
        <v>11</v>
      </c>
      <c r="B269" s="101"/>
      <c r="C269" s="210" t="s">
        <v>195</v>
      </c>
      <c r="D269" s="211"/>
      <c r="E269" s="211"/>
      <c r="F269" s="212"/>
      <c r="G269" s="109"/>
      <c r="H269" s="110"/>
      <c r="I269" s="39"/>
    </row>
    <row r="270" spans="1:16" s="59" customFormat="1" ht="15.75" customHeight="1" x14ac:dyDescent="0.35">
      <c r="A270" s="100">
        <v>12</v>
      </c>
      <c r="B270" s="101"/>
      <c r="C270" s="213"/>
      <c r="D270" s="214"/>
      <c r="E270" s="214"/>
      <c r="F270" s="215"/>
      <c r="G270" s="207"/>
      <c r="H270" s="208"/>
      <c r="I270" s="39"/>
    </row>
    <row r="271" spans="1:16" s="50" customFormat="1" ht="32.25" customHeight="1" x14ac:dyDescent="0.35">
      <c r="A271" s="114" t="s">
        <v>197</v>
      </c>
      <c r="B271" s="115"/>
      <c r="C271" s="115"/>
      <c r="D271" s="115"/>
      <c r="E271" s="115"/>
      <c r="F271" s="115"/>
      <c r="G271" s="115"/>
      <c r="H271" s="116"/>
      <c r="J271" s="39"/>
    </row>
    <row r="272" spans="1:16" s="50" customFormat="1" ht="15.75" customHeight="1" x14ac:dyDescent="0.35">
      <c r="A272" s="100">
        <v>1</v>
      </c>
      <c r="B272" s="101"/>
      <c r="C272" s="55">
        <v>2</v>
      </c>
      <c r="D272" s="68">
        <f>(49.485+1*(2.85+2.6+2.2)+1*(2.75+2.75))*10.764</f>
        <v>674.20313999999996</v>
      </c>
      <c r="E272" s="45">
        <v>0</v>
      </c>
      <c r="F272" s="45">
        <f>D272*(($F$201)+1)+(IF(E272&lt;101,E272,IF(E272&lt;201,E272/2,IF(E272&lt;=301,E272/3,E272/4))))</f>
        <v>1078.7250240000001</v>
      </c>
      <c r="G272" s="107" t="str">
        <f>A271</f>
        <v>5th to 7th, 9th to 12th, 14th to 17th, 19th to 22nd, 24th to 27th, 29th to 32nd, 34th to 37th &amp; 39th to 43rd Floor</v>
      </c>
      <c r="H272" s="108"/>
      <c r="I272" s="39"/>
      <c r="L272" s="106"/>
      <c r="M272" s="106"/>
      <c r="N272" s="39"/>
    </row>
    <row r="273" spans="1:14" s="50" customFormat="1" x14ac:dyDescent="0.35">
      <c r="A273" s="100">
        <f t="shared" ref="A273:A283" si="25">A272+1</f>
        <v>2</v>
      </c>
      <c r="B273" s="101"/>
      <c r="C273" s="55">
        <v>2</v>
      </c>
      <c r="D273" s="68">
        <f>(49.485+1*(2.85+2.6+2.1)+1*(2.75+2.75))*10.764</f>
        <v>673.12673999999993</v>
      </c>
      <c r="E273" s="45">
        <v>0</v>
      </c>
      <c r="F273" s="45">
        <f>D273*(($F$201)+1)+(IF(E273&lt;101,E273,IF(E273&lt;201,E273/2,IF(E273&lt;=301,E273/3,E273/4))))</f>
        <v>1077.002784</v>
      </c>
      <c r="G273" s="109"/>
      <c r="H273" s="110"/>
      <c r="I273" s="39"/>
      <c r="L273" s="106"/>
      <c r="M273" s="106"/>
      <c r="N273" s="39"/>
    </row>
    <row r="274" spans="1:14" s="50" customFormat="1" x14ac:dyDescent="0.35">
      <c r="A274" s="100">
        <f t="shared" si="25"/>
        <v>3</v>
      </c>
      <c r="B274" s="101"/>
      <c r="C274" s="55">
        <v>2</v>
      </c>
      <c r="D274" s="68">
        <f>(49.485+1*(2.85+2.6+2.1)+1*(2.75+2.75))*10.764</f>
        <v>673.12673999999993</v>
      </c>
      <c r="E274" s="45">
        <v>0</v>
      </c>
      <c r="F274" s="45">
        <f t="shared" ref="F274:F277" si="26">D274*(($F$201)+1)+(IF(E274&lt;101,E274,IF(E274&lt;201,E274/2,IF(E274&lt;=301,E274/3,E274/4))))</f>
        <v>1077.002784</v>
      </c>
      <c r="G274" s="109"/>
      <c r="H274" s="110"/>
      <c r="I274" s="39"/>
      <c r="L274" s="106"/>
      <c r="M274" s="106"/>
      <c r="N274" s="39"/>
    </row>
    <row r="275" spans="1:14" s="50" customFormat="1" x14ac:dyDescent="0.35">
      <c r="A275" s="100">
        <f t="shared" si="25"/>
        <v>4</v>
      </c>
      <c r="B275" s="101"/>
      <c r="C275" s="55">
        <v>2</v>
      </c>
      <c r="D275" s="68">
        <f>(49.485+1*(2.85+2.6+2.2)+1*(2.75+2.75))*10.764</f>
        <v>674.20313999999996</v>
      </c>
      <c r="E275" s="45">
        <v>0</v>
      </c>
      <c r="F275" s="45">
        <f t="shared" si="26"/>
        <v>1078.7250240000001</v>
      </c>
      <c r="G275" s="109"/>
      <c r="H275" s="110"/>
      <c r="I275" s="39"/>
      <c r="L275" s="106"/>
      <c r="M275" s="106"/>
      <c r="N275" s="39"/>
    </row>
    <row r="276" spans="1:14" s="58" customFormat="1" x14ac:dyDescent="0.35">
      <c r="A276" s="100">
        <f t="shared" si="25"/>
        <v>5</v>
      </c>
      <c r="B276" s="101"/>
      <c r="C276" s="55">
        <v>1</v>
      </c>
      <c r="D276" s="68">
        <f>(28.563+1*(1.275+2.65)+1*(2.75+2.75))*10.764</f>
        <v>408.90283199999999</v>
      </c>
      <c r="E276" s="57">
        <v>0</v>
      </c>
      <c r="F276" s="57">
        <f t="shared" si="26"/>
        <v>654.24453119999998</v>
      </c>
      <c r="G276" s="109"/>
      <c r="H276" s="110"/>
      <c r="I276" s="39"/>
      <c r="L276" s="106"/>
      <c r="M276" s="106"/>
      <c r="N276" s="39"/>
    </row>
    <row r="277" spans="1:14" s="58" customFormat="1" x14ac:dyDescent="0.35">
      <c r="A277" s="100">
        <f t="shared" si="25"/>
        <v>6</v>
      </c>
      <c r="B277" s="101"/>
      <c r="C277" s="55">
        <v>1</v>
      </c>
      <c r="D277" s="68">
        <f>(31.598+1*(1.275+2.65)+1*(2.75+2.75))*10.764</f>
        <v>441.57157199999995</v>
      </c>
      <c r="E277" s="57">
        <v>0</v>
      </c>
      <c r="F277" s="57">
        <f t="shared" si="26"/>
        <v>706.51451520000001</v>
      </c>
      <c r="G277" s="109"/>
      <c r="H277" s="110"/>
      <c r="I277" s="39">
        <f>4500000/F276</f>
        <v>6878.162193799626</v>
      </c>
      <c r="J277" s="58">
        <f>7000*F276</f>
        <v>4579711.7183999997</v>
      </c>
      <c r="L277" s="106"/>
      <c r="M277" s="106"/>
      <c r="N277" s="39"/>
    </row>
    <row r="278" spans="1:14" s="59" customFormat="1" x14ac:dyDescent="0.35">
      <c r="A278" s="100">
        <f t="shared" si="25"/>
        <v>7</v>
      </c>
      <c r="B278" s="101"/>
      <c r="C278" s="55">
        <v>2</v>
      </c>
      <c r="D278" s="68">
        <f>(42.46+1*(2.3+2.6+2.2)+1*(2.75+2.75))*10.764</f>
        <v>592.66584</v>
      </c>
      <c r="E278" s="60">
        <v>0</v>
      </c>
      <c r="F278" s="60">
        <f>D278*(($F$201)+1)+(IF(E278&lt;101,E278,IF(E278&lt;201,E278/2,IF(E278&lt;=301,E278/3,E278/4))))</f>
        <v>948.26534400000003</v>
      </c>
      <c r="G278" s="109"/>
      <c r="H278" s="110"/>
      <c r="I278" s="39"/>
      <c r="L278" s="106"/>
      <c r="M278" s="106"/>
      <c r="N278" s="39"/>
    </row>
    <row r="279" spans="1:14" s="59" customFormat="1" x14ac:dyDescent="0.35">
      <c r="A279" s="100">
        <f t="shared" si="25"/>
        <v>8</v>
      </c>
      <c r="B279" s="101"/>
      <c r="C279" s="55">
        <v>2</v>
      </c>
      <c r="D279" s="68">
        <f>(42.46+1*(2.3+2.6+2.1)+1*(2.75+2.75))*10.764</f>
        <v>591.58943999999997</v>
      </c>
      <c r="E279" s="60">
        <v>0</v>
      </c>
      <c r="F279" s="60">
        <f>D279*(($F$201)+1)+(IF(E279&lt;101,E279,IF(E279&lt;201,E279/2,IF(E279&lt;=301,E279/3,E279/4))))</f>
        <v>946.54310399999997</v>
      </c>
      <c r="G279" s="109"/>
      <c r="H279" s="110"/>
      <c r="I279" s="39"/>
      <c r="L279" s="106"/>
      <c r="M279" s="106"/>
      <c r="N279" s="39"/>
    </row>
    <row r="280" spans="1:14" s="59" customFormat="1" x14ac:dyDescent="0.35">
      <c r="A280" s="100">
        <f t="shared" si="25"/>
        <v>9</v>
      </c>
      <c r="B280" s="101"/>
      <c r="C280" s="55">
        <v>2</v>
      </c>
      <c r="D280" s="68">
        <f>(42.46+1*(2.3+2.6+2.1)+1*(2.75+2.75))*10.764</f>
        <v>591.58943999999997</v>
      </c>
      <c r="E280" s="60">
        <v>0</v>
      </c>
      <c r="F280" s="60">
        <f t="shared" ref="F280:F283" si="27">D280*(($F$201)+1)+(IF(E280&lt;101,E280,IF(E280&lt;201,E280/2,IF(E280&lt;=301,E280/3,E280/4))))</f>
        <v>946.54310399999997</v>
      </c>
      <c r="G280" s="109"/>
      <c r="H280" s="110"/>
      <c r="I280" s="39"/>
      <c r="L280" s="106"/>
      <c r="M280" s="106"/>
      <c r="N280" s="39"/>
    </row>
    <row r="281" spans="1:14" s="59" customFormat="1" x14ac:dyDescent="0.35">
      <c r="A281" s="100">
        <f t="shared" si="25"/>
        <v>10</v>
      </c>
      <c r="B281" s="101"/>
      <c r="C281" s="55">
        <v>2</v>
      </c>
      <c r="D281" s="68">
        <f>(42.46+1*(2.3+2.6+2.2)+1*(2.75+2.75))*10.764</f>
        <v>592.66584</v>
      </c>
      <c r="E281" s="60">
        <v>0</v>
      </c>
      <c r="F281" s="60">
        <f t="shared" si="27"/>
        <v>948.26534400000003</v>
      </c>
      <c r="G281" s="109"/>
      <c r="H281" s="110"/>
      <c r="I281" s="39"/>
      <c r="L281" s="106"/>
      <c r="M281" s="106"/>
      <c r="N281" s="39"/>
    </row>
    <row r="282" spans="1:14" s="59" customFormat="1" x14ac:dyDescent="0.35">
      <c r="A282" s="100">
        <f t="shared" si="25"/>
        <v>11</v>
      </c>
      <c r="B282" s="101"/>
      <c r="C282" s="55">
        <v>1</v>
      </c>
      <c r="D282" s="68">
        <f>(31.598+1*(1.275+2.65)+1*(2.75+2.75))*10.764</f>
        <v>441.57157199999995</v>
      </c>
      <c r="E282" s="60">
        <v>0</v>
      </c>
      <c r="F282" s="60">
        <f t="shared" si="27"/>
        <v>706.51451520000001</v>
      </c>
      <c r="G282" s="109"/>
      <c r="H282" s="110"/>
      <c r="I282" s="39"/>
      <c r="L282" s="106"/>
      <c r="M282" s="106"/>
      <c r="N282" s="39"/>
    </row>
    <row r="283" spans="1:14" s="59" customFormat="1" x14ac:dyDescent="0.35">
      <c r="A283" s="100">
        <f t="shared" si="25"/>
        <v>12</v>
      </c>
      <c r="B283" s="101"/>
      <c r="C283" s="55">
        <v>1</v>
      </c>
      <c r="D283" s="68">
        <f>(28.563+1*(1.275+2.65)+1*(2.75+2.75))*10.764</f>
        <v>408.90283199999999</v>
      </c>
      <c r="E283" s="60">
        <v>0</v>
      </c>
      <c r="F283" s="60">
        <f t="shared" si="27"/>
        <v>654.24453119999998</v>
      </c>
      <c r="G283" s="207"/>
      <c r="H283" s="208"/>
      <c r="I283" s="39"/>
      <c r="L283" s="106"/>
      <c r="M283" s="106"/>
      <c r="N283" s="39"/>
    </row>
    <row r="284" spans="1:14" s="59" customFormat="1" x14ac:dyDescent="0.35">
      <c r="A284" s="114" t="s">
        <v>198</v>
      </c>
      <c r="B284" s="115"/>
      <c r="C284" s="115"/>
      <c r="D284" s="115"/>
      <c r="E284" s="115"/>
      <c r="F284" s="115"/>
      <c r="G284" s="115"/>
      <c r="H284" s="116"/>
      <c r="J284" s="39"/>
    </row>
    <row r="285" spans="1:14" s="59" customFormat="1" ht="15.75" customHeight="1" x14ac:dyDescent="0.35">
      <c r="A285" s="103">
        <v>1</v>
      </c>
      <c r="B285" s="103"/>
      <c r="C285" s="55">
        <v>2</v>
      </c>
      <c r="D285" s="68">
        <f>(49.485+1*(2.85+2.6+2.2)+1*(2.75+2.75))*10.764</f>
        <v>674.20313999999996</v>
      </c>
      <c r="E285" s="90">
        <v>0</v>
      </c>
      <c r="F285" s="90">
        <f>D285*(($F$201)+1)+(IF(E285&lt;101,E285,IF(E285&lt;201,E285/2,IF(E285&lt;=301,E285/3,E285/4))))</f>
        <v>1078.7250240000001</v>
      </c>
      <c r="G285" s="103" t="str">
        <f>A284</f>
        <v>8th, 13th, 18th, 23rd, 28th, 33rd &amp; 38th Floor (Part Refuge Area)</v>
      </c>
      <c r="H285" s="103"/>
      <c r="I285" s="39"/>
      <c r="L285" s="106"/>
      <c r="M285" s="106"/>
      <c r="N285" s="39"/>
    </row>
    <row r="286" spans="1:14" s="59" customFormat="1" x14ac:dyDescent="0.35">
      <c r="A286" s="103">
        <f t="shared" ref="A286:A296" si="28">A285+1</f>
        <v>2</v>
      </c>
      <c r="B286" s="103"/>
      <c r="C286" s="55">
        <v>2</v>
      </c>
      <c r="D286" s="68">
        <f>(49.485+1*(2.85+2.6+2.1)+1*(2.75+2.75))*10.764</f>
        <v>673.12673999999993</v>
      </c>
      <c r="E286" s="90">
        <v>0</v>
      </c>
      <c r="F286" s="90">
        <f>D286*(($F$201)+1)+(IF(E286&lt;101,E286,IF(E286&lt;201,E286/2,IF(E286&lt;=301,E286/3,E286/4))))</f>
        <v>1077.002784</v>
      </c>
      <c r="G286" s="103"/>
      <c r="H286" s="103"/>
      <c r="I286" s="39"/>
      <c r="L286" s="106"/>
      <c r="M286" s="106"/>
      <c r="N286" s="39"/>
    </row>
    <row r="287" spans="1:14" s="59" customFormat="1" x14ac:dyDescent="0.35">
      <c r="A287" s="103">
        <f t="shared" si="28"/>
        <v>3</v>
      </c>
      <c r="B287" s="103"/>
      <c r="C287" s="104" t="s">
        <v>199</v>
      </c>
      <c r="D287" s="104"/>
      <c r="E287" s="104"/>
      <c r="F287" s="104"/>
      <c r="G287" s="103"/>
      <c r="H287" s="103"/>
      <c r="I287" s="39"/>
      <c r="L287" s="106"/>
      <c r="M287" s="106"/>
      <c r="N287" s="39"/>
    </row>
    <row r="288" spans="1:14" s="59" customFormat="1" x14ac:dyDescent="0.35">
      <c r="A288" s="103">
        <f t="shared" si="28"/>
        <v>4</v>
      </c>
      <c r="B288" s="103"/>
      <c r="C288" s="104"/>
      <c r="D288" s="104"/>
      <c r="E288" s="104"/>
      <c r="F288" s="104"/>
      <c r="G288" s="103"/>
      <c r="H288" s="103"/>
      <c r="I288" s="39"/>
      <c r="L288" s="106"/>
      <c r="M288" s="106"/>
      <c r="N288" s="39"/>
    </row>
    <row r="289" spans="1:16" s="59" customFormat="1" x14ac:dyDescent="0.35">
      <c r="A289" s="103">
        <f t="shared" si="28"/>
        <v>5</v>
      </c>
      <c r="B289" s="103"/>
      <c r="C289" s="55">
        <v>1</v>
      </c>
      <c r="D289" s="68">
        <f>(28.563+1*(1.275+2.65)+1*(2.75+2.75))*10.764</f>
        <v>408.90283199999999</v>
      </c>
      <c r="E289" s="90">
        <v>0</v>
      </c>
      <c r="F289" s="90">
        <f>D289*(($F$201)+1)+(IF(E289&lt;101,E289,IF(E289&lt;201,E289/2,IF(E289&lt;=301,E289/3,E289/4))))</f>
        <v>654.24453119999998</v>
      </c>
      <c r="G289" s="103"/>
      <c r="H289" s="103"/>
      <c r="I289" s="39"/>
      <c r="L289" s="106"/>
      <c r="M289" s="106"/>
      <c r="N289" s="39"/>
    </row>
    <row r="290" spans="1:16" s="59" customFormat="1" x14ac:dyDescent="0.35">
      <c r="A290" s="103">
        <f t="shared" si="28"/>
        <v>6</v>
      </c>
      <c r="B290" s="103"/>
      <c r="C290" s="55">
        <v>1</v>
      </c>
      <c r="D290" s="68">
        <f>(31.598+1*(1.275+2.65)+1*(2.75+2.75))*10.764</f>
        <v>441.57157199999995</v>
      </c>
      <c r="E290" s="90">
        <v>0</v>
      </c>
      <c r="F290" s="90">
        <f>D290*(($F$201)+1)+(IF(E290&lt;101,E290,IF(E290&lt;201,E290/2,IF(E290&lt;=301,E290/3,E290/4))))</f>
        <v>706.51451520000001</v>
      </c>
      <c r="G290" s="103"/>
      <c r="H290" s="103"/>
      <c r="I290" s="39"/>
      <c r="L290" s="106"/>
      <c r="M290" s="106"/>
      <c r="N290" s="39"/>
    </row>
    <row r="291" spans="1:16" s="59" customFormat="1" x14ac:dyDescent="0.35">
      <c r="A291" s="103">
        <f t="shared" si="28"/>
        <v>7</v>
      </c>
      <c r="B291" s="103"/>
      <c r="C291" s="55">
        <v>2</v>
      </c>
      <c r="D291" s="68">
        <f>(42.46+1*(2.3+2.6+2.2)+1*(2.75+2.75))*10.764</f>
        <v>592.66584</v>
      </c>
      <c r="E291" s="90">
        <v>0</v>
      </c>
      <c r="F291" s="90">
        <f>D291*(($F$201)+1)+(IF(E291&lt;101,E291,IF(E291&lt;201,E291/2,IF(E291&lt;=301,E291/3,E291/4))))</f>
        <v>948.26534400000003</v>
      </c>
      <c r="G291" s="103"/>
      <c r="H291" s="103"/>
      <c r="I291" s="39"/>
      <c r="L291" s="106"/>
      <c r="M291" s="106"/>
      <c r="N291" s="39"/>
    </row>
    <row r="292" spans="1:16" s="59" customFormat="1" x14ac:dyDescent="0.35">
      <c r="A292" s="103">
        <f t="shared" si="28"/>
        <v>8</v>
      </c>
      <c r="B292" s="103"/>
      <c r="C292" s="55">
        <v>2</v>
      </c>
      <c r="D292" s="68">
        <f>(42.46+1*(2.3+2.6+2.1)+1*(2.75+2.75))*10.764</f>
        <v>591.58943999999997</v>
      </c>
      <c r="E292" s="90">
        <v>0</v>
      </c>
      <c r="F292" s="90">
        <f>D292*(($F$201)+1)+(IF(E292&lt;101,E292,IF(E292&lt;201,E292/2,IF(E292&lt;=301,E292/3,E292/4))))</f>
        <v>946.54310399999997</v>
      </c>
      <c r="G292" s="103"/>
      <c r="H292" s="103"/>
      <c r="I292" s="39"/>
      <c r="L292" s="106"/>
      <c r="M292" s="106"/>
      <c r="N292" s="39"/>
    </row>
    <row r="293" spans="1:16" s="59" customFormat="1" x14ac:dyDescent="0.35">
      <c r="A293" s="103">
        <f t="shared" si="28"/>
        <v>9</v>
      </c>
      <c r="B293" s="103"/>
      <c r="C293" s="55">
        <v>2</v>
      </c>
      <c r="D293" s="68">
        <f>(42.46+1*(2.3+2.6+2.1)+1*(2.75+2.75))*10.764</f>
        <v>591.58943999999997</v>
      </c>
      <c r="E293" s="90">
        <v>0</v>
      </c>
      <c r="F293" s="90">
        <f t="shared" ref="F293:F296" si="29">D293*(($F$201)+1)+(IF(E293&lt;101,E293,IF(E293&lt;201,E293/2,IF(E293&lt;=301,E293/3,E293/4))))</f>
        <v>946.54310399999997</v>
      </c>
      <c r="G293" s="103"/>
      <c r="H293" s="103"/>
      <c r="I293" s="39"/>
      <c r="L293" s="106"/>
      <c r="M293" s="106"/>
      <c r="N293" s="39"/>
    </row>
    <row r="294" spans="1:16" s="59" customFormat="1" x14ac:dyDescent="0.35">
      <c r="A294" s="103">
        <f t="shared" si="28"/>
        <v>10</v>
      </c>
      <c r="B294" s="103"/>
      <c r="C294" s="55">
        <v>2</v>
      </c>
      <c r="D294" s="68">
        <f>(42.46+1*(2.3+2.6+2.2)+1*(2.75+2.75))*10.764</f>
        <v>592.66584</v>
      </c>
      <c r="E294" s="90">
        <v>0</v>
      </c>
      <c r="F294" s="90">
        <f t="shared" si="29"/>
        <v>948.26534400000003</v>
      </c>
      <c r="G294" s="103"/>
      <c r="H294" s="103"/>
      <c r="I294" s="39"/>
      <c r="L294" s="106"/>
      <c r="M294" s="106"/>
      <c r="N294" s="39"/>
    </row>
    <row r="295" spans="1:16" s="59" customFormat="1" x14ac:dyDescent="0.35">
      <c r="A295" s="103">
        <f t="shared" si="28"/>
        <v>11</v>
      </c>
      <c r="B295" s="103"/>
      <c r="C295" s="55">
        <v>1</v>
      </c>
      <c r="D295" s="68">
        <f>(31.598+1*(1.275+2.65)+1*(2.75+2.75))*10.764</f>
        <v>441.57157199999995</v>
      </c>
      <c r="E295" s="90">
        <v>0</v>
      </c>
      <c r="F295" s="90">
        <f t="shared" si="29"/>
        <v>706.51451520000001</v>
      </c>
      <c r="G295" s="103"/>
      <c r="H295" s="103"/>
      <c r="I295" s="39"/>
      <c r="L295" s="106"/>
      <c r="M295" s="106"/>
      <c r="N295" s="39"/>
    </row>
    <row r="296" spans="1:16" s="59" customFormat="1" x14ac:dyDescent="0.35">
      <c r="A296" s="103">
        <f t="shared" si="28"/>
        <v>12</v>
      </c>
      <c r="B296" s="103"/>
      <c r="C296" s="55">
        <v>1</v>
      </c>
      <c r="D296" s="68">
        <f>(28.563+1*(1.275+2.65)+1*(2.75+2.75))*10.764</f>
        <v>408.90283199999999</v>
      </c>
      <c r="E296" s="90">
        <v>0</v>
      </c>
      <c r="F296" s="90">
        <f t="shared" si="29"/>
        <v>654.24453119999998</v>
      </c>
      <c r="G296" s="103"/>
      <c r="H296" s="103"/>
      <c r="I296" s="39"/>
      <c r="L296" s="106"/>
      <c r="M296" s="106"/>
      <c r="N296" s="39"/>
    </row>
    <row r="297" spans="1:16" s="71" customFormat="1" hidden="1" x14ac:dyDescent="0.35">
      <c r="A297" s="117" t="s">
        <v>204</v>
      </c>
      <c r="B297" s="117"/>
      <c r="C297" s="117"/>
      <c r="D297" s="117"/>
      <c r="E297" s="117"/>
      <c r="F297" s="117"/>
      <c r="G297" s="117"/>
      <c r="H297" s="117"/>
      <c r="J297" s="39"/>
    </row>
    <row r="298" spans="1:16" s="71" customFormat="1" hidden="1" x14ac:dyDescent="0.35">
      <c r="A298" s="102" t="s">
        <v>207</v>
      </c>
      <c r="B298" s="102"/>
      <c r="C298" s="102"/>
      <c r="D298" s="102"/>
      <c r="E298" s="102"/>
      <c r="F298" s="102"/>
      <c r="G298" s="102"/>
      <c r="H298" s="102"/>
      <c r="J298" s="39"/>
    </row>
    <row r="299" spans="1:16" s="71" customFormat="1" ht="32.25" hidden="1" customHeight="1" x14ac:dyDescent="0.35">
      <c r="A299" s="102" t="s">
        <v>205</v>
      </c>
      <c r="B299" s="102"/>
      <c r="C299" s="102"/>
      <c r="D299" s="102"/>
      <c r="E299" s="102"/>
      <c r="F299" s="102"/>
      <c r="G299" s="102"/>
      <c r="H299" s="102"/>
      <c r="I299" s="39"/>
      <c r="P299" s="40"/>
    </row>
    <row r="300" spans="1:16" s="71" customFormat="1" ht="15.75" hidden="1" customHeight="1" x14ac:dyDescent="0.35">
      <c r="A300" s="103">
        <v>1</v>
      </c>
      <c r="B300" s="103"/>
      <c r="C300" s="55">
        <v>2</v>
      </c>
      <c r="D300" s="68">
        <f>(54.207+6.28)*10.764</f>
        <v>651.08206799999994</v>
      </c>
      <c r="E300" s="90">
        <v>0</v>
      </c>
      <c r="F300" s="90">
        <f t="shared" ref="F300:F307" si="30">D300*(($F$201)+1)+(IF(E300&lt;101,E300,IF(E300&lt;201,E300/2,IF(E300&lt;=301,E300/3,E300/4))))</f>
        <v>1041.7313087999999</v>
      </c>
      <c r="G300" s="103" t="str">
        <f>A299</f>
        <v>3rd to 6th, 8th to 10th, 12th to 14th, 16th to 18th, 20th to 22nd, 24th to 26th, 28th to 30th, 32nd to 34th, 36th to 38th &amp; 40th to 42nd Floor</v>
      </c>
      <c r="H300" s="103"/>
      <c r="I300" s="72"/>
      <c r="J300" s="73"/>
      <c r="K300" s="72"/>
    </row>
    <row r="301" spans="1:16" s="71" customFormat="1" hidden="1" x14ac:dyDescent="0.35">
      <c r="A301" s="103">
        <v>2</v>
      </c>
      <c r="B301" s="103"/>
      <c r="C301" s="55">
        <v>2</v>
      </c>
      <c r="D301" s="68">
        <f>(54.207+6.48)*10.764</f>
        <v>653.23486799999989</v>
      </c>
      <c r="E301" s="90">
        <v>0</v>
      </c>
      <c r="F301" s="90">
        <f t="shared" si="30"/>
        <v>1045.1757888</v>
      </c>
      <c r="G301" s="103"/>
      <c r="H301" s="103"/>
      <c r="I301" s="39"/>
    </row>
    <row r="302" spans="1:16" s="71" customFormat="1" ht="15.75" hidden="1" customHeight="1" x14ac:dyDescent="0.35">
      <c r="A302" s="103">
        <v>3</v>
      </c>
      <c r="B302" s="103"/>
      <c r="C302" s="55">
        <v>2</v>
      </c>
      <c r="D302" s="68">
        <f>(54.207+6.48)*10.764</f>
        <v>653.23486799999989</v>
      </c>
      <c r="E302" s="90">
        <v>0</v>
      </c>
      <c r="F302" s="90">
        <f t="shared" si="30"/>
        <v>1045.1757888</v>
      </c>
      <c r="G302" s="103"/>
      <c r="H302" s="103"/>
      <c r="I302" s="39"/>
    </row>
    <row r="303" spans="1:16" s="71" customFormat="1" ht="15.75" hidden="1" customHeight="1" x14ac:dyDescent="0.35">
      <c r="A303" s="103">
        <v>4</v>
      </c>
      <c r="B303" s="103"/>
      <c r="C303" s="55">
        <v>2</v>
      </c>
      <c r="D303" s="68">
        <f>(54.207+6.48)*10.764</f>
        <v>653.23486799999989</v>
      </c>
      <c r="E303" s="90">
        <v>0</v>
      </c>
      <c r="F303" s="90">
        <f t="shared" si="30"/>
        <v>1045.1757888</v>
      </c>
      <c r="G303" s="103"/>
      <c r="H303" s="103"/>
      <c r="I303" s="39"/>
    </row>
    <row r="304" spans="1:16" s="71" customFormat="1" ht="15.75" hidden="1" customHeight="1" x14ac:dyDescent="0.35">
      <c r="A304" s="103">
        <v>5</v>
      </c>
      <c r="B304" s="103"/>
      <c r="C304" s="55">
        <v>2</v>
      </c>
      <c r="D304" s="68">
        <f>(54.207+6.48)*10.764</f>
        <v>653.23486799999989</v>
      </c>
      <c r="E304" s="90">
        <v>0</v>
      </c>
      <c r="F304" s="90">
        <f t="shared" si="30"/>
        <v>1045.1757888</v>
      </c>
      <c r="G304" s="103"/>
      <c r="H304" s="103"/>
      <c r="I304" s="39"/>
    </row>
    <row r="305" spans="1:16" s="71" customFormat="1" ht="15.75" hidden="1" customHeight="1" x14ac:dyDescent="0.35">
      <c r="A305" s="103">
        <v>6</v>
      </c>
      <c r="B305" s="103"/>
      <c r="C305" s="55">
        <v>2</v>
      </c>
      <c r="D305" s="68">
        <f>(54.207+12.44)*10.764</f>
        <v>717.38830800000005</v>
      </c>
      <c r="E305" s="90">
        <v>0</v>
      </c>
      <c r="F305" s="90">
        <f t="shared" si="30"/>
        <v>1147.8212928</v>
      </c>
      <c r="G305" s="103"/>
      <c r="H305" s="103"/>
      <c r="I305" s="39"/>
    </row>
    <row r="306" spans="1:16" s="71" customFormat="1" ht="15.75" hidden="1" customHeight="1" x14ac:dyDescent="0.35">
      <c r="A306" s="103">
        <v>7</v>
      </c>
      <c r="B306" s="103"/>
      <c r="C306" s="55">
        <v>2</v>
      </c>
      <c r="D306" s="68">
        <f>(54.207)*10.764</f>
        <v>583.484148</v>
      </c>
      <c r="E306" s="90">
        <v>0</v>
      </c>
      <c r="F306" s="90">
        <f t="shared" si="30"/>
        <v>933.57463680000001</v>
      </c>
      <c r="G306" s="103"/>
      <c r="H306" s="103"/>
      <c r="I306" s="39"/>
    </row>
    <row r="307" spans="1:16" s="71" customFormat="1" ht="15.75" hidden="1" customHeight="1" x14ac:dyDescent="0.35">
      <c r="A307" s="103">
        <v>8</v>
      </c>
      <c r="B307" s="103"/>
      <c r="C307" s="55">
        <v>2</v>
      </c>
      <c r="D307" s="68">
        <f>(54.207)*10.764</f>
        <v>583.484148</v>
      </c>
      <c r="E307" s="90">
        <v>0</v>
      </c>
      <c r="F307" s="90">
        <f t="shared" si="30"/>
        <v>933.57463680000001</v>
      </c>
      <c r="G307" s="103"/>
      <c r="H307" s="103"/>
      <c r="I307" s="39"/>
    </row>
    <row r="308" spans="1:16" s="71" customFormat="1" hidden="1" x14ac:dyDescent="0.35">
      <c r="A308" s="102" t="s">
        <v>206</v>
      </c>
      <c r="B308" s="102"/>
      <c r="C308" s="102"/>
      <c r="D308" s="102"/>
      <c r="E308" s="102"/>
      <c r="F308" s="102"/>
      <c r="G308" s="102"/>
      <c r="H308" s="102"/>
      <c r="I308" s="39"/>
      <c r="P308" s="40"/>
    </row>
    <row r="309" spans="1:16" s="71" customFormat="1" ht="15.75" hidden="1" customHeight="1" x14ac:dyDescent="0.35">
      <c r="A309" s="103">
        <v>1</v>
      </c>
      <c r="B309" s="103"/>
      <c r="C309" s="55">
        <v>2</v>
      </c>
      <c r="D309" s="68">
        <f>(54.207+6.28)*10.764</f>
        <v>651.08206799999994</v>
      </c>
      <c r="E309" s="90">
        <v>0</v>
      </c>
      <c r="F309" s="90">
        <f>D309*(($F$201)+1)+(IF(E309&lt;101,E309,IF(E309&lt;201,E309/2,IF(E309&lt;=301,E309/3,E309/4))))</f>
        <v>1041.7313087999999</v>
      </c>
      <c r="G309" s="103" t="str">
        <f>A308</f>
        <v>7th, 11th, 15th, 19th, 23rd, 27th, 31st, 35th &amp; 39th Floor (Part Refuge Area)</v>
      </c>
      <c r="H309" s="103"/>
      <c r="I309" s="72"/>
      <c r="J309" s="73"/>
      <c r="K309" s="72"/>
      <c r="L309" s="73"/>
    </row>
    <row r="310" spans="1:16" s="71" customFormat="1" hidden="1" x14ac:dyDescent="0.35">
      <c r="A310" s="103">
        <v>2</v>
      </c>
      <c r="B310" s="103"/>
      <c r="C310" s="55">
        <v>2</v>
      </c>
      <c r="D310" s="68">
        <f>(54.207+6.48)*10.764</f>
        <v>653.23486799999989</v>
      </c>
      <c r="E310" s="90">
        <v>0</v>
      </c>
      <c r="F310" s="90">
        <f>D310*(($F$201)+1)+(IF(E310&lt;101,E310,IF(E310&lt;201,E310/2,IF(E310&lt;=301,E310/3,E310/4))))</f>
        <v>1045.1757888</v>
      </c>
      <c r="G310" s="103"/>
      <c r="H310" s="103"/>
      <c r="I310" s="39"/>
    </row>
    <row r="311" spans="1:16" s="71" customFormat="1" ht="15.75" hidden="1" customHeight="1" x14ac:dyDescent="0.35">
      <c r="A311" s="103">
        <v>3</v>
      </c>
      <c r="B311" s="103"/>
      <c r="C311" s="55">
        <v>2</v>
      </c>
      <c r="D311" s="68">
        <f>(54.207+6.48)*10.764</f>
        <v>653.23486799999989</v>
      </c>
      <c r="E311" s="90">
        <v>0</v>
      </c>
      <c r="F311" s="90">
        <f>D311*(($F$201)+1)+(IF(E311&lt;101,E311,IF(E311&lt;201,E311/2,IF(E311&lt;=301,E311/3,E311/4))))</f>
        <v>1045.1757888</v>
      </c>
      <c r="G311" s="103"/>
      <c r="H311" s="103"/>
      <c r="I311" s="39"/>
    </row>
    <row r="312" spans="1:16" s="71" customFormat="1" ht="15.75" hidden="1" customHeight="1" x14ac:dyDescent="0.35">
      <c r="A312" s="103">
        <v>4</v>
      </c>
      <c r="B312" s="103"/>
      <c r="C312" s="55">
        <v>2</v>
      </c>
      <c r="D312" s="68">
        <f>(54.207+6.68)*10.764</f>
        <v>655.38766799999996</v>
      </c>
      <c r="E312" s="90">
        <v>0</v>
      </c>
      <c r="F312" s="90">
        <f>D312*(($F$201)+1)+(IF(E312&lt;101,E312,IF(E312&lt;201,E312/2,IF(E312&lt;=301,E312/3,E312/4))))</f>
        <v>1048.6202688000001</v>
      </c>
      <c r="G312" s="103"/>
      <c r="H312" s="103"/>
      <c r="I312" s="39"/>
    </row>
    <row r="313" spans="1:16" s="71" customFormat="1" ht="15.75" hidden="1" customHeight="1" x14ac:dyDescent="0.35">
      <c r="A313" s="103">
        <v>5</v>
      </c>
      <c r="B313" s="103"/>
      <c r="C313" s="55">
        <v>2</v>
      </c>
      <c r="D313" s="68">
        <f>(54.207+12.88)*10.764</f>
        <v>722.12446799999998</v>
      </c>
      <c r="E313" s="90">
        <v>0</v>
      </c>
      <c r="F313" s="90">
        <f>D313*(($F$201)+1)+(IF(E313&lt;101,E313,IF(E313&lt;201,E313/2,IF(E313&lt;=301,E313/3,E313/4))))</f>
        <v>1155.3991487999999</v>
      </c>
      <c r="G313" s="103"/>
      <c r="H313" s="103"/>
      <c r="I313" s="39"/>
    </row>
    <row r="314" spans="1:16" s="71" customFormat="1" ht="15.75" hidden="1" customHeight="1" x14ac:dyDescent="0.35">
      <c r="A314" s="103">
        <v>6</v>
      </c>
      <c r="B314" s="103"/>
      <c r="C314" s="104" t="s">
        <v>199</v>
      </c>
      <c r="D314" s="104"/>
      <c r="E314" s="104"/>
      <c r="F314" s="104"/>
      <c r="G314" s="103"/>
      <c r="H314" s="103"/>
      <c r="I314" s="39"/>
    </row>
    <row r="315" spans="1:16" s="71" customFormat="1" ht="15.75" hidden="1" customHeight="1" x14ac:dyDescent="0.35">
      <c r="A315" s="103">
        <v>7</v>
      </c>
      <c r="B315" s="103"/>
      <c r="C315" s="55">
        <v>2</v>
      </c>
      <c r="D315" s="68">
        <f>(54.207)*10.764</f>
        <v>583.484148</v>
      </c>
      <c r="E315" s="90">
        <v>0</v>
      </c>
      <c r="F315" s="90">
        <f>D315*(($F$201)+1)+(IF(E315&lt;101,E315,IF(E315&lt;201,E315/2,IF(E315&lt;=301,E315/3,E315/4))))</f>
        <v>933.57463680000001</v>
      </c>
      <c r="G315" s="103"/>
      <c r="H315" s="103"/>
      <c r="I315" s="39"/>
    </row>
    <row r="316" spans="1:16" s="71" customFormat="1" ht="15.75" hidden="1" customHeight="1" x14ac:dyDescent="0.35">
      <c r="A316" s="103">
        <v>8</v>
      </c>
      <c r="B316" s="103"/>
      <c r="C316" s="55">
        <v>2</v>
      </c>
      <c r="D316" s="68">
        <f>(54.207)*10.764</f>
        <v>583.484148</v>
      </c>
      <c r="E316" s="90">
        <v>0</v>
      </c>
      <c r="F316" s="90">
        <f>D316*(($F$201)+1)+(IF(E316&lt;101,E316,IF(E316&lt;201,E316/2,IF(E316&lt;=301,E316/3,E316/4))))</f>
        <v>933.57463680000001</v>
      </c>
      <c r="G316" s="103"/>
      <c r="H316" s="103"/>
      <c r="I316" s="39"/>
    </row>
    <row r="317" spans="1:16" s="50" customFormat="1" hidden="1" x14ac:dyDescent="0.35">
      <c r="A317" s="102" t="s">
        <v>149</v>
      </c>
      <c r="B317" s="102"/>
      <c r="C317" s="102"/>
      <c r="D317" s="102"/>
      <c r="E317" s="102"/>
      <c r="F317" s="102"/>
      <c r="G317" s="102"/>
      <c r="H317" s="102"/>
      <c r="I317" s="39"/>
      <c r="P317" s="40"/>
    </row>
    <row r="318" spans="1:16" s="50" customFormat="1" hidden="1" x14ac:dyDescent="0.35">
      <c r="A318" s="103" t="str">
        <f ca="1">(SUMPRODUCT(MID(0&amp;(LEFT(A317,SUM(LEN(A317)-LEN(SUBSTITUTE(A317,{"0","1","2"},""))))), LARGE(INDEX(ISNUMBER(--MID((LEFT(A317,SUM(LEN(A317)-LEN(SUBSTITUTE(A317,{"0","1","2"},""))))), ROW(INDIRECT("1:"&amp;LEN((LEFT(A317,SUM(LEN(A317)-LEN(SUBSTITUTE(A317,{"0","1","2"},"")))))))), 1)) * ROW(INDIRECT("1:"&amp;LEN((LEFT(A317,SUM(LEN(A317)-LEN(SUBSTITUTE(A317,{"0","1","2"},"")))))))), 0), ROW(INDIRECT("1:"&amp;LEN((LEFT(A317,SUM(LEN(A317)-LEN(SUBSTITUTE(A317,{"0","1","2"},"")))))))))+1, 1) * 10^ROW(INDIRECT("1:"&amp;LEN((LEFT(A317,SUM(LEN(A317)-LEN(SUBSTITUTE(A317,{"0","1","2"},""))))))))/10))*100+1&amp;""&amp;" &amp; "&amp;""&amp;(SUMPRODUCT(MID(0&amp;(--TRIM(RIGHT(SUBSTITUTE(LEFT(A317,_xlfn.AGGREGATE(16,6,FIND({0,1,2,3,4,5,6,7,8,9},A317,ROW(INDIRECT("1:"&amp;LEN(A317)))),1))," ",REPT(" ",LEN(A317))),LEN(A317)))), LARGE(INDEX(ISNUMBER(--MID((--TRIM(RIGHT(SUBSTITUTE(LEFT(A317,_xlfn.AGGREGATE(16,6,FIND({0,1,2,3,4,5,6,7,8,9},A317,ROW(INDIRECT("1:"&amp;LEN(A317)))),1))," ",REPT(" ",LEN(A317))),LEN(A317)))), ROW(INDIRECT("1:"&amp;LEN((--TRIM(RIGHT(SUBSTITUTE(LEFT(A317,_xlfn.AGGREGATE(16,6,FIND({0,1,2,3,4,5,6,7,8,9},A317,ROW(INDIRECT("1:"&amp;LEN(A317)))),1))," ",REPT(" ",LEN(A317))),LEN(A317))))))), 1)) * ROW(INDIRECT("1:"&amp;LEN((--TRIM(RIGHT(SUBSTITUTE(LEFT(A317,_xlfn.AGGREGATE(16,6,FIND({0,1,2,3,4,5,6,7,8,9},A317,ROW(INDIRECT("1:"&amp;LEN(A317)))),1))," ",REPT(" ",LEN(A317))),LEN(A317))))))), 0), ROW(INDIRECT("1:"&amp;LEN((--TRIM(RIGHT(SUBSTITUTE(LEFT(A317,_xlfn.AGGREGATE(16,6,FIND({0,1,2,3,4,5,6,7,8,9},A317,ROW(INDIRECT("1:"&amp;LEN(A317)))),1))," ",REPT(" ",LEN(A317))),LEN(A317))))))))+1, 1) * 10^ROW(INDIRECT("1:"&amp;LEN((--TRIM(RIGHT(SUBSTITUTE(LEFT(A317,_xlfn.AGGREGATE(16,6,FIND({0,1,2,3,4,5,6,7,8,9},A317,ROW(INDIRECT("1:"&amp;LEN(A317)))),1))," ",REPT(" ",LEN(A317))),LEN(A317)))))))/10))*100+1</f>
        <v>201 &amp; 501</v>
      </c>
      <c r="B318" s="103"/>
      <c r="C318" s="55"/>
      <c r="D318" s="90"/>
      <c r="E318" s="90">
        <v>0</v>
      </c>
      <c r="F318" s="90">
        <f>D318*(($F$201)+1)+(IF(E318&lt;101,E318,IF(E318&lt;201,E318/2,IF(E318&lt;=301,E318/3,E318/4))))</f>
        <v>0</v>
      </c>
      <c r="G318" s="103" t="str">
        <f>A317</f>
        <v>2nd &amp; 5th Floor</v>
      </c>
      <c r="H318" s="103"/>
      <c r="I318" s="39"/>
    </row>
    <row r="319" spans="1:16" s="50" customFormat="1" hidden="1" x14ac:dyDescent="0.35">
      <c r="A319" s="103" t="str">
        <f ca="1">(SUMPRODUCT(MID(0&amp;(LEFT(A318,SUM(LEN(A318)-LEN(SUBSTITUTE(A318,{"0","1","2"},""))))), LARGE(INDEX(ISNUMBER(--MID((LEFT(A318,SUM(LEN(A318)-LEN(SUBSTITUTE(A318,{"0","1","2"},""))))), ROW(INDIRECT("1:"&amp;LEN((LEFT(A318,SUM(LEN(A318)-LEN(SUBSTITUTE(A318,{"0","1","2"},"")))))))), 1)) * ROW(INDIRECT("1:"&amp;LEN((LEFT(A318,SUM(LEN(A318)-LEN(SUBSTITUTE(A318,{"0","1","2"},"")))))))), 0), ROW(INDIRECT("1:"&amp;LEN((LEFT(A318,SUM(LEN(A318)-LEN(SUBSTITUTE(A318,{"0","1","2"},"")))))))))+1, 1) * 10^ROW(INDIRECT("1:"&amp;LEN((LEFT(A318,SUM(LEN(A318)-LEN(SUBSTITUTE(A318,{"0","1","2"},""))))))))/10))*1+1&amp;""&amp;" &amp; "&amp;""&amp;(SUMPRODUCT(MID(0&amp;(--TRIM(RIGHT(SUBSTITUTE(LEFT(A318,_xlfn.AGGREGATE(16,6,FIND({0,1,2,3,4,5,6,7,8,9},A318,ROW(INDIRECT("1:"&amp;LEN(A318)))),1))," ",REPT(" ",LEN(A318))),LEN(A318)))), LARGE(INDEX(ISNUMBER(--MID((--TRIM(RIGHT(SUBSTITUTE(LEFT(A318,_xlfn.AGGREGATE(16,6,FIND({0,1,2,3,4,5,6,7,8,9},A318,ROW(INDIRECT("1:"&amp;LEN(A318)))),1))," ",REPT(" ",LEN(A318))),LEN(A318)))), ROW(INDIRECT("1:"&amp;LEN((--TRIM(RIGHT(SUBSTITUTE(LEFT(A318,_xlfn.AGGREGATE(16,6,FIND({0,1,2,3,4,5,6,7,8,9},A318,ROW(INDIRECT("1:"&amp;LEN(A318)))),1))," ",REPT(" ",LEN(A318))),LEN(A318))))))), 1)) * ROW(INDIRECT("1:"&amp;LEN((--TRIM(RIGHT(SUBSTITUTE(LEFT(A318,_xlfn.AGGREGATE(16,6,FIND({0,1,2,3,4,5,6,7,8,9},A318,ROW(INDIRECT("1:"&amp;LEN(A318)))),1))," ",REPT(" ",LEN(A318))),LEN(A318))))))), 0), ROW(INDIRECT("1:"&amp;LEN((--TRIM(RIGHT(SUBSTITUTE(LEFT(A318,_xlfn.AGGREGATE(16,6,FIND({0,1,2,3,4,5,6,7,8,9},A318,ROW(INDIRECT("1:"&amp;LEN(A318)))),1))," ",REPT(" ",LEN(A318))),LEN(A318))))))))+1, 1) * 10^ROW(INDIRECT("1:"&amp;LEN((--TRIM(RIGHT(SUBSTITUTE(LEFT(A318,_xlfn.AGGREGATE(16,6,FIND({0,1,2,3,4,5,6,7,8,9},A318,ROW(INDIRECT("1:"&amp;LEN(A318)))),1))," ",REPT(" ",LEN(A318))),LEN(A318)))))))/10))*1+1</f>
        <v>202 &amp; 502</v>
      </c>
      <c r="B319" s="103"/>
      <c r="C319" s="55"/>
      <c r="D319" s="90"/>
      <c r="E319" s="90">
        <v>0</v>
      </c>
      <c r="F319" s="90">
        <f>D319*(($F$201)+1)+(IF(E319&lt;101,E319,IF(E319&lt;201,E319/2,IF(E319&lt;=301,E319/3,E319/4))))</f>
        <v>0</v>
      </c>
      <c r="G319" s="103" t="str">
        <f t="shared" ref="G319:G322" si="31">G318</f>
        <v>2nd &amp; 5th Floor</v>
      </c>
      <c r="H319" s="103"/>
      <c r="I319" s="39"/>
    </row>
    <row r="320" spans="1:16" s="50" customFormat="1" hidden="1" x14ac:dyDescent="0.35">
      <c r="A320" s="103" t="str">
        <f ca="1">(SUMPRODUCT(MID(0&amp;(LEFT(A319,SUM(LEN(A319)-LEN(SUBSTITUTE(A319,{"0","1","2"},""))))), LARGE(INDEX(ISNUMBER(--MID((LEFT(A319,SUM(LEN(A319)-LEN(SUBSTITUTE(A319,{"0","1","2"},""))))), ROW(INDIRECT("1:"&amp;LEN((LEFT(A319,SUM(LEN(A319)-LEN(SUBSTITUTE(A319,{"0","1","2"},"")))))))), 1)) * ROW(INDIRECT("1:"&amp;LEN((LEFT(A319,SUM(LEN(A319)-LEN(SUBSTITUTE(A319,{"0","1","2"},"")))))))), 0), ROW(INDIRECT("1:"&amp;LEN((LEFT(A319,SUM(LEN(A319)-LEN(SUBSTITUTE(A319,{"0","1","2"},"")))))))))+1, 1) * 10^ROW(INDIRECT("1:"&amp;LEN((LEFT(A319,SUM(LEN(A319)-LEN(SUBSTITUTE(A319,{"0","1","2"},""))))))))/10))*1+1&amp;""&amp;" &amp; "&amp;""&amp;(SUMPRODUCT(MID(0&amp;(--TRIM(RIGHT(SUBSTITUTE(LEFT(A319,_xlfn.AGGREGATE(16,6,FIND({0,1,2,3,4,5,6,7,8,9},A319,ROW(INDIRECT("1:"&amp;LEN(A319)))),1))," ",REPT(" ",LEN(A319))),LEN(A319)))), LARGE(INDEX(ISNUMBER(--MID((--TRIM(RIGHT(SUBSTITUTE(LEFT(A319,_xlfn.AGGREGATE(16,6,FIND({0,1,2,3,4,5,6,7,8,9},A319,ROW(INDIRECT("1:"&amp;LEN(A319)))),1))," ",REPT(" ",LEN(A319))),LEN(A319)))), ROW(INDIRECT("1:"&amp;LEN((--TRIM(RIGHT(SUBSTITUTE(LEFT(A319,_xlfn.AGGREGATE(16,6,FIND({0,1,2,3,4,5,6,7,8,9},A319,ROW(INDIRECT("1:"&amp;LEN(A319)))),1))," ",REPT(" ",LEN(A319))),LEN(A319))))))), 1)) * ROW(INDIRECT("1:"&amp;LEN((--TRIM(RIGHT(SUBSTITUTE(LEFT(A319,_xlfn.AGGREGATE(16,6,FIND({0,1,2,3,4,5,6,7,8,9},A319,ROW(INDIRECT("1:"&amp;LEN(A319)))),1))," ",REPT(" ",LEN(A319))),LEN(A319))))))), 0), ROW(INDIRECT("1:"&amp;LEN((--TRIM(RIGHT(SUBSTITUTE(LEFT(A319,_xlfn.AGGREGATE(16,6,FIND({0,1,2,3,4,5,6,7,8,9},A319,ROW(INDIRECT("1:"&amp;LEN(A319)))),1))," ",REPT(" ",LEN(A319))),LEN(A319))))))))+1, 1) * 10^ROW(INDIRECT("1:"&amp;LEN((--TRIM(RIGHT(SUBSTITUTE(LEFT(A319,_xlfn.AGGREGATE(16,6,FIND({0,1,2,3,4,5,6,7,8,9},A319,ROW(INDIRECT("1:"&amp;LEN(A319)))),1))," ",REPT(" ",LEN(A319))),LEN(A319)))))))/10))*1+1</f>
        <v>203 &amp; 503</v>
      </c>
      <c r="B320" s="103"/>
      <c r="C320" s="55"/>
      <c r="D320" s="90"/>
      <c r="E320" s="90">
        <v>0</v>
      </c>
      <c r="F320" s="90">
        <f>D320*(($F$201)+1)+(IF(E320&lt;101,E320,IF(E320&lt;201,E320/2,IF(E320&lt;=301,E320/3,E320/4))))</f>
        <v>0</v>
      </c>
      <c r="G320" s="103" t="str">
        <f t="shared" si="31"/>
        <v>2nd &amp; 5th Floor</v>
      </c>
      <c r="H320" s="103"/>
      <c r="I320" s="39"/>
    </row>
    <row r="321" spans="1:16" s="50" customFormat="1" hidden="1" x14ac:dyDescent="0.35">
      <c r="A321" s="103" t="str">
        <f ca="1">(SUMPRODUCT(MID(0&amp;(LEFT(A320,SUM(LEN(A320)-LEN(SUBSTITUTE(A320,{"0","1","2"},""))))), LARGE(INDEX(ISNUMBER(--MID((LEFT(A320,SUM(LEN(A320)-LEN(SUBSTITUTE(A320,{"0","1","2"},""))))), ROW(INDIRECT("1:"&amp;LEN((LEFT(A320,SUM(LEN(A320)-LEN(SUBSTITUTE(A320,{"0","1","2"},"")))))))), 1)) * ROW(INDIRECT("1:"&amp;LEN((LEFT(A320,SUM(LEN(A320)-LEN(SUBSTITUTE(A320,{"0","1","2"},"")))))))), 0), ROW(INDIRECT("1:"&amp;LEN((LEFT(A320,SUM(LEN(A320)-LEN(SUBSTITUTE(A320,{"0","1","2"},"")))))))))+1, 1) * 10^ROW(INDIRECT("1:"&amp;LEN((LEFT(A320,SUM(LEN(A320)-LEN(SUBSTITUTE(A320,{"0","1","2"},""))))))))/10))*1+1&amp;""&amp;" &amp; "&amp;""&amp;(SUMPRODUCT(MID(0&amp;(--TRIM(RIGHT(SUBSTITUTE(LEFT(A320,_xlfn.AGGREGATE(16,6,FIND({0,1,2,3,4,5,6,7,8,9},A320,ROW(INDIRECT("1:"&amp;LEN(A320)))),1))," ",REPT(" ",LEN(A320))),LEN(A320)))), LARGE(INDEX(ISNUMBER(--MID((--TRIM(RIGHT(SUBSTITUTE(LEFT(A320,_xlfn.AGGREGATE(16,6,FIND({0,1,2,3,4,5,6,7,8,9},A320,ROW(INDIRECT("1:"&amp;LEN(A320)))),1))," ",REPT(" ",LEN(A320))),LEN(A320)))), ROW(INDIRECT("1:"&amp;LEN((--TRIM(RIGHT(SUBSTITUTE(LEFT(A320,_xlfn.AGGREGATE(16,6,FIND({0,1,2,3,4,5,6,7,8,9},A320,ROW(INDIRECT("1:"&amp;LEN(A320)))),1))," ",REPT(" ",LEN(A320))),LEN(A320))))))), 1)) * ROW(INDIRECT("1:"&amp;LEN((--TRIM(RIGHT(SUBSTITUTE(LEFT(A320,_xlfn.AGGREGATE(16,6,FIND({0,1,2,3,4,5,6,7,8,9},A320,ROW(INDIRECT("1:"&amp;LEN(A320)))),1))," ",REPT(" ",LEN(A320))),LEN(A320))))))), 0), ROW(INDIRECT("1:"&amp;LEN((--TRIM(RIGHT(SUBSTITUTE(LEFT(A320,_xlfn.AGGREGATE(16,6,FIND({0,1,2,3,4,5,6,7,8,9},A320,ROW(INDIRECT("1:"&amp;LEN(A320)))),1))," ",REPT(" ",LEN(A320))),LEN(A320))))))))+1, 1) * 10^ROW(INDIRECT("1:"&amp;LEN((--TRIM(RIGHT(SUBSTITUTE(LEFT(A320,_xlfn.AGGREGATE(16,6,FIND({0,1,2,3,4,5,6,7,8,9},A320,ROW(INDIRECT("1:"&amp;LEN(A320)))),1))," ",REPT(" ",LEN(A320))),LEN(A320)))))))/10))*1+1</f>
        <v>204 &amp; 504</v>
      </c>
      <c r="B321" s="103"/>
      <c r="C321" s="55"/>
      <c r="D321" s="90"/>
      <c r="E321" s="90">
        <v>0</v>
      </c>
      <c r="F321" s="90">
        <f>D321*(($F$201)+1)+(IF(E321&lt;101,E321,IF(E321&lt;201,E321/2,IF(E321&lt;=301,E321/3,E321/4))))</f>
        <v>0</v>
      </c>
      <c r="G321" s="103" t="str">
        <f t="shared" si="31"/>
        <v>2nd &amp; 5th Floor</v>
      </c>
      <c r="H321" s="103"/>
      <c r="I321" s="39"/>
    </row>
    <row r="322" spans="1:16" s="50" customFormat="1" hidden="1" x14ac:dyDescent="0.35">
      <c r="A322" s="103" t="str">
        <f ca="1">(SUMPRODUCT(MID(0&amp;(LEFT(A321,SUM(LEN(A321)-LEN(SUBSTITUTE(A321,{"0","1","2"},""))))), LARGE(INDEX(ISNUMBER(--MID((LEFT(A321,SUM(LEN(A321)-LEN(SUBSTITUTE(A321,{"0","1","2"},""))))), ROW(INDIRECT("1:"&amp;LEN((LEFT(A321,SUM(LEN(A321)-LEN(SUBSTITUTE(A321,{"0","1","2"},"")))))))), 1)) * ROW(INDIRECT("1:"&amp;LEN((LEFT(A321,SUM(LEN(A321)-LEN(SUBSTITUTE(A321,{"0","1","2"},"")))))))), 0), ROW(INDIRECT("1:"&amp;LEN((LEFT(A321,SUM(LEN(A321)-LEN(SUBSTITUTE(A321,{"0","1","2"},"")))))))))+1, 1) * 10^ROW(INDIRECT("1:"&amp;LEN((LEFT(A321,SUM(LEN(A321)-LEN(SUBSTITUTE(A321,{"0","1","2"},""))))))))/10))*1+1&amp;""&amp;" &amp; "&amp;""&amp;(SUMPRODUCT(MID(0&amp;(--TRIM(RIGHT(SUBSTITUTE(LEFT(A321,_xlfn.AGGREGATE(16,6,FIND({0,1,2,3,4,5,6,7,8,9},A321,ROW(INDIRECT("1:"&amp;LEN(A321)))),1))," ",REPT(" ",LEN(A321))),LEN(A321)))), LARGE(INDEX(ISNUMBER(--MID((--TRIM(RIGHT(SUBSTITUTE(LEFT(A321,_xlfn.AGGREGATE(16,6,FIND({0,1,2,3,4,5,6,7,8,9},A321,ROW(INDIRECT("1:"&amp;LEN(A321)))),1))," ",REPT(" ",LEN(A321))),LEN(A321)))), ROW(INDIRECT("1:"&amp;LEN((--TRIM(RIGHT(SUBSTITUTE(LEFT(A321,_xlfn.AGGREGATE(16,6,FIND({0,1,2,3,4,5,6,7,8,9},A321,ROW(INDIRECT("1:"&amp;LEN(A321)))),1))," ",REPT(" ",LEN(A321))),LEN(A321))))))), 1)) * ROW(INDIRECT("1:"&amp;LEN((--TRIM(RIGHT(SUBSTITUTE(LEFT(A321,_xlfn.AGGREGATE(16,6,FIND({0,1,2,3,4,5,6,7,8,9},A321,ROW(INDIRECT("1:"&amp;LEN(A321)))),1))," ",REPT(" ",LEN(A321))),LEN(A321))))))), 0), ROW(INDIRECT("1:"&amp;LEN((--TRIM(RIGHT(SUBSTITUTE(LEFT(A321,_xlfn.AGGREGATE(16,6,FIND({0,1,2,3,4,5,6,7,8,9},A321,ROW(INDIRECT("1:"&amp;LEN(A321)))),1))," ",REPT(" ",LEN(A321))),LEN(A321))))))))+1, 1) * 10^ROW(INDIRECT("1:"&amp;LEN((--TRIM(RIGHT(SUBSTITUTE(LEFT(A321,_xlfn.AGGREGATE(16,6,FIND({0,1,2,3,4,5,6,7,8,9},A321,ROW(INDIRECT("1:"&amp;LEN(A321)))),1))," ",REPT(" ",LEN(A321))),LEN(A321)))))))/10))*1+1</f>
        <v>205 &amp; 505</v>
      </c>
      <c r="B322" s="103"/>
      <c r="C322" s="55"/>
      <c r="D322" s="90"/>
      <c r="E322" s="90">
        <v>0</v>
      </c>
      <c r="F322" s="90">
        <f>D322*(($F$201)+1)+(IF(E322&lt;101,E322,IF(E322&lt;201,E322/2,IF(E322&lt;=301,E322/3,E322/4))))</f>
        <v>0</v>
      </c>
      <c r="G322" s="103" t="str">
        <f t="shared" si="31"/>
        <v>2nd &amp; 5th Floor</v>
      </c>
      <c r="H322" s="103"/>
      <c r="I322" s="39"/>
    </row>
    <row r="323" spans="1:16" s="78" customFormat="1" x14ac:dyDescent="0.35">
      <c r="A323" s="102" t="s">
        <v>238</v>
      </c>
      <c r="B323" s="102"/>
      <c r="C323" s="102"/>
      <c r="D323" s="102"/>
      <c r="E323" s="102"/>
      <c r="F323" s="102"/>
      <c r="G323" s="102"/>
      <c r="H323" s="102"/>
      <c r="J323" s="39"/>
    </row>
    <row r="324" spans="1:16" s="78" customFormat="1" x14ac:dyDescent="0.35">
      <c r="A324" s="102" t="s">
        <v>201</v>
      </c>
      <c r="B324" s="102"/>
      <c r="C324" s="102"/>
      <c r="D324" s="102"/>
      <c r="E324" s="102"/>
      <c r="F324" s="102"/>
      <c r="G324" s="102"/>
      <c r="H324" s="102"/>
      <c r="J324" s="39"/>
    </row>
    <row r="325" spans="1:16" s="78" customFormat="1" x14ac:dyDescent="0.35">
      <c r="A325" s="102" t="s">
        <v>200</v>
      </c>
      <c r="B325" s="102"/>
      <c r="C325" s="102"/>
      <c r="D325" s="102"/>
      <c r="E325" s="102"/>
      <c r="F325" s="102"/>
      <c r="G325" s="102"/>
      <c r="H325" s="102"/>
      <c r="J325" s="39"/>
    </row>
    <row r="326" spans="1:16" s="78" customFormat="1" x14ac:dyDescent="0.35">
      <c r="A326" s="102" t="s">
        <v>234</v>
      </c>
      <c r="B326" s="102"/>
      <c r="C326" s="102"/>
      <c r="D326" s="102"/>
      <c r="E326" s="102"/>
      <c r="F326" s="102"/>
      <c r="G326" s="102"/>
      <c r="H326" s="102"/>
      <c r="I326" s="39"/>
      <c r="L326" s="106"/>
      <c r="M326" s="106"/>
    </row>
    <row r="327" spans="1:16" s="78" customFormat="1" x14ac:dyDescent="0.35">
      <c r="A327" s="114" t="s">
        <v>235</v>
      </c>
      <c r="B327" s="115"/>
      <c r="C327" s="115"/>
      <c r="D327" s="115"/>
      <c r="E327" s="115"/>
      <c r="F327" s="115"/>
      <c r="G327" s="115"/>
      <c r="H327" s="116"/>
      <c r="I327" s="39"/>
      <c r="P327" s="40"/>
    </row>
    <row r="328" spans="1:16" s="78" customFormat="1" ht="15.75" customHeight="1" x14ac:dyDescent="0.35">
      <c r="A328" s="100">
        <v>1</v>
      </c>
      <c r="B328" s="101"/>
      <c r="C328" s="111" t="s">
        <v>236</v>
      </c>
      <c r="D328" s="112"/>
      <c r="E328" s="112"/>
      <c r="F328" s="113"/>
      <c r="G328" s="107" t="str">
        <f>A327</f>
        <v>2nd Floor</v>
      </c>
      <c r="H328" s="108"/>
      <c r="I328" s="39"/>
    </row>
    <row r="329" spans="1:16" s="78" customFormat="1" x14ac:dyDescent="0.35">
      <c r="A329" s="100">
        <v>2</v>
      </c>
      <c r="B329" s="101"/>
      <c r="C329" s="55">
        <v>2</v>
      </c>
      <c r="D329" s="68">
        <f>(56.505)*10.764</f>
        <v>608.21982000000003</v>
      </c>
      <c r="E329" s="80">
        <v>0</v>
      </c>
      <c r="F329" s="80">
        <f t="shared" ref="F329:F334" si="32">D329*(($F$201)+1)+(IF(E329&lt;101,E329,IF(E329&lt;201,E329/2,IF(E329&lt;=301,E329/3,E329/4))))</f>
        <v>973.15171200000009</v>
      </c>
      <c r="G329" s="109"/>
      <c r="H329" s="110"/>
      <c r="I329" s="39">
        <f>3.1*4.05+1.625*2.9+2.75*2.15+2.75*3.4+3.05*3.7+3.4*2.75+1.25*2.1+1.2*2.1+2.1*1.5+0.9*2.75+0.9*1.2+0.5*1.25</f>
        <v>65.64</v>
      </c>
    </row>
    <row r="330" spans="1:16" s="78" customFormat="1" x14ac:dyDescent="0.35">
      <c r="A330" s="100">
        <v>3</v>
      </c>
      <c r="B330" s="101"/>
      <c r="C330" s="55" t="s">
        <v>240</v>
      </c>
      <c r="D330" s="68">
        <f>(73.02)*10.764</f>
        <v>785.98727999999994</v>
      </c>
      <c r="E330" s="80">
        <v>0</v>
      </c>
      <c r="F330" s="80">
        <f t="shared" si="32"/>
        <v>1257.5796479999999</v>
      </c>
      <c r="G330" s="109"/>
      <c r="H330" s="110"/>
      <c r="I330" s="39">
        <f>3.1*4.05+1*9*2.85+2.75*2.15+2.75*3.4+2.9*3.7+1.25*2.1+2.18*1.25+0.9*2.1*0.9*1.25+1.25*0.6+2.1*1.5</f>
        <v>75.573750000000004</v>
      </c>
    </row>
    <row r="331" spans="1:16" s="78" customFormat="1" x14ac:dyDescent="0.35">
      <c r="A331" s="100">
        <v>4</v>
      </c>
      <c r="B331" s="101"/>
      <c r="C331" s="55">
        <v>1</v>
      </c>
      <c r="D331" s="68">
        <f>(33.903)*10.764</f>
        <v>364.93189199999995</v>
      </c>
      <c r="E331" s="80">
        <v>0</v>
      </c>
      <c r="F331" s="80">
        <f t="shared" si="32"/>
        <v>583.89102719999994</v>
      </c>
      <c r="G331" s="109"/>
      <c r="H331" s="110"/>
      <c r="I331" s="39"/>
    </row>
    <row r="332" spans="1:16" s="78" customFormat="1" x14ac:dyDescent="0.35">
      <c r="A332" s="100">
        <v>5</v>
      </c>
      <c r="B332" s="101"/>
      <c r="C332" s="55">
        <v>1</v>
      </c>
      <c r="D332" s="68">
        <f>(31.12)*10.764</f>
        <v>334.97568000000001</v>
      </c>
      <c r="E332" s="80">
        <v>0</v>
      </c>
      <c r="F332" s="80">
        <f t="shared" si="32"/>
        <v>535.96108800000002</v>
      </c>
      <c r="G332" s="109"/>
      <c r="H332" s="110"/>
      <c r="I332" s="39"/>
    </row>
    <row r="333" spans="1:16" s="78" customFormat="1" ht="15.75" customHeight="1" x14ac:dyDescent="0.35">
      <c r="A333" s="100">
        <v>6</v>
      </c>
      <c r="B333" s="101"/>
      <c r="C333" s="55">
        <v>1</v>
      </c>
      <c r="D333" s="68">
        <f>(31.12)*10.764</f>
        <v>334.97568000000001</v>
      </c>
      <c r="E333" s="80">
        <v>0</v>
      </c>
      <c r="F333" s="80">
        <f t="shared" si="32"/>
        <v>535.96108800000002</v>
      </c>
      <c r="G333" s="109"/>
      <c r="H333" s="110"/>
      <c r="I333" s="39"/>
    </row>
    <row r="334" spans="1:16" s="78" customFormat="1" ht="15.75" customHeight="1" x14ac:dyDescent="0.35">
      <c r="A334" s="100">
        <v>7</v>
      </c>
      <c r="B334" s="101"/>
      <c r="C334" s="55">
        <v>2</v>
      </c>
      <c r="D334" s="68">
        <f>(52.92)*10.764</f>
        <v>569.63087999999993</v>
      </c>
      <c r="E334" s="80">
        <v>0</v>
      </c>
      <c r="F334" s="80">
        <f t="shared" si="32"/>
        <v>911.40940799999998</v>
      </c>
      <c r="G334" s="109"/>
      <c r="H334" s="110"/>
      <c r="I334" s="39"/>
    </row>
    <row r="335" spans="1:16" s="78" customFormat="1" ht="15.75" customHeight="1" x14ac:dyDescent="0.35">
      <c r="A335" s="100">
        <v>8</v>
      </c>
      <c r="B335" s="101"/>
      <c r="C335" s="210" t="s">
        <v>236</v>
      </c>
      <c r="D335" s="211"/>
      <c r="E335" s="211"/>
      <c r="F335" s="212"/>
      <c r="G335" s="109"/>
      <c r="H335" s="110"/>
      <c r="I335" s="39"/>
    </row>
    <row r="336" spans="1:16" s="78" customFormat="1" ht="15.75" customHeight="1" x14ac:dyDescent="0.35">
      <c r="A336" s="100">
        <v>9</v>
      </c>
      <c r="B336" s="101"/>
      <c r="C336" s="213"/>
      <c r="D336" s="214"/>
      <c r="E336" s="214"/>
      <c r="F336" s="215"/>
      <c r="G336" s="109"/>
      <c r="H336" s="110"/>
      <c r="I336" s="39"/>
    </row>
    <row r="337" spans="1:14" s="78" customFormat="1" ht="32.25" customHeight="1" x14ac:dyDescent="0.35">
      <c r="A337" s="114" t="s">
        <v>241</v>
      </c>
      <c r="B337" s="115"/>
      <c r="C337" s="115"/>
      <c r="D337" s="115"/>
      <c r="E337" s="115"/>
      <c r="F337" s="115"/>
      <c r="G337" s="115"/>
      <c r="H337" s="116"/>
      <c r="J337" s="39"/>
    </row>
    <row r="338" spans="1:14" s="78" customFormat="1" ht="15.75" customHeight="1" x14ac:dyDescent="0.35">
      <c r="A338" s="100">
        <v>1</v>
      </c>
      <c r="B338" s="101"/>
      <c r="C338" s="55">
        <v>2</v>
      </c>
      <c r="D338" s="68">
        <f>(43.103+6.4)*10.764</f>
        <v>532.85029199999997</v>
      </c>
      <c r="E338" s="80">
        <v>0</v>
      </c>
      <c r="F338" s="80">
        <f>D338*(($F$201)+1)+(IF(E338&lt;101,E338,IF(E338&lt;201,E338/2,IF(E338&lt;=301,E338/3,E338/4))))</f>
        <v>852.56046719999995</v>
      </c>
      <c r="G338" s="107" t="str">
        <f>A337</f>
        <v>3rd to 6th, 8th to 10th, 12th to 14th, 16th to 18th, 20th to 22nd, 24th to 26th, 28th to 30th,  32nd to 34th, 36th to 38th &amp; 40th to 43rd Floor</v>
      </c>
      <c r="H338" s="108"/>
      <c r="I338" s="39"/>
      <c r="L338" s="106"/>
      <c r="M338" s="106"/>
      <c r="N338" s="39"/>
    </row>
    <row r="339" spans="1:14" s="78" customFormat="1" x14ac:dyDescent="0.35">
      <c r="A339" s="100">
        <f t="shared" ref="A339:A346" si="33">A338+1</f>
        <v>2</v>
      </c>
      <c r="B339" s="101"/>
      <c r="C339" s="55">
        <v>2</v>
      </c>
      <c r="D339" s="68">
        <f>(56.917+3.15)*10.764</f>
        <v>646.56118800000002</v>
      </c>
      <c r="E339" s="80">
        <v>0</v>
      </c>
      <c r="F339" s="80">
        <f>D339*(($F$201)+1)+(IF(E339&lt;101,E339,IF(E339&lt;201,E339/2,IF(E339&lt;=301,E339/3,E339/4))))</f>
        <v>1034.4979008</v>
      </c>
      <c r="G339" s="109"/>
      <c r="H339" s="110"/>
      <c r="I339" s="39"/>
      <c r="L339" s="106"/>
      <c r="M339" s="106"/>
      <c r="N339" s="39"/>
    </row>
    <row r="340" spans="1:14" s="78" customFormat="1" x14ac:dyDescent="0.35">
      <c r="A340" s="100">
        <f t="shared" si="33"/>
        <v>3</v>
      </c>
      <c r="B340" s="101"/>
      <c r="C340" s="55" t="s">
        <v>240</v>
      </c>
      <c r="D340" s="68">
        <f>(73.432+3.15)*10.764</f>
        <v>824.32864800000004</v>
      </c>
      <c r="E340" s="80">
        <v>0</v>
      </c>
      <c r="F340" s="80">
        <f t="shared" ref="F340:F343" si="34">D340*(($F$201)+1)+(IF(E340&lt;101,E340,IF(E340&lt;201,E340/2,IF(E340&lt;=301,E340/3,E340/4))))</f>
        <v>1318.9258368000001</v>
      </c>
      <c r="G340" s="109"/>
      <c r="H340" s="110"/>
      <c r="I340" s="39"/>
      <c r="L340" s="106"/>
      <c r="M340" s="106"/>
      <c r="N340" s="39"/>
    </row>
    <row r="341" spans="1:14" s="78" customFormat="1" x14ac:dyDescent="0.35">
      <c r="A341" s="100">
        <f t="shared" si="33"/>
        <v>4</v>
      </c>
      <c r="B341" s="101"/>
      <c r="C341" s="55">
        <v>1</v>
      </c>
      <c r="D341" s="68">
        <f>(31.566+6.3)*10.764</f>
        <v>407.58962399999996</v>
      </c>
      <c r="E341" s="80">
        <v>0</v>
      </c>
      <c r="F341" s="80">
        <f t="shared" si="34"/>
        <v>652.14339840000002</v>
      </c>
      <c r="G341" s="109"/>
      <c r="H341" s="110"/>
      <c r="I341" s="39"/>
      <c r="L341" s="106"/>
      <c r="M341" s="106"/>
      <c r="N341" s="39"/>
    </row>
    <row r="342" spans="1:14" s="78" customFormat="1" x14ac:dyDescent="0.35">
      <c r="A342" s="100">
        <f t="shared" si="33"/>
        <v>5</v>
      </c>
      <c r="B342" s="101"/>
      <c r="C342" s="55">
        <v>1</v>
      </c>
      <c r="D342" s="68">
        <f>(28.783+6.25)*10.764</f>
        <v>377.095212</v>
      </c>
      <c r="E342" s="80">
        <v>0</v>
      </c>
      <c r="F342" s="80">
        <f t="shared" si="34"/>
        <v>603.35233920000007</v>
      </c>
      <c r="G342" s="109"/>
      <c r="H342" s="110"/>
      <c r="I342" s="39"/>
      <c r="L342" s="106"/>
      <c r="M342" s="106"/>
      <c r="N342" s="39"/>
    </row>
    <row r="343" spans="1:14" s="78" customFormat="1" x14ac:dyDescent="0.35">
      <c r="A343" s="100">
        <f t="shared" si="33"/>
        <v>6</v>
      </c>
      <c r="B343" s="101"/>
      <c r="C343" s="55">
        <v>1</v>
      </c>
      <c r="D343" s="68">
        <f>(28.783+6.25)*10.764</f>
        <v>377.095212</v>
      </c>
      <c r="E343" s="80">
        <v>0</v>
      </c>
      <c r="F343" s="80">
        <f t="shared" si="34"/>
        <v>603.35233920000007</v>
      </c>
      <c r="G343" s="109"/>
      <c r="H343" s="110"/>
      <c r="I343" s="39">
        <f>4500000/F342</f>
        <v>7458.3285878474626</v>
      </c>
      <c r="J343" s="78">
        <f>7000*F342</f>
        <v>4223466.3744000001</v>
      </c>
      <c r="L343" s="106"/>
      <c r="M343" s="106"/>
      <c r="N343" s="39"/>
    </row>
    <row r="344" spans="1:14" s="78" customFormat="1" x14ac:dyDescent="0.35">
      <c r="A344" s="100">
        <f t="shared" si="33"/>
        <v>7</v>
      </c>
      <c r="B344" s="101"/>
      <c r="C344" s="55">
        <v>2</v>
      </c>
      <c r="D344" s="68">
        <f>(53.333+3.15)*10.764</f>
        <v>607.98301199999992</v>
      </c>
      <c r="E344" s="80">
        <v>0</v>
      </c>
      <c r="F344" s="80">
        <f>D344*(($F$201)+1)+(IF(E344&lt;101,E344,IF(E344&lt;201,E344/2,IF(E344&lt;=301,E344/3,E344/4))))</f>
        <v>972.77281919999996</v>
      </c>
      <c r="G344" s="109"/>
      <c r="H344" s="110"/>
      <c r="I344" s="39"/>
      <c r="L344" s="106"/>
      <c r="M344" s="106"/>
      <c r="N344" s="39"/>
    </row>
    <row r="345" spans="1:14" s="78" customFormat="1" x14ac:dyDescent="0.35">
      <c r="A345" s="100">
        <f t="shared" si="33"/>
        <v>8</v>
      </c>
      <c r="B345" s="101"/>
      <c r="C345" s="55">
        <v>2</v>
      </c>
      <c r="D345" s="68">
        <f>(53.333+3.15)*10.764</f>
        <v>607.98301199999992</v>
      </c>
      <c r="E345" s="80">
        <v>0</v>
      </c>
      <c r="F345" s="80">
        <f>D345*(($F$201)+1)+(IF(E345&lt;101,E345,IF(E345&lt;201,E345/2,IF(E345&lt;=301,E345/3,E345/4))))</f>
        <v>972.77281919999996</v>
      </c>
      <c r="G345" s="109"/>
      <c r="H345" s="110"/>
      <c r="I345" s="39"/>
      <c r="L345" s="106"/>
      <c r="M345" s="106"/>
      <c r="N345" s="39"/>
    </row>
    <row r="346" spans="1:14" s="78" customFormat="1" x14ac:dyDescent="0.35">
      <c r="A346" s="100">
        <f t="shared" si="33"/>
        <v>9</v>
      </c>
      <c r="B346" s="101"/>
      <c r="C346" s="55" t="s">
        <v>242</v>
      </c>
      <c r="D346" s="68">
        <f>(31.575+6.4)*10.764</f>
        <v>408.7629</v>
      </c>
      <c r="E346" s="80">
        <v>0</v>
      </c>
      <c r="F346" s="80">
        <f>D346*(($F$201)+1)+(IF(E346&lt;101,E346,IF(E346&lt;201,E346/2,IF(E346&lt;=301,E346/3,E346/4))))</f>
        <v>654.02064000000007</v>
      </c>
      <c r="G346" s="109"/>
      <c r="H346" s="110"/>
      <c r="I346" s="39"/>
      <c r="L346" s="106"/>
      <c r="M346" s="106"/>
      <c r="N346" s="39"/>
    </row>
    <row r="347" spans="1:14" s="78" customFormat="1" x14ac:dyDescent="0.35">
      <c r="A347" s="114" t="s">
        <v>206</v>
      </c>
      <c r="B347" s="115"/>
      <c r="C347" s="115"/>
      <c r="D347" s="115"/>
      <c r="E347" s="115"/>
      <c r="F347" s="115"/>
      <c r="G347" s="115"/>
      <c r="H347" s="116"/>
      <c r="J347" s="39"/>
    </row>
    <row r="348" spans="1:14" s="85" customFormat="1" ht="15.75" customHeight="1" x14ac:dyDescent="0.35">
      <c r="A348" s="100">
        <v>1</v>
      </c>
      <c r="B348" s="101"/>
      <c r="C348" s="55">
        <v>2</v>
      </c>
      <c r="D348" s="68">
        <f>(43.103+6.4)*10.764</f>
        <v>532.85029199999997</v>
      </c>
      <c r="E348" s="86">
        <v>0</v>
      </c>
      <c r="F348" s="86">
        <f>D348*(($F$201)+1)+(IF(E348&lt;101,E348,IF(E348&lt;201,E348/2,IF(E348&lt;=301,E348/3,E348/4))))</f>
        <v>852.56046719999995</v>
      </c>
      <c r="G348" s="107" t="str">
        <f>A347</f>
        <v>7th, 11th, 15th, 19th, 23rd, 27th, 31st, 35th &amp; 39th Floor (Part Refuge Area)</v>
      </c>
      <c r="H348" s="108"/>
      <c r="I348" s="39"/>
      <c r="L348" s="106"/>
      <c r="M348" s="106"/>
      <c r="N348" s="39"/>
    </row>
    <row r="349" spans="1:14" s="85" customFormat="1" x14ac:dyDescent="0.35">
      <c r="A349" s="100">
        <f t="shared" ref="A349:A356" si="35">A348+1</f>
        <v>2</v>
      </c>
      <c r="B349" s="101"/>
      <c r="C349" s="111" t="s">
        <v>199</v>
      </c>
      <c r="D349" s="112"/>
      <c r="E349" s="112"/>
      <c r="F349" s="113"/>
      <c r="G349" s="109"/>
      <c r="H349" s="110"/>
      <c r="I349" s="39"/>
      <c r="L349" s="106"/>
      <c r="M349" s="106"/>
      <c r="N349" s="39"/>
    </row>
    <row r="350" spans="1:14" s="85" customFormat="1" x14ac:dyDescent="0.35">
      <c r="A350" s="100">
        <f t="shared" si="35"/>
        <v>3</v>
      </c>
      <c r="B350" s="101"/>
      <c r="C350" s="55" t="s">
        <v>240</v>
      </c>
      <c r="D350" s="68">
        <f>(73.432+3.15)*10.764</f>
        <v>824.32864800000004</v>
      </c>
      <c r="E350" s="86">
        <v>0</v>
      </c>
      <c r="F350" s="86">
        <f t="shared" ref="F350:F353" si="36">D350*(($F$201)+1)+(IF(E350&lt;101,E350,IF(E350&lt;201,E350/2,IF(E350&lt;=301,E350/3,E350/4))))</f>
        <v>1318.9258368000001</v>
      </c>
      <c r="G350" s="109"/>
      <c r="H350" s="110"/>
      <c r="I350" s="39"/>
      <c r="L350" s="106"/>
      <c r="M350" s="106"/>
      <c r="N350" s="39"/>
    </row>
    <row r="351" spans="1:14" s="85" customFormat="1" x14ac:dyDescent="0.35">
      <c r="A351" s="100">
        <f t="shared" si="35"/>
        <v>4</v>
      </c>
      <c r="B351" s="101"/>
      <c r="C351" s="55">
        <v>1</v>
      </c>
      <c r="D351" s="68">
        <f>(31.566+6.3)*10.764</f>
        <v>407.58962399999996</v>
      </c>
      <c r="E351" s="86">
        <v>0</v>
      </c>
      <c r="F351" s="86">
        <f t="shared" si="36"/>
        <v>652.14339840000002</v>
      </c>
      <c r="G351" s="109"/>
      <c r="H351" s="110"/>
      <c r="I351" s="39"/>
      <c r="L351" s="106"/>
      <c r="M351" s="106"/>
      <c r="N351" s="39"/>
    </row>
    <row r="352" spans="1:14" s="85" customFormat="1" x14ac:dyDescent="0.35">
      <c r="A352" s="100">
        <f t="shared" si="35"/>
        <v>5</v>
      </c>
      <c r="B352" s="101"/>
      <c r="C352" s="55">
        <v>1</v>
      </c>
      <c r="D352" s="68">
        <f>(28.783+6.25)*10.764</f>
        <v>377.095212</v>
      </c>
      <c r="E352" s="86">
        <v>0</v>
      </c>
      <c r="F352" s="86">
        <f t="shared" si="36"/>
        <v>603.35233920000007</v>
      </c>
      <c r="G352" s="109"/>
      <c r="H352" s="110"/>
      <c r="I352" s="39"/>
      <c r="L352" s="106"/>
      <c r="M352" s="106"/>
      <c r="N352" s="39"/>
    </row>
    <row r="353" spans="1:14" s="85" customFormat="1" x14ac:dyDescent="0.35">
      <c r="A353" s="100">
        <f t="shared" si="35"/>
        <v>6</v>
      </c>
      <c r="B353" s="101"/>
      <c r="C353" s="55">
        <v>1</v>
      </c>
      <c r="D353" s="68">
        <f>(28.783+6.25)*10.764</f>
        <v>377.095212</v>
      </c>
      <c r="E353" s="86">
        <v>0</v>
      </c>
      <c r="F353" s="86">
        <f t="shared" si="36"/>
        <v>603.35233920000007</v>
      </c>
      <c r="G353" s="109"/>
      <c r="H353" s="110"/>
      <c r="I353" s="39">
        <f>4500000/F352</f>
        <v>7458.3285878474626</v>
      </c>
      <c r="J353" s="85">
        <f>7000*F352</f>
        <v>4223466.3744000001</v>
      </c>
      <c r="L353" s="106"/>
      <c r="M353" s="106"/>
      <c r="N353" s="39"/>
    </row>
    <row r="354" spans="1:14" s="85" customFormat="1" x14ac:dyDescent="0.35">
      <c r="A354" s="100">
        <f t="shared" si="35"/>
        <v>7</v>
      </c>
      <c r="B354" s="101"/>
      <c r="C354" s="55">
        <v>2</v>
      </c>
      <c r="D354" s="68">
        <f>(53.333+3.15)*10.764</f>
        <v>607.98301199999992</v>
      </c>
      <c r="E354" s="86">
        <v>0</v>
      </c>
      <c r="F354" s="86">
        <f>D354*(($F$201)+1)+(IF(E354&lt;101,E354,IF(E354&lt;201,E354/2,IF(E354&lt;=301,E354/3,E354/4))))</f>
        <v>972.77281919999996</v>
      </c>
      <c r="G354" s="109"/>
      <c r="H354" s="110"/>
      <c r="I354" s="39"/>
      <c r="L354" s="106"/>
      <c r="M354" s="106"/>
      <c r="N354" s="39"/>
    </row>
    <row r="355" spans="1:14" s="85" customFormat="1" x14ac:dyDescent="0.35">
      <c r="A355" s="100">
        <f t="shared" si="35"/>
        <v>8</v>
      </c>
      <c r="B355" s="101"/>
      <c r="C355" s="55">
        <v>2</v>
      </c>
      <c r="D355" s="68">
        <f>(53.333+3.15)*10.764</f>
        <v>607.98301199999992</v>
      </c>
      <c r="E355" s="86">
        <v>0</v>
      </c>
      <c r="F355" s="86">
        <f>D355*(($F$201)+1)+(IF(E355&lt;101,E355,IF(E355&lt;201,E355/2,IF(E355&lt;=301,E355/3,E355/4))))</f>
        <v>972.77281919999996</v>
      </c>
      <c r="G355" s="109"/>
      <c r="H355" s="110"/>
      <c r="I355" s="39"/>
      <c r="L355" s="106"/>
      <c r="M355" s="106"/>
      <c r="N355" s="39"/>
    </row>
    <row r="356" spans="1:14" s="85" customFormat="1" x14ac:dyDescent="0.35">
      <c r="A356" s="100">
        <f t="shared" si="35"/>
        <v>9</v>
      </c>
      <c r="B356" s="101"/>
      <c r="C356" s="55" t="s">
        <v>242</v>
      </c>
      <c r="D356" s="68">
        <f>(31.575+6.4)*10.764</f>
        <v>408.7629</v>
      </c>
      <c r="E356" s="86">
        <v>0</v>
      </c>
      <c r="F356" s="86">
        <f t="shared" ref="F356" si="37">D356*(($F$201)+1)+(IF(E356&lt;101,E356,IF(E356&lt;201,E356/2,IF(E356&lt;=301,E356/3,E356/4))))</f>
        <v>654.02064000000007</v>
      </c>
      <c r="G356" s="109"/>
      <c r="H356" s="110"/>
      <c r="I356" s="39"/>
      <c r="L356" s="106"/>
      <c r="M356" s="106"/>
      <c r="N356" s="39"/>
    </row>
    <row r="357" spans="1:14" s="38" customFormat="1" x14ac:dyDescent="0.35">
      <c r="A357" s="118" t="s">
        <v>69</v>
      </c>
      <c r="B357" s="118"/>
      <c r="C357" s="118"/>
      <c r="D357" s="118"/>
      <c r="E357" s="118"/>
      <c r="F357" s="118"/>
      <c r="G357" s="118"/>
      <c r="H357" s="118"/>
    </row>
    <row r="358" spans="1:14" s="66" customFormat="1" x14ac:dyDescent="0.35">
      <c r="A358" s="65" t="s">
        <v>157</v>
      </c>
      <c r="B358" s="105" t="s">
        <v>251</v>
      </c>
      <c r="C358" s="105"/>
      <c r="D358" s="105"/>
      <c r="E358" s="105"/>
      <c r="F358" s="105"/>
      <c r="G358" s="105"/>
      <c r="H358" s="105"/>
    </row>
    <row r="359" spans="1:14" s="38" customFormat="1" x14ac:dyDescent="0.35">
      <c r="A359" s="62" t="s">
        <v>157</v>
      </c>
      <c r="B359" s="105" t="str">
        <f>(IF(F200="Saleable area Loading :","We have considered Saleable area of Flats as per our Calculation.","We considered Saleable area of Flat as per Builder area Sheet."))</f>
        <v>We have considered Saleable area of Flats as per our Calculation.</v>
      </c>
      <c r="C359" s="105"/>
      <c r="D359" s="105"/>
      <c r="E359" s="105"/>
      <c r="F359" s="105"/>
      <c r="G359" s="105"/>
      <c r="H359" s="105"/>
    </row>
    <row r="360" spans="1:14" s="38" customFormat="1" x14ac:dyDescent="0.35">
      <c r="A360" s="62" t="s">
        <v>157</v>
      </c>
      <c r="B360" s="105" t="str">
        <f>(IF(F144="Saleable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60" s="105"/>
      <c r="D360" s="105"/>
      <c r="E360" s="105"/>
      <c r="F360" s="105"/>
      <c r="G360" s="105"/>
      <c r="H360" s="105"/>
    </row>
    <row r="361" spans="1:14" s="38" customFormat="1" x14ac:dyDescent="0.35">
      <c r="A361" s="62" t="s">
        <v>157</v>
      </c>
      <c r="B361" s="119" t="s">
        <v>126</v>
      </c>
      <c r="C361" s="119"/>
      <c r="D361" s="119"/>
      <c r="E361" s="119"/>
      <c r="F361" s="119"/>
      <c r="G361" s="119"/>
      <c r="H361" s="119"/>
    </row>
    <row r="362" spans="1:14" s="38" customFormat="1" x14ac:dyDescent="0.35">
      <c r="A362" s="62" t="s">
        <v>157</v>
      </c>
      <c r="B362" s="105" t="s">
        <v>209</v>
      </c>
      <c r="C362" s="105"/>
      <c r="D362" s="105"/>
      <c r="E362" s="105"/>
      <c r="F362" s="105"/>
      <c r="G362" s="105"/>
      <c r="H362" s="105"/>
    </row>
    <row r="363" spans="1:14" s="38" customFormat="1" x14ac:dyDescent="0.35">
      <c r="A363" s="62" t="s">
        <v>157</v>
      </c>
      <c r="B363" s="119" t="s">
        <v>156</v>
      </c>
      <c r="C363" s="119"/>
      <c r="D363" s="119"/>
      <c r="E363" s="119"/>
      <c r="F363" s="119"/>
      <c r="G363" s="119"/>
      <c r="H363" s="119"/>
    </row>
    <row r="364" spans="1:14" s="38" customFormat="1" x14ac:dyDescent="0.35">
      <c r="A364" s="62" t="s">
        <v>157</v>
      </c>
      <c r="B364" s="119" t="s">
        <v>127</v>
      </c>
      <c r="C364" s="119"/>
      <c r="D364" s="119"/>
      <c r="E364" s="119"/>
      <c r="F364" s="119"/>
      <c r="G364" s="119"/>
      <c r="H364" s="119"/>
    </row>
    <row r="365" spans="1:14" s="38" customFormat="1" ht="34.5" customHeight="1" x14ac:dyDescent="0.35">
      <c r="A365" s="62" t="s">
        <v>157</v>
      </c>
      <c r="B365" s="119" t="s">
        <v>158</v>
      </c>
      <c r="C365" s="119"/>
      <c r="D365" s="119"/>
      <c r="E365" s="119"/>
      <c r="F365" s="119"/>
      <c r="G365" s="119"/>
      <c r="H365" s="119"/>
    </row>
    <row r="366" spans="1:14" s="38" customFormat="1" x14ac:dyDescent="0.35">
      <c r="A366" s="62" t="s">
        <v>157</v>
      </c>
      <c r="B366" s="119" t="s">
        <v>128</v>
      </c>
      <c r="C366" s="119"/>
      <c r="D366" s="119"/>
      <c r="E366" s="119"/>
      <c r="F366" s="119"/>
      <c r="G366" s="119"/>
      <c r="H366" s="119"/>
    </row>
    <row r="367" spans="1:14" s="66" customFormat="1" hidden="1" x14ac:dyDescent="0.35">
      <c r="A367" s="65" t="s">
        <v>157</v>
      </c>
      <c r="B367" s="166" t="s">
        <v>252</v>
      </c>
      <c r="C367" s="167"/>
      <c r="D367" s="167"/>
      <c r="E367" s="167"/>
      <c r="F367" s="167"/>
      <c r="G367" s="167"/>
      <c r="H367" s="168"/>
    </row>
    <row r="368" spans="1:14" s="38" customFormat="1" x14ac:dyDescent="0.35">
      <c r="A368" s="62" t="s">
        <v>157</v>
      </c>
      <c r="B368" s="94" t="s">
        <v>222</v>
      </c>
      <c r="C368" s="95"/>
      <c r="D368" s="95"/>
      <c r="E368" s="95"/>
      <c r="F368" s="95"/>
      <c r="G368" s="95"/>
      <c r="H368" s="96"/>
    </row>
    <row r="369" spans="1:8" s="38" customFormat="1" ht="33.75" customHeight="1" x14ac:dyDescent="0.35">
      <c r="A369" s="62" t="s">
        <v>157</v>
      </c>
      <c r="B369" s="94" t="s">
        <v>247</v>
      </c>
      <c r="C369" s="95"/>
      <c r="D369" s="95"/>
      <c r="E369" s="95"/>
      <c r="F369" s="95"/>
      <c r="G369" s="95"/>
      <c r="H369" s="96"/>
    </row>
    <row r="370" spans="1:8" s="38" customFormat="1" ht="62.5" customHeight="1" x14ac:dyDescent="0.35">
      <c r="A370" s="62" t="s">
        <v>157</v>
      </c>
      <c r="B370" s="94" t="s">
        <v>250</v>
      </c>
      <c r="C370" s="95"/>
      <c r="D370" s="95"/>
      <c r="E370" s="95"/>
      <c r="F370" s="95"/>
      <c r="G370" s="95"/>
      <c r="H370" s="96"/>
    </row>
    <row r="371" spans="1:8" s="38" customFormat="1" x14ac:dyDescent="0.35">
      <c r="A371" s="62" t="s">
        <v>157</v>
      </c>
      <c r="B371" s="94" t="s">
        <v>254</v>
      </c>
      <c r="C371" s="95"/>
      <c r="D371" s="95"/>
      <c r="E371" s="95"/>
      <c r="F371" s="95"/>
      <c r="G371" s="95"/>
      <c r="H371" s="96"/>
    </row>
    <row r="372" spans="1:8" x14ac:dyDescent="0.35">
      <c r="A372" s="153" t="s">
        <v>62</v>
      </c>
      <c r="B372" s="153"/>
      <c r="C372" s="153"/>
      <c r="D372" s="153"/>
      <c r="E372" s="153"/>
      <c r="F372" s="153"/>
      <c r="G372" s="153"/>
      <c r="H372" s="153"/>
    </row>
    <row r="373" spans="1:8" x14ac:dyDescent="0.35">
      <c r="A373" s="120" t="s">
        <v>63</v>
      </c>
      <c r="B373" s="120"/>
      <c r="C373" s="120"/>
      <c r="D373" s="120"/>
      <c r="E373" s="120"/>
      <c r="F373" s="120"/>
      <c r="G373" s="120"/>
      <c r="H373" s="120"/>
    </row>
    <row r="374" spans="1:8" ht="15.75" customHeight="1" x14ac:dyDescent="0.35">
      <c r="A374" s="121" t="s">
        <v>64</v>
      </c>
      <c r="B374" s="121"/>
      <c r="C374" s="121"/>
      <c r="D374" s="121"/>
      <c r="E374" s="121"/>
      <c r="F374" s="121"/>
      <c r="G374" s="121"/>
      <c r="H374" s="121"/>
    </row>
    <row r="375" spans="1:8" x14ac:dyDescent="0.35">
      <c r="A375" s="120" t="s">
        <v>65</v>
      </c>
      <c r="B375" s="120"/>
      <c r="C375" s="120"/>
      <c r="D375" s="120"/>
      <c r="E375" s="120"/>
      <c r="F375" s="120"/>
      <c r="G375" s="120"/>
      <c r="H375" s="120"/>
    </row>
    <row r="376" spans="1:8" x14ac:dyDescent="0.35">
      <c r="A376" s="120" t="s">
        <v>66</v>
      </c>
      <c r="B376" s="120"/>
      <c r="C376" s="120"/>
      <c r="D376" s="120"/>
      <c r="E376" s="120"/>
      <c r="F376" s="120"/>
      <c r="G376" s="120"/>
      <c r="H376" s="120"/>
    </row>
    <row r="377" spans="1:8" x14ac:dyDescent="0.35">
      <c r="A377" s="120" t="s">
        <v>129</v>
      </c>
      <c r="B377" s="120"/>
      <c r="C377" s="120"/>
      <c r="D377" s="120"/>
      <c r="E377" s="120"/>
      <c r="F377" s="120"/>
      <c r="G377" s="120"/>
      <c r="H377" s="120"/>
    </row>
    <row r="378" spans="1:8" ht="35.25" customHeight="1" x14ac:dyDescent="0.35">
      <c r="A378" s="140" t="s">
        <v>130</v>
      </c>
      <c r="B378" s="140"/>
      <c r="C378" s="140"/>
      <c r="D378" s="140"/>
      <c r="E378" s="140"/>
      <c r="F378" s="140"/>
      <c r="G378" s="140"/>
      <c r="H378" s="140"/>
    </row>
    <row r="379" spans="1:8" x14ac:dyDescent="0.35">
      <c r="A379" s="165" t="s">
        <v>78</v>
      </c>
      <c r="B379" s="165"/>
      <c r="C379" s="165" t="s">
        <v>255</v>
      </c>
      <c r="D379" s="165"/>
      <c r="E379" s="165" t="s">
        <v>107</v>
      </c>
      <c r="F379" s="165"/>
      <c r="G379" s="165" t="s">
        <v>253</v>
      </c>
      <c r="H379" s="165"/>
    </row>
    <row r="380" spans="1:8" x14ac:dyDescent="0.35">
      <c r="A380" s="164" t="s">
        <v>80</v>
      </c>
      <c r="B380" s="164"/>
      <c r="C380" s="164"/>
      <c r="D380" s="164"/>
      <c r="E380" s="164"/>
      <c r="F380" s="164"/>
      <c r="G380" s="164"/>
      <c r="H380" s="164"/>
    </row>
    <row r="381" spans="1:8" x14ac:dyDescent="0.35">
      <c r="A381" s="164"/>
      <c r="B381" s="164"/>
      <c r="C381" s="164"/>
      <c r="D381" s="164"/>
      <c r="E381" s="164"/>
      <c r="F381" s="164"/>
      <c r="G381" s="164"/>
      <c r="H381" s="164"/>
    </row>
    <row r="382" spans="1:8" x14ac:dyDescent="0.35">
      <c r="A382" s="164"/>
      <c r="B382" s="164"/>
      <c r="C382" s="164"/>
      <c r="D382" s="164"/>
      <c r="E382" s="164"/>
      <c r="F382" s="164"/>
      <c r="G382" s="164"/>
      <c r="H382" s="164"/>
    </row>
    <row r="383" spans="1:8" x14ac:dyDescent="0.35">
      <c r="A383" s="164"/>
      <c r="B383" s="164"/>
      <c r="C383" s="164"/>
      <c r="D383" s="164"/>
      <c r="E383" s="164"/>
      <c r="F383" s="164"/>
      <c r="G383" s="164"/>
      <c r="H383" s="164"/>
    </row>
    <row r="384" spans="1:8" x14ac:dyDescent="0.35">
      <c r="A384" s="41" t="s">
        <v>67</v>
      </c>
      <c r="B384" s="42"/>
      <c r="C384" s="42"/>
      <c r="D384" s="41" t="str">
        <f>E8</f>
        <v>Arihant Aspire Phase I &amp; II</v>
      </c>
      <c r="F384" s="42"/>
      <c r="G384" s="42"/>
      <c r="H384" s="42"/>
    </row>
    <row r="385" spans="1:8" x14ac:dyDescent="0.35">
      <c r="A385" s="42"/>
      <c r="B385" s="42"/>
      <c r="C385" s="42"/>
      <c r="D385" s="42"/>
      <c r="E385" s="42"/>
      <c r="F385" s="42"/>
      <c r="G385" s="42"/>
      <c r="H385" s="42"/>
    </row>
    <row r="386" spans="1:8" x14ac:dyDescent="0.35">
      <c r="A386" s="42"/>
      <c r="B386" s="42"/>
      <c r="C386" s="42"/>
      <c r="D386" s="42"/>
      <c r="E386" s="42"/>
      <c r="F386" s="42"/>
      <c r="G386" s="42"/>
      <c r="H386" s="42"/>
    </row>
    <row r="387" spans="1:8" ht="15" customHeight="1" x14ac:dyDescent="0.35"/>
    <row r="428" spans="1:1" x14ac:dyDescent="0.35">
      <c r="A428" s="44"/>
    </row>
    <row r="470" spans="1:1" x14ac:dyDescent="0.35">
      <c r="A470" s="44" t="s">
        <v>68</v>
      </c>
    </row>
  </sheetData>
  <mergeCells count="646">
    <mergeCell ref="L339:M339"/>
    <mergeCell ref="A340:B340"/>
    <mergeCell ref="L340:M340"/>
    <mergeCell ref="B371:H371"/>
    <mergeCell ref="L343:M343"/>
    <mergeCell ref="A344:B344"/>
    <mergeCell ref="L344:M344"/>
    <mergeCell ref="A345:B345"/>
    <mergeCell ref="L345:M345"/>
    <mergeCell ref="A346:B346"/>
    <mergeCell ref="L346:M346"/>
    <mergeCell ref="A349:B349"/>
    <mergeCell ref="L349:M349"/>
    <mergeCell ref="A347:H347"/>
    <mergeCell ref="A194:B194"/>
    <mergeCell ref="L194:M194"/>
    <mergeCell ref="A195:B195"/>
    <mergeCell ref="L195:M195"/>
    <mergeCell ref="A196:B196"/>
    <mergeCell ref="L196:M196"/>
    <mergeCell ref="A197:B197"/>
    <mergeCell ref="L197:M197"/>
    <mergeCell ref="A198:B198"/>
    <mergeCell ref="L198:M198"/>
    <mergeCell ref="L189:M189"/>
    <mergeCell ref="A190:B190"/>
    <mergeCell ref="L190:M190"/>
    <mergeCell ref="A191:B191"/>
    <mergeCell ref="L191:M191"/>
    <mergeCell ref="A192:B192"/>
    <mergeCell ref="L192:M192"/>
    <mergeCell ref="A193:B193"/>
    <mergeCell ref="L193:M193"/>
    <mergeCell ref="L341:M341"/>
    <mergeCell ref="A342:B342"/>
    <mergeCell ref="L342:M342"/>
    <mergeCell ref="L279:M279"/>
    <mergeCell ref="A280:B280"/>
    <mergeCell ref="L280:M280"/>
    <mergeCell ref="A281:B281"/>
    <mergeCell ref="L281:M281"/>
    <mergeCell ref="A328:B328"/>
    <mergeCell ref="G328:H336"/>
    <mergeCell ref="A329:B329"/>
    <mergeCell ref="A330:B330"/>
    <mergeCell ref="A331:B331"/>
    <mergeCell ref="A332:B332"/>
    <mergeCell ref="A333:B333"/>
    <mergeCell ref="A334:B334"/>
    <mergeCell ref="A335:B335"/>
    <mergeCell ref="A336:B336"/>
    <mergeCell ref="C335:F336"/>
    <mergeCell ref="C328:F328"/>
    <mergeCell ref="G272:H283"/>
    <mergeCell ref="A290:B290"/>
    <mergeCell ref="L290:M290"/>
    <mergeCell ref="L338:M338"/>
    <mergeCell ref="L326:M326"/>
    <mergeCell ref="A213:B213"/>
    <mergeCell ref="G206:H213"/>
    <mergeCell ref="A232:H232"/>
    <mergeCell ref="A233:B233"/>
    <mergeCell ref="G233:H240"/>
    <mergeCell ref="A234:B234"/>
    <mergeCell ref="A235:B235"/>
    <mergeCell ref="A236:B236"/>
    <mergeCell ref="A237:B237"/>
    <mergeCell ref="A238:B238"/>
    <mergeCell ref="A239:B239"/>
    <mergeCell ref="A240:B240"/>
    <mergeCell ref="C208:F210"/>
    <mergeCell ref="L294:M294"/>
    <mergeCell ref="L291:M291"/>
    <mergeCell ref="A292:B292"/>
    <mergeCell ref="L278:M278"/>
    <mergeCell ref="A279:B279"/>
    <mergeCell ref="L167:M167"/>
    <mergeCell ref="A251:B251"/>
    <mergeCell ref="A252:B252"/>
    <mergeCell ref="A100:B100"/>
    <mergeCell ref="C100:H100"/>
    <mergeCell ref="A102:B102"/>
    <mergeCell ref="C102:H102"/>
    <mergeCell ref="A103:B103"/>
    <mergeCell ref="E103:F103"/>
    <mergeCell ref="G103:H103"/>
    <mergeCell ref="A104:B104"/>
    <mergeCell ref="E104:F113"/>
    <mergeCell ref="G104:H113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205:H205"/>
    <mergeCell ref="A206:B206"/>
    <mergeCell ref="E39:H39"/>
    <mergeCell ref="A172:B172"/>
    <mergeCell ref="A168:B168"/>
    <mergeCell ref="C140:D140"/>
    <mergeCell ref="E140:F140"/>
    <mergeCell ref="G140:H140"/>
    <mergeCell ref="C137:D137"/>
    <mergeCell ref="E40:H40"/>
    <mergeCell ref="E41:H41"/>
    <mergeCell ref="E42:H42"/>
    <mergeCell ref="E43:H43"/>
    <mergeCell ref="E44:H44"/>
    <mergeCell ref="D64:H64"/>
    <mergeCell ref="A62:C64"/>
    <mergeCell ref="A51:B51"/>
    <mergeCell ref="C51:E51"/>
    <mergeCell ref="G51:H51"/>
    <mergeCell ref="A117:E117"/>
    <mergeCell ref="A114:E114"/>
    <mergeCell ref="C144:C145"/>
    <mergeCell ref="A40:D40"/>
    <mergeCell ref="G50:H50"/>
    <mergeCell ref="A82:B82"/>
    <mergeCell ref="L275:M275"/>
    <mergeCell ref="L272:M272"/>
    <mergeCell ref="L273:M273"/>
    <mergeCell ref="L274:M274"/>
    <mergeCell ref="A253:B253"/>
    <mergeCell ref="A178:H178"/>
    <mergeCell ref="L174:M174"/>
    <mergeCell ref="A175:B175"/>
    <mergeCell ref="L171:M171"/>
    <mergeCell ref="L172:M172"/>
    <mergeCell ref="A173:B173"/>
    <mergeCell ref="A171:B171"/>
    <mergeCell ref="A179:H179"/>
    <mergeCell ref="A180:H180"/>
    <mergeCell ref="A181:B181"/>
    <mergeCell ref="L181:M181"/>
    <mergeCell ref="A182:B182"/>
    <mergeCell ref="L182:M182"/>
    <mergeCell ref="A183:B183"/>
    <mergeCell ref="L183:M183"/>
    <mergeCell ref="A184:B184"/>
    <mergeCell ref="L184:M184"/>
    <mergeCell ref="A185:B185"/>
    <mergeCell ref="L185:M185"/>
    <mergeCell ref="A177:B177"/>
    <mergeCell ref="L177:M177"/>
    <mergeCell ref="A264:B264"/>
    <mergeCell ref="A265:B265"/>
    <mergeCell ref="A262:B262"/>
    <mergeCell ref="A263:B263"/>
    <mergeCell ref="B200:B201"/>
    <mergeCell ref="A258:H258"/>
    <mergeCell ref="L245:M245"/>
    <mergeCell ref="A259:B259"/>
    <mergeCell ref="A260:B260"/>
    <mergeCell ref="A261:B261"/>
    <mergeCell ref="A249:B249"/>
    <mergeCell ref="A243:H243"/>
    <mergeCell ref="A244:H244"/>
    <mergeCell ref="A256:B256"/>
    <mergeCell ref="A257:B257"/>
    <mergeCell ref="A186:B186"/>
    <mergeCell ref="L186:M186"/>
    <mergeCell ref="A187:B187"/>
    <mergeCell ref="L187:M187"/>
    <mergeCell ref="A188:B188"/>
    <mergeCell ref="L188:M188"/>
    <mergeCell ref="A189:B189"/>
    <mergeCell ref="C15:H15"/>
    <mergeCell ref="A37:B37"/>
    <mergeCell ref="C37:H37"/>
    <mergeCell ref="C133:D133"/>
    <mergeCell ref="E133:F133"/>
    <mergeCell ref="G133:H133"/>
    <mergeCell ref="A88:B88"/>
    <mergeCell ref="C88:H88"/>
    <mergeCell ref="A89:B89"/>
    <mergeCell ref="E89:F89"/>
    <mergeCell ref="G89:H89"/>
    <mergeCell ref="A121:E121"/>
    <mergeCell ref="A123:E123"/>
    <mergeCell ref="F117:H117"/>
    <mergeCell ref="A122:E122"/>
    <mergeCell ref="E129:F129"/>
    <mergeCell ref="A129:B129"/>
    <mergeCell ref="F122:H122"/>
    <mergeCell ref="C129:D129"/>
    <mergeCell ref="A120:E120"/>
    <mergeCell ref="F120:H120"/>
    <mergeCell ref="F125:H125"/>
    <mergeCell ref="F123:H123"/>
    <mergeCell ref="A39:D39"/>
    <mergeCell ref="A47:B47"/>
    <mergeCell ref="C47:H47"/>
    <mergeCell ref="B363:H363"/>
    <mergeCell ref="G90:H99"/>
    <mergeCell ref="A91:B91"/>
    <mergeCell ref="A92:B92"/>
    <mergeCell ref="A93:B93"/>
    <mergeCell ref="F116:H116"/>
    <mergeCell ref="A116:E116"/>
    <mergeCell ref="D144:D145"/>
    <mergeCell ref="A118:E118"/>
    <mergeCell ref="A163:B163"/>
    <mergeCell ref="A164:B164"/>
    <mergeCell ref="A165:B165"/>
    <mergeCell ref="F118:H118"/>
    <mergeCell ref="F124:H124"/>
    <mergeCell ref="A291:B291"/>
    <mergeCell ref="C287:F288"/>
    <mergeCell ref="G246:H257"/>
    <mergeCell ref="C256:F257"/>
    <mergeCell ref="A241:H241"/>
    <mergeCell ref="A254:B254"/>
    <mergeCell ref="A255:B255"/>
    <mergeCell ref="A276:B276"/>
    <mergeCell ref="G259:H270"/>
    <mergeCell ref="C269:F270"/>
    <mergeCell ref="L277:M277"/>
    <mergeCell ref="A199:H199"/>
    <mergeCell ref="A204:H204"/>
    <mergeCell ref="A207:B207"/>
    <mergeCell ref="A208:B208"/>
    <mergeCell ref="A209:B209"/>
    <mergeCell ref="A210:B210"/>
    <mergeCell ref="A211:B211"/>
    <mergeCell ref="A212:B212"/>
    <mergeCell ref="A275:B275"/>
    <mergeCell ref="A203:H203"/>
    <mergeCell ref="A202:H202"/>
    <mergeCell ref="A214:H214"/>
    <mergeCell ref="A273:B273"/>
    <mergeCell ref="A274:B274"/>
    <mergeCell ref="A272:B272"/>
    <mergeCell ref="A200:A201"/>
    <mergeCell ref="A250:B250"/>
    <mergeCell ref="A242:H242"/>
    <mergeCell ref="A247:B247"/>
    <mergeCell ref="A248:B248"/>
    <mergeCell ref="L276:M276"/>
    <mergeCell ref="L165:M165"/>
    <mergeCell ref="L164:M164"/>
    <mergeCell ref="L163:M163"/>
    <mergeCell ref="C200:C201"/>
    <mergeCell ref="A271:H271"/>
    <mergeCell ref="A167:B167"/>
    <mergeCell ref="A218:B218"/>
    <mergeCell ref="A215:B215"/>
    <mergeCell ref="A166:B166"/>
    <mergeCell ref="A266:B266"/>
    <mergeCell ref="A267:B267"/>
    <mergeCell ref="A268:B268"/>
    <mergeCell ref="A269:B269"/>
    <mergeCell ref="A270:B270"/>
    <mergeCell ref="L175:M175"/>
    <mergeCell ref="A176:B176"/>
    <mergeCell ref="L176:M176"/>
    <mergeCell ref="L168:M168"/>
    <mergeCell ref="A169:B169"/>
    <mergeCell ref="L169:M169"/>
    <mergeCell ref="A170:B170"/>
    <mergeCell ref="L170:M170"/>
    <mergeCell ref="L173:M173"/>
    <mergeCell ref="A174:B174"/>
    <mergeCell ref="A124:E124"/>
    <mergeCell ref="C130:D130"/>
    <mergeCell ref="E130:F130"/>
    <mergeCell ref="E141:F141"/>
    <mergeCell ref="A125:E125"/>
    <mergeCell ref="G141:H141"/>
    <mergeCell ref="A159:H159"/>
    <mergeCell ref="G138:H138"/>
    <mergeCell ref="A149:H149"/>
    <mergeCell ref="A150:B150"/>
    <mergeCell ref="A154:B154"/>
    <mergeCell ref="A158:B158"/>
    <mergeCell ref="G137:H137"/>
    <mergeCell ref="A160:H160"/>
    <mergeCell ref="A161:H161"/>
    <mergeCell ref="G139:H139"/>
    <mergeCell ref="C131:D131"/>
    <mergeCell ref="A143:H143"/>
    <mergeCell ref="A141:B141"/>
    <mergeCell ref="A277:B277"/>
    <mergeCell ref="L166:M166"/>
    <mergeCell ref="F121:H121"/>
    <mergeCell ref="L152:M152"/>
    <mergeCell ref="L153:M153"/>
    <mergeCell ref="A220:B220"/>
    <mergeCell ref="A221:B221"/>
    <mergeCell ref="A222:B222"/>
    <mergeCell ref="G215:H222"/>
    <mergeCell ref="A223:H223"/>
    <mergeCell ref="A224:B224"/>
    <mergeCell ref="G224:H231"/>
    <mergeCell ref="A225:B225"/>
    <mergeCell ref="L154:M154"/>
    <mergeCell ref="G150:H158"/>
    <mergeCell ref="G163:H177"/>
    <mergeCell ref="G181:H198"/>
    <mergeCell ref="G129:H129"/>
    <mergeCell ref="A115:E115"/>
    <mergeCell ref="A162:H162"/>
    <mergeCell ref="E144:E145"/>
    <mergeCell ref="G144:H145"/>
    <mergeCell ref="A90:B90"/>
    <mergeCell ref="E90:F99"/>
    <mergeCell ref="A97:B97"/>
    <mergeCell ref="A98:B98"/>
    <mergeCell ref="A99:B99"/>
    <mergeCell ref="F114:H114"/>
    <mergeCell ref="F119:H119"/>
    <mergeCell ref="A142:H142"/>
    <mergeCell ref="E131:F131"/>
    <mergeCell ref="G131:H131"/>
    <mergeCell ref="A130:A131"/>
    <mergeCell ref="A138:A139"/>
    <mergeCell ref="B144:B145"/>
    <mergeCell ref="A144:A145"/>
    <mergeCell ref="C141:D141"/>
    <mergeCell ref="A119:E119"/>
    <mergeCell ref="A146:H146"/>
    <mergeCell ref="A147:H147"/>
    <mergeCell ref="A148:H148"/>
    <mergeCell ref="A153:B153"/>
    <mergeCell ref="A35:H35"/>
    <mergeCell ref="A34:B34"/>
    <mergeCell ref="C34:E34"/>
    <mergeCell ref="F31:H31"/>
    <mergeCell ref="F32:H32"/>
    <mergeCell ref="A38:H38"/>
    <mergeCell ref="A65:C65"/>
    <mergeCell ref="A66:C66"/>
    <mergeCell ref="D65:H65"/>
    <mergeCell ref="D66:H66"/>
    <mergeCell ref="A42:D42"/>
    <mergeCell ref="E45:H45"/>
    <mergeCell ref="A43:D43"/>
    <mergeCell ref="F34:H34"/>
    <mergeCell ref="A36:B36"/>
    <mergeCell ref="E36:F36"/>
    <mergeCell ref="C36:D36"/>
    <mergeCell ref="G36:H36"/>
    <mergeCell ref="A44:D44"/>
    <mergeCell ref="A45:D45"/>
    <mergeCell ref="A46:H46"/>
    <mergeCell ref="D61:H61"/>
    <mergeCell ref="A61:C61"/>
    <mergeCell ref="G48:H48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31:B31"/>
    <mergeCell ref="A30:B30"/>
    <mergeCell ref="C31:E31"/>
    <mergeCell ref="A32:B32"/>
    <mergeCell ref="C32:E32"/>
    <mergeCell ref="E20:H21"/>
    <mergeCell ref="E12:H12"/>
    <mergeCell ref="A13:B13"/>
    <mergeCell ref="C13:H13"/>
    <mergeCell ref="C14:H14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5:B15"/>
    <mergeCell ref="A67:C67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20:D21"/>
    <mergeCell ref="A70:C70"/>
    <mergeCell ref="D70:H70"/>
    <mergeCell ref="A76:B76"/>
    <mergeCell ref="G75:H75"/>
    <mergeCell ref="E76:F85"/>
    <mergeCell ref="G76:H85"/>
    <mergeCell ref="A84:B84"/>
    <mergeCell ref="A85:B85"/>
    <mergeCell ref="A83:B83"/>
    <mergeCell ref="A80:B80"/>
    <mergeCell ref="A75:B75"/>
    <mergeCell ref="A78:B78"/>
    <mergeCell ref="A74:B74"/>
    <mergeCell ref="A72:B72"/>
    <mergeCell ref="C72:H72"/>
    <mergeCell ref="A380:H383"/>
    <mergeCell ref="A379:B379"/>
    <mergeCell ref="E379:F379"/>
    <mergeCell ref="C379:D379"/>
    <mergeCell ref="G379:H379"/>
    <mergeCell ref="A128:H128"/>
    <mergeCell ref="A126:E126"/>
    <mergeCell ref="F126:H126"/>
    <mergeCell ref="A127:E127"/>
    <mergeCell ref="F127:H127"/>
    <mergeCell ref="A245:H245"/>
    <mergeCell ref="A217:B217"/>
    <mergeCell ref="A375:H375"/>
    <mergeCell ref="A136:H136"/>
    <mergeCell ref="A378:H378"/>
    <mergeCell ref="A376:H376"/>
    <mergeCell ref="A372:H372"/>
    <mergeCell ref="A373:H373"/>
    <mergeCell ref="E137:F137"/>
    <mergeCell ref="B366:H366"/>
    <mergeCell ref="B367:H367"/>
    <mergeCell ref="C138:D138"/>
    <mergeCell ref="E138:F138"/>
    <mergeCell ref="A294:B294"/>
    <mergeCell ref="A49:B49"/>
    <mergeCell ref="C49:E49"/>
    <mergeCell ref="G49:H49"/>
    <mergeCell ref="A52:B53"/>
    <mergeCell ref="C52:E52"/>
    <mergeCell ref="G52:H52"/>
    <mergeCell ref="C53:H53"/>
    <mergeCell ref="B364:H364"/>
    <mergeCell ref="B360:H360"/>
    <mergeCell ref="A320:B320"/>
    <mergeCell ref="G320:H320"/>
    <mergeCell ref="G319:H319"/>
    <mergeCell ref="A317:H317"/>
    <mergeCell ref="A318:B318"/>
    <mergeCell ref="A319:B319"/>
    <mergeCell ref="A322:B322"/>
    <mergeCell ref="B359:H359"/>
    <mergeCell ref="B361:H361"/>
    <mergeCell ref="B362:H362"/>
    <mergeCell ref="D67:H67"/>
    <mergeCell ref="C74:H74"/>
    <mergeCell ref="A77:B77"/>
    <mergeCell ref="A79:B79"/>
    <mergeCell ref="E75:F75"/>
    <mergeCell ref="D59:H59"/>
    <mergeCell ref="D62:H62"/>
    <mergeCell ref="D63:H63"/>
    <mergeCell ref="C50:E50"/>
    <mergeCell ref="C56:E56"/>
    <mergeCell ref="A50:B50"/>
    <mergeCell ref="A58:H58"/>
    <mergeCell ref="A59:C59"/>
    <mergeCell ref="A60:C60"/>
    <mergeCell ref="D60:H60"/>
    <mergeCell ref="G56:H56"/>
    <mergeCell ref="A56:B57"/>
    <mergeCell ref="C57:H57"/>
    <mergeCell ref="A68:C68"/>
    <mergeCell ref="D68:H68"/>
    <mergeCell ref="A71:C71"/>
    <mergeCell ref="D71:H71"/>
    <mergeCell ref="A69:C69"/>
    <mergeCell ref="D69:H69"/>
    <mergeCell ref="A295:B295"/>
    <mergeCell ref="A296:B296"/>
    <mergeCell ref="A282:B282"/>
    <mergeCell ref="A283:B283"/>
    <mergeCell ref="A230:B230"/>
    <mergeCell ref="A231:B231"/>
    <mergeCell ref="C229:F229"/>
    <mergeCell ref="A219:B219"/>
    <mergeCell ref="A216:B216"/>
    <mergeCell ref="C132:D132"/>
    <mergeCell ref="E132:F132"/>
    <mergeCell ref="G132:H132"/>
    <mergeCell ref="A135:B135"/>
    <mergeCell ref="C135:D135"/>
    <mergeCell ref="E135:F135"/>
    <mergeCell ref="G135:H135"/>
    <mergeCell ref="C134:D134"/>
    <mergeCell ref="E134:F134"/>
    <mergeCell ref="A41:D41"/>
    <mergeCell ref="A377:H377"/>
    <mergeCell ref="A374:H374"/>
    <mergeCell ref="A246:B246"/>
    <mergeCell ref="A137:B137"/>
    <mergeCell ref="D200:D201"/>
    <mergeCell ref="E200:E201"/>
    <mergeCell ref="G200:H201"/>
    <mergeCell ref="A94:B94"/>
    <mergeCell ref="A95:B95"/>
    <mergeCell ref="A96:B96"/>
    <mergeCell ref="A86:B86"/>
    <mergeCell ref="C86:H86"/>
    <mergeCell ref="A81:B81"/>
    <mergeCell ref="F115:H115"/>
    <mergeCell ref="G130:H130"/>
    <mergeCell ref="A48:B48"/>
    <mergeCell ref="C48:E48"/>
    <mergeCell ref="C139:D139"/>
    <mergeCell ref="E139:F139"/>
    <mergeCell ref="A226:B226"/>
    <mergeCell ref="A227:B227"/>
    <mergeCell ref="A228:B228"/>
    <mergeCell ref="A229:B229"/>
    <mergeCell ref="G318:H318"/>
    <mergeCell ref="A357:H357"/>
    <mergeCell ref="G322:H322"/>
    <mergeCell ref="A321:B321"/>
    <mergeCell ref="G321:H321"/>
    <mergeCell ref="B365:H365"/>
    <mergeCell ref="A323:H323"/>
    <mergeCell ref="A324:H324"/>
    <mergeCell ref="A325:H325"/>
    <mergeCell ref="A326:H326"/>
    <mergeCell ref="A327:H327"/>
    <mergeCell ref="A337:H337"/>
    <mergeCell ref="A338:B338"/>
    <mergeCell ref="G338:H346"/>
    <mergeCell ref="A343:B343"/>
    <mergeCell ref="A341:B341"/>
    <mergeCell ref="A339:B339"/>
    <mergeCell ref="A300:B300"/>
    <mergeCell ref="G300:H307"/>
    <mergeCell ref="A301:B301"/>
    <mergeCell ref="A302:B302"/>
    <mergeCell ref="A303:B303"/>
    <mergeCell ref="A304:B304"/>
    <mergeCell ref="A305:B305"/>
    <mergeCell ref="A306:B306"/>
    <mergeCell ref="A307:B307"/>
    <mergeCell ref="L293:M293"/>
    <mergeCell ref="L155:M155"/>
    <mergeCell ref="A156:B156"/>
    <mergeCell ref="L156:M156"/>
    <mergeCell ref="A157:B157"/>
    <mergeCell ref="L157:M157"/>
    <mergeCell ref="A278:B278"/>
    <mergeCell ref="A284:H284"/>
    <mergeCell ref="A285:B285"/>
    <mergeCell ref="G285:H296"/>
    <mergeCell ref="A286:B286"/>
    <mergeCell ref="L292:M292"/>
    <mergeCell ref="A293:B293"/>
    <mergeCell ref="L295:M295"/>
    <mergeCell ref="L296:M296"/>
    <mergeCell ref="L282:M282"/>
    <mergeCell ref="L283:M283"/>
    <mergeCell ref="L285:M285"/>
    <mergeCell ref="L286:M286"/>
    <mergeCell ref="A287:B287"/>
    <mergeCell ref="L287:M287"/>
    <mergeCell ref="A288:B288"/>
    <mergeCell ref="L288:M288"/>
    <mergeCell ref="A289:B289"/>
    <mergeCell ref="L289:M289"/>
    <mergeCell ref="L150:M150"/>
    <mergeCell ref="A151:B151"/>
    <mergeCell ref="L151:M151"/>
    <mergeCell ref="A152:B152"/>
    <mergeCell ref="A348:B348"/>
    <mergeCell ref="G348:H356"/>
    <mergeCell ref="L348:M348"/>
    <mergeCell ref="A350:B350"/>
    <mergeCell ref="L350:M350"/>
    <mergeCell ref="A351:B351"/>
    <mergeCell ref="L351:M351"/>
    <mergeCell ref="A352:B352"/>
    <mergeCell ref="L352:M352"/>
    <mergeCell ref="A353:B353"/>
    <mergeCell ref="L353:M353"/>
    <mergeCell ref="A354:B354"/>
    <mergeCell ref="L354:M354"/>
    <mergeCell ref="A355:B355"/>
    <mergeCell ref="L355:M355"/>
    <mergeCell ref="A356:B356"/>
    <mergeCell ref="L356:M356"/>
    <mergeCell ref="C349:F349"/>
    <mergeCell ref="L158:M158"/>
    <mergeCell ref="B370:H370"/>
    <mergeCell ref="G134:H134"/>
    <mergeCell ref="A54:B55"/>
    <mergeCell ref="C54:E54"/>
    <mergeCell ref="G54:H54"/>
    <mergeCell ref="C55:H55"/>
    <mergeCell ref="B369:H369"/>
    <mergeCell ref="A155:B155"/>
    <mergeCell ref="B368:H368"/>
    <mergeCell ref="A308:H308"/>
    <mergeCell ref="A309:B309"/>
    <mergeCell ref="G309:H316"/>
    <mergeCell ref="A310:B310"/>
    <mergeCell ref="A311:B311"/>
    <mergeCell ref="A312:B312"/>
    <mergeCell ref="A313:B313"/>
    <mergeCell ref="A314:B314"/>
    <mergeCell ref="C314:F314"/>
    <mergeCell ref="A315:B315"/>
    <mergeCell ref="A316:B316"/>
    <mergeCell ref="B358:H358"/>
    <mergeCell ref="A297:H297"/>
    <mergeCell ref="A298:H298"/>
    <mergeCell ref="A299:H299"/>
  </mergeCells>
  <hyperlinks>
    <hyperlink ref="C37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85" max="16383" man="1"/>
    <brk id="383" max="16383" man="1"/>
    <brk id="426" max="16383" man="1"/>
    <brk id="46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4" zoomScale="85" zoomScaleNormal="85" workbookViewId="0">
      <selection activeCell="H6" sqref="H6"/>
    </sheetView>
  </sheetViews>
  <sheetFormatPr defaultColWidth="8.7265625" defaultRowHeight="14.5" x14ac:dyDescent="0.35"/>
  <cols>
    <col min="1" max="1" width="8.7265625" style="2"/>
    <col min="2" max="2" width="22.1796875" style="2" customWidth="1"/>
    <col min="3" max="3" width="37" style="2" customWidth="1"/>
    <col min="4" max="5" width="11.453125" style="2" customWidth="1"/>
    <col min="6" max="6" width="14" style="2" customWidth="1"/>
    <col min="7" max="7" width="20" style="2" customWidth="1"/>
    <col min="8" max="8" width="16.453125" style="2" customWidth="1"/>
    <col min="9" max="16384" width="8.7265625" style="2"/>
  </cols>
  <sheetData>
    <row r="1" spans="1:9" ht="15" customHeight="1" x14ac:dyDescent="0.35">
      <c r="A1" s="1"/>
      <c r="B1" s="1"/>
      <c r="C1" s="1"/>
      <c r="D1" s="1"/>
      <c r="E1" s="1"/>
      <c r="F1" s="1"/>
      <c r="G1" s="1"/>
      <c r="H1" s="1"/>
    </row>
    <row r="2" spans="1:9" ht="15" customHeight="1" x14ac:dyDescent="0.3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35">
      <c r="A3" s="3"/>
      <c r="B3" s="245" t="s">
        <v>108</v>
      </c>
      <c r="C3" s="245"/>
      <c r="D3" s="245"/>
      <c r="E3" s="245"/>
      <c r="F3" s="245"/>
      <c r="G3" s="245"/>
      <c r="H3" s="245"/>
    </row>
    <row r="4" spans="1:9" x14ac:dyDescent="0.35">
      <c r="A4" s="3"/>
      <c r="B4" s="4" t="s">
        <v>109</v>
      </c>
      <c r="C4" s="4" t="s">
        <v>110</v>
      </c>
      <c r="D4" s="4" t="s">
        <v>70</v>
      </c>
      <c r="E4" s="4" t="s">
        <v>111</v>
      </c>
      <c r="F4" s="4" t="s">
        <v>117</v>
      </c>
      <c r="G4" s="4" t="s">
        <v>118</v>
      </c>
      <c r="H4" s="4" t="s">
        <v>112</v>
      </c>
    </row>
    <row r="5" spans="1:9" ht="15" customHeight="1" x14ac:dyDescent="0.35">
      <c r="A5" s="3"/>
      <c r="B5" s="6" t="s">
        <v>113</v>
      </c>
      <c r="C5" s="7"/>
      <c r="D5" s="84" t="s">
        <v>223</v>
      </c>
      <c r="E5" s="6">
        <v>409</v>
      </c>
      <c r="F5" s="8">
        <f>E5*1.6</f>
        <v>654.40000000000009</v>
      </c>
      <c r="G5" s="8">
        <f>H5/F5</f>
        <v>6418.0929095354513</v>
      </c>
      <c r="H5" s="9">
        <v>4200000</v>
      </c>
    </row>
    <row r="6" spans="1:9" x14ac:dyDescent="0.35">
      <c r="A6" s="3"/>
      <c r="B6" s="6" t="s">
        <v>113</v>
      </c>
      <c r="C6" s="10"/>
      <c r="D6" s="84" t="s">
        <v>223</v>
      </c>
      <c r="E6" s="6">
        <v>442</v>
      </c>
      <c r="F6" s="8">
        <f>E6*1.6</f>
        <v>707.2</v>
      </c>
      <c r="G6" s="8">
        <f t="shared" ref="G6:G11" si="0">H6/F6</f>
        <v>6645.9276018099545</v>
      </c>
      <c r="H6" s="9">
        <v>4700000</v>
      </c>
    </row>
    <row r="7" spans="1:9" ht="15" customHeight="1" x14ac:dyDescent="0.35">
      <c r="A7" s="3"/>
      <c r="B7" s="6" t="s">
        <v>113</v>
      </c>
      <c r="C7" s="7"/>
      <c r="D7" s="84" t="s">
        <v>223</v>
      </c>
      <c r="E7" s="6">
        <v>593</v>
      </c>
      <c r="F7" s="8">
        <f t="shared" ref="F7:F11" si="1">E7*1.6</f>
        <v>948.80000000000007</v>
      </c>
      <c r="G7" s="8">
        <f t="shared" si="0"/>
        <v>7377.7403035413145</v>
      </c>
      <c r="H7" s="9">
        <v>7000000</v>
      </c>
    </row>
    <row r="8" spans="1:9" x14ac:dyDescent="0.35">
      <c r="A8" s="3"/>
      <c r="B8" s="6" t="s">
        <v>113</v>
      </c>
      <c r="C8" s="10"/>
      <c r="D8" s="84" t="s">
        <v>224</v>
      </c>
      <c r="E8" s="6">
        <v>734</v>
      </c>
      <c r="F8" s="8">
        <f t="shared" si="1"/>
        <v>1174.4000000000001</v>
      </c>
      <c r="G8" s="8">
        <f t="shared" si="0"/>
        <v>6130.7901907356945</v>
      </c>
      <c r="H8" s="9">
        <v>7200000</v>
      </c>
    </row>
    <row r="9" spans="1:9" ht="15" customHeight="1" x14ac:dyDescent="0.35">
      <c r="A9" s="3"/>
      <c r="B9" s="6" t="s">
        <v>113</v>
      </c>
      <c r="C9" s="10"/>
      <c r="D9" s="84" t="s">
        <v>224</v>
      </c>
      <c r="E9" s="6">
        <v>664</v>
      </c>
      <c r="F9" s="8">
        <f t="shared" si="1"/>
        <v>1062.4000000000001</v>
      </c>
      <c r="G9" s="8">
        <f t="shared" si="0"/>
        <v>0</v>
      </c>
      <c r="H9" s="9"/>
    </row>
    <row r="10" spans="1:9" ht="15" customHeight="1" x14ac:dyDescent="0.35">
      <c r="A10" s="3"/>
      <c r="B10" s="6" t="s">
        <v>114</v>
      </c>
      <c r="C10" s="7"/>
      <c r="D10" s="6"/>
      <c r="E10" s="6"/>
      <c r="F10" s="8">
        <f t="shared" si="1"/>
        <v>0</v>
      </c>
      <c r="G10" s="8" t="e">
        <f t="shared" si="0"/>
        <v>#DIV/0!</v>
      </c>
      <c r="H10" s="9"/>
    </row>
    <row r="11" spans="1:9" ht="15" customHeight="1" x14ac:dyDescent="0.35">
      <c r="A11" s="3"/>
      <c r="B11" s="6" t="s">
        <v>114</v>
      </c>
      <c r="C11" s="7"/>
      <c r="D11" s="6"/>
      <c r="E11" s="6"/>
      <c r="F11" s="8">
        <f t="shared" si="1"/>
        <v>0</v>
      </c>
      <c r="G11" s="8" t="e">
        <f t="shared" si="0"/>
        <v>#DIV/0!</v>
      </c>
      <c r="H11" s="9"/>
    </row>
    <row r="12" spans="1:9" ht="15" customHeight="1" x14ac:dyDescent="0.35">
      <c r="A12" s="3"/>
      <c r="B12" s="11" t="s">
        <v>115</v>
      </c>
      <c r="C12" s="6"/>
      <c r="D12" s="6"/>
      <c r="E12" s="6"/>
      <c r="F12" s="6"/>
      <c r="G12" s="12">
        <f>AVERAGE(G5:G8)</f>
        <v>6643.1377514056039</v>
      </c>
      <c r="H12" s="6"/>
    </row>
    <row r="13" spans="1:9" ht="15" customHeight="1" x14ac:dyDescent="0.35">
      <c r="A13" s="1"/>
      <c r="B13" s="11" t="s">
        <v>116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35">
      <c r="B14" s="1"/>
      <c r="C14" s="1"/>
      <c r="D14" s="1"/>
      <c r="E14" s="1"/>
    </row>
    <row r="15" spans="1:9" ht="15" customHeight="1" x14ac:dyDescent="0.35">
      <c r="B15" s="1"/>
      <c r="C15" s="1"/>
      <c r="D15" s="1"/>
      <c r="E15" s="1"/>
    </row>
    <row r="16" spans="1:9" ht="15" customHeight="1" x14ac:dyDescent="0.3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2025-02-12T05:24:10Z</cp:lastPrinted>
  <dcterms:created xsi:type="dcterms:W3CDTF">2019-07-16T09:29:46Z</dcterms:created>
  <dcterms:modified xsi:type="dcterms:W3CDTF">2025-08-23T09:48:03Z</dcterms:modified>
</cp:coreProperties>
</file>