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51\Downloads\18501 - Celestial - P\"/>
    </mc:Choice>
  </mc:AlternateContent>
  <bookViews>
    <workbookView xWindow="0" yWindow="0" windowWidth="19200" windowHeight="664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Report!$A$1:$H$464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2" i="1" l="1"/>
  <c r="K300" i="1"/>
  <c r="I140" i="1"/>
  <c r="I300" i="1"/>
  <c r="I299" i="1"/>
  <c r="I213" i="1"/>
  <c r="I212" i="1"/>
  <c r="C143" i="1"/>
  <c r="E143" i="1"/>
  <c r="G143" i="1"/>
  <c r="C137" i="1"/>
  <c r="E137" i="1"/>
  <c r="G137" i="1"/>
  <c r="I289" i="1"/>
  <c r="D299" i="1"/>
  <c r="D296" i="1"/>
  <c r="D65" i="1" l="1"/>
  <c r="C140" i="1"/>
  <c r="D300" i="1" l="1"/>
  <c r="D298" i="1"/>
  <c r="D295" i="1"/>
  <c r="D294" i="1"/>
  <c r="D292" i="1"/>
  <c r="D291" i="1"/>
  <c r="D290" i="1"/>
  <c r="F290" i="1" s="1"/>
  <c r="H290" i="1" s="1"/>
  <c r="D289" i="1"/>
  <c r="F289" i="1" s="1"/>
  <c r="H289" i="1" s="1"/>
  <c r="D287" i="1"/>
  <c r="D286" i="1"/>
  <c r="D285" i="1"/>
  <c r="F285" i="1" s="1"/>
  <c r="H285" i="1" s="1"/>
  <c r="D284" i="1"/>
  <c r="D281" i="1"/>
  <c r="D280" i="1"/>
  <c r="D279" i="1"/>
  <c r="F279" i="1" s="1"/>
  <c r="H279" i="1" s="1"/>
  <c r="D277" i="1"/>
  <c r="F277" i="1" s="1"/>
  <c r="H277" i="1" s="1"/>
  <c r="D276" i="1"/>
  <c r="D275" i="1"/>
  <c r="D274" i="1"/>
  <c r="D271" i="1"/>
  <c r="D270" i="1"/>
  <c r="D269" i="1"/>
  <c r="D267" i="1"/>
  <c r="D266" i="1"/>
  <c r="D265" i="1"/>
  <c r="D264" i="1"/>
  <c r="D260" i="1"/>
  <c r="F260" i="1" s="1"/>
  <c r="H260" i="1" s="1"/>
  <c r="D259" i="1"/>
  <c r="F259" i="1" s="1"/>
  <c r="H259" i="1" s="1"/>
  <c r="D258" i="1"/>
  <c r="D257" i="1"/>
  <c r="D255" i="1"/>
  <c r="F255" i="1" s="1"/>
  <c r="H255" i="1" s="1"/>
  <c r="D254" i="1"/>
  <c r="F254" i="1" s="1"/>
  <c r="H254" i="1" s="1"/>
  <c r="D253" i="1"/>
  <c r="D252" i="1"/>
  <c r="D250" i="1"/>
  <c r="D249" i="1"/>
  <c r="F249" i="1" s="1"/>
  <c r="H249" i="1" s="1"/>
  <c r="D248" i="1"/>
  <c r="D247" i="1"/>
  <c r="D245" i="1"/>
  <c r="F245" i="1" s="1"/>
  <c r="H245" i="1" s="1"/>
  <c r="D244" i="1"/>
  <c r="F244" i="1" s="1"/>
  <c r="H244" i="1" s="1"/>
  <c r="D243" i="1"/>
  <c r="D242" i="1"/>
  <c r="D240" i="1"/>
  <c r="D239" i="1"/>
  <c r="F239" i="1" s="1"/>
  <c r="H239" i="1" s="1"/>
  <c r="D238" i="1"/>
  <c r="D237" i="1"/>
  <c r="D235" i="1"/>
  <c r="F235" i="1" s="1"/>
  <c r="H235" i="1" s="1"/>
  <c r="D234" i="1"/>
  <c r="F234" i="1" s="1"/>
  <c r="H234" i="1" s="1"/>
  <c r="D233" i="1"/>
  <c r="D230" i="1"/>
  <c r="D229" i="1"/>
  <c r="F229" i="1" s="1"/>
  <c r="H229" i="1" s="1"/>
  <c r="D228" i="1"/>
  <c r="D227" i="1"/>
  <c r="D225" i="1"/>
  <c r="D224" i="1"/>
  <c r="D223" i="1"/>
  <c r="D220" i="1"/>
  <c r="D219" i="1"/>
  <c r="D218" i="1"/>
  <c r="D217" i="1"/>
  <c r="D213" i="1"/>
  <c r="D212" i="1"/>
  <c r="D211" i="1"/>
  <c r="D210" i="1"/>
  <c r="D208" i="1"/>
  <c r="D207" i="1"/>
  <c r="D206" i="1"/>
  <c r="D205" i="1"/>
  <c r="F205" i="1" s="1"/>
  <c r="H205" i="1" s="1"/>
  <c r="D203" i="1"/>
  <c r="D202" i="1"/>
  <c r="D201" i="1"/>
  <c r="F201" i="1" s="1"/>
  <c r="H201" i="1" s="1"/>
  <c r="D200" i="1"/>
  <c r="F200" i="1" s="1"/>
  <c r="H200" i="1" s="1"/>
  <c r="D198" i="1"/>
  <c r="D197" i="1"/>
  <c r="D196" i="1"/>
  <c r="F196" i="1" s="1"/>
  <c r="H196" i="1" s="1"/>
  <c r="D195" i="1"/>
  <c r="F195" i="1" s="1"/>
  <c r="H195" i="1" s="1"/>
  <c r="D193" i="1"/>
  <c r="D192" i="1"/>
  <c r="D191" i="1"/>
  <c r="F191" i="1" s="1"/>
  <c r="H191" i="1" s="1"/>
  <c r="D190" i="1"/>
  <c r="F190" i="1" s="1"/>
  <c r="H190" i="1" s="1"/>
  <c r="D188" i="1"/>
  <c r="D187" i="1"/>
  <c r="D186" i="1"/>
  <c r="D183" i="1"/>
  <c r="D182" i="1"/>
  <c r="D181" i="1"/>
  <c r="D180" i="1"/>
  <c r="D178" i="1"/>
  <c r="D177" i="1"/>
  <c r="D176" i="1"/>
  <c r="D173" i="1"/>
  <c r="D172" i="1"/>
  <c r="D171" i="1"/>
  <c r="D170" i="1"/>
  <c r="F300" i="1"/>
  <c r="H300" i="1" s="1"/>
  <c r="F299" i="1"/>
  <c r="H299" i="1" s="1"/>
  <c r="F298" i="1"/>
  <c r="H298" i="1" s="1"/>
  <c r="F296" i="1"/>
  <c r="F295" i="1"/>
  <c r="H295" i="1" s="1"/>
  <c r="F294" i="1"/>
  <c r="H294" i="1" s="1"/>
  <c r="I294" i="1"/>
  <c r="F291" i="1"/>
  <c r="H291" i="1" s="1"/>
  <c r="F276" i="1"/>
  <c r="H276" i="1" s="1"/>
  <c r="F281" i="1"/>
  <c r="H281" i="1" s="1"/>
  <c r="F250" i="1"/>
  <c r="H250" i="1" s="1"/>
  <c r="F247" i="1"/>
  <c r="H247" i="1" s="1"/>
  <c r="F240" i="1"/>
  <c r="H240" i="1" s="1"/>
  <c r="F233" i="1"/>
  <c r="H233" i="1" s="1"/>
  <c r="F230" i="1"/>
  <c r="H230" i="1" s="1"/>
  <c r="F228" i="1"/>
  <c r="H228" i="1" s="1"/>
  <c r="F210" i="1"/>
  <c r="H210" i="1" s="1"/>
  <c r="F203" i="1"/>
  <c r="H203" i="1" s="1"/>
  <c r="F202" i="1"/>
  <c r="H202" i="1" s="1"/>
  <c r="F193" i="1"/>
  <c r="H193" i="1" s="1"/>
  <c r="F192" i="1"/>
  <c r="H192" i="1" s="1"/>
  <c r="F188" i="1"/>
  <c r="H188" i="1" s="1"/>
  <c r="F187" i="1"/>
  <c r="H187" i="1" s="1"/>
  <c r="F183" i="1"/>
  <c r="H183" i="1" s="1"/>
  <c r="F182" i="1"/>
  <c r="H182" i="1" s="1"/>
  <c r="F181" i="1"/>
  <c r="H181" i="1" s="1"/>
  <c r="F180" i="1"/>
  <c r="H180" i="1" s="1"/>
  <c r="D162" i="1"/>
  <c r="D161" i="1"/>
  <c r="D160" i="1"/>
  <c r="D159" i="1"/>
  <c r="D158" i="1"/>
  <c r="D157" i="1"/>
  <c r="D156" i="1"/>
  <c r="D155" i="1"/>
  <c r="D154" i="1"/>
  <c r="D153" i="1"/>
  <c r="D152" i="1"/>
  <c r="D151" i="1"/>
  <c r="A299" i="1"/>
  <c r="A300" i="1" s="1"/>
  <c r="A301" i="1" s="1"/>
  <c r="A304" i="1"/>
  <c r="A305" i="1" s="1"/>
  <c r="A306" i="1" s="1"/>
  <c r="F213" i="1"/>
  <c r="H213" i="1" s="1"/>
  <c r="F212" i="1"/>
  <c r="H212" i="1" s="1"/>
  <c r="F211" i="1"/>
  <c r="H211" i="1" s="1"/>
  <c r="A211" i="1"/>
  <c r="A212" i="1" s="1"/>
  <c r="A213" i="1" s="1"/>
  <c r="F258" i="1"/>
  <c r="H258" i="1" s="1"/>
  <c r="A258" i="1"/>
  <c r="A259" i="1" s="1"/>
  <c r="A260" i="1" s="1"/>
  <c r="F257" i="1"/>
  <c r="H257" i="1" s="1"/>
  <c r="F253" i="1"/>
  <c r="H253" i="1" s="1"/>
  <c r="A253" i="1"/>
  <c r="A254" i="1" s="1"/>
  <c r="A255" i="1" s="1"/>
  <c r="F252" i="1"/>
  <c r="H252" i="1" s="1"/>
  <c r="F208" i="1"/>
  <c r="H208" i="1" s="1"/>
  <c r="F207" i="1"/>
  <c r="H207" i="1" s="1"/>
  <c r="F206" i="1"/>
  <c r="H206" i="1" s="1"/>
  <c r="A206" i="1"/>
  <c r="A207" i="1" s="1"/>
  <c r="A208" i="1" s="1"/>
  <c r="A295" i="1"/>
  <c r="F248" i="1"/>
  <c r="H248" i="1" s="1"/>
  <c r="A248" i="1"/>
  <c r="A249" i="1" s="1"/>
  <c r="A250" i="1" s="1"/>
  <c r="A201" i="1"/>
  <c r="A202" i="1" s="1"/>
  <c r="A203" i="1" s="1"/>
  <c r="F243" i="1"/>
  <c r="H243" i="1" s="1"/>
  <c r="A243" i="1"/>
  <c r="A244" i="1" s="1"/>
  <c r="A245" i="1" s="1"/>
  <c r="F242" i="1"/>
  <c r="H242" i="1" s="1"/>
  <c r="F198" i="1"/>
  <c r="H198" i="1" s="1"/>
  <c r="F197" i="1"/>
  <c r="H197" i="1" s="1"/>
  <c r="A196" i="1"/>
  <c r="A197" i="1" s="1"/>
  <c r="A198" i="1" s="1"/>
  <c r="F292" i="1"/>
  <c r="H292" i="1" s="1"/>
  <c r="A290" i="1"/>
  <c r="A291" i="1" s="1"/>
  <c r="A292" i="1" s="1"/>
  <c r="F238" i="1"/>
  <c r="H238" i="1" s="1"/>
  <c r="A238" i="1"/>
  <c r="A239" i="1" s="1"/>
  <c r="A240" i="1" s="1"/>
  <c r="F237" i="1"/>
  <c r="H237" i="1" s="1"/>
  <c r="A191" i="1"/>
  <c r="A192" i="1" s="1"/>
  <c r="A193" i="1" s="1"/>
  <c r="F287" i="1"/>
  <c r="H287" i="1" s="1"/>
  <c r="F286" i="1"/>
  <c r="H286" i="1" s="1"/>
  <c r="A285" i="1"/>
  <c r="A286" i="1" s="1"/>
  <c r="A287" i="1" s="1"/>
  <c r="F284" i="1"/>
  <c r="H284" i="1" s="1"/>
  <c r="F280" i="1"/>
  <c r="H280" i="1" s="1"/>
  <c r="A280" i="1"/>
  <c r="A281" i="1" s="1"/>
  <c r="A282" i="1" s="1"/>
  <c r="A233" i="1"/>
  <c r="A234" i="1" s="1"/>
  <c r="A235" i="1" s="1"/>
  <c r="F186" i="1"/>
  <c r="H186" i="1" s="1"/>
  <c r="A186" i="1"/>
  <c r="A187" i="1" s="1"/>
  <c r="A188" i="1" s="1"/>
  <c r="F275" i="1"/>
  <c r="H275" i="1" s="1"/>
  <c r="A275" i="1"/>
  <c r="A276" i="1" s="1"/>
  <c r="A277" i="1" s="1"/>
  <c r="F274" i="1"/>
  <c r="H274" i="1" s="1"/>
  <c r="A228" i="1"/>
  <c r="A229" i="1" s="1"/>
  <c r="A230" i="1" s="1"/>
  <c r="F227" i="1"/>
  <c r="H227" i="1" s="1"/>
  <c r="A181" i="1"/>
  <c r="A182" i="1" s="1"/>
  <c r="A183" i="1" s="1"/>
  <c r="H296" i="1" l="1"/>
  <c r="F271" i="1"/>
  <c r="H271" i="1" s="1"/>
  <c r="F270" i="1"/>
  <c r="H270" i="1" s="1"/>
  <c r="A270" i="1"/>
  <c r="A271" i="1" s="1"/>
  <c r="A272" i="1" s="1"/>
  <c r="F269" i="1"/>
  <c r="H269" i="1" s="1"/>
  <c r="F225" i="1"/>
  <c r="H225" i="1" s="1"/>
  <c r="F224" i="1"/>
  <c r="H224" i="1" s="1"/>
  <c r="F223" i="1"/>
  <c r="H223" i="1" s="1"/>
  <c r="A223" i="1"/>
  <c r="A224" i="1" s="1"/>
  <c r="A225" i="1" s="1"/>
  <c r="F178" i="1"/>
  <c r="H178" i="1" s="1"/>
  <c r="F177" i="1"/>
  <c r="H177" i="1" s="1"/>
  <c r="F176" i="1"/>
  <c r="H176" i="1" s="1"/>
  <c r="A176" i="1"/>
  <c r="A177" i="1" s="1"/>
  <c r="A178" i="1" s="1"/>
  <c r="F267" i="1"/>
  <c r="H267" i="1" s="1"/>
  <c r="F266" i="1"/>
  <c r="H266" i="1" s="1"/>
  <c r="F265" i="1"/>
  <c r="H265" i="1" s="1"/>
  <c r="A265" i="1"/>
  <c r="A266" i="1" s="1"/>
  <c r="A267" i="1" s="1"/>
  <c r="F264" i="1"/>
  <c r="F220" i="1"/>
  <c r="H220" i="1" s="1"/>
  <c r="F219" i="1"/>
  <c r="H219" i="1" s="1"/>
  <c r="F218" i="1"/>
  <c r="H218" i="1" s="1"/>
  <c r="A218" i="1"/>
  <c r="A219" i="1" s="1"/>
  <c r="A220" i="1" s="1"/>
  <c r="F217" i="1"/>
  <c r="I155" i="1"/>
  <c r="F162" i="1"/>
  <c r="H162" i="1" s="1"/>
  <c r="F161" i="1"/>
  <c r="H161" i="1" s="1"/>
  <c r="F160" i="1"/>
  <c r="H160" i="1" s="1"/>
  <c r="F159" i="1"/>
  <c r="H159" i="1" s="1"/>
  <c r="F158" i="1"/>
  <c r="H158" i="1" s="1"/>
  <c r="F157" i="1"/>
  <c r="H157" i="1" s="1"/>
  <c r="F156" i="1"/>
  <c r="H156" i="1" s="1"/>
  <c r="F155" i="1"/>
  <c r="H155" i="1" s="1"/>
  <c r="H264" i="1" l="1"/>
  <c r="G142" i="1" s="1"/>
  <c r="E142" i="1"/>
  <c r="H217" i="1"/>
  <c r="G141" i="1" s="1"/>
  <c r="C141" i="1"/>
  <c r="E141" i="1"/>
  <c r="B309" i="1"/>
  <c r="E44" i="1" l="1"/>
  <c r="B51" i="6" l="1"/>
  <c r="B50" i="6" l="1"/>
  <c r="B49" i="6" l="1"/>
  <c r="B48" i="6"/>
  <c r="B47" i="6" l="1"/>
  <c r="B46" i="6"/>
  <c r="B45" i="6" l="1"/>
  <c r="B44" i="6" l="1"/>
  <c r="B43" i="6"/>
  <c r="B42" i="6"/>
  <c r="B41" i="6" l="1"/>
  <c r="B40" i="6"/>
  <c r="B39" i="6"/>
  <c r="B38" i="6"/>
  <c r="F151" i="1" l="1"/>
  <c r="H151" i="1" l="1"/>
  <c r="G136" i="1" s="1"/>
  <c r="E136" i="1"/>
  <c r="C136" i="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s="1"/>
  <c r="F11" i="5"/>
  <c r="G11" i="5" s="1"/>
  <c r="F10" i="5"/>
  <c r="G10" i="5" s="1"/>
  <c r="F9" i="5"/>
  <c r="G9" i="5" s="1"/>
  <c r="F8" i="5"/>
  <c r="G8" i="5" s="1"/>
  <c r="F7" i="5"/>
  <c r="G7" i="5" s="1"/>
  <c r="F6" i="5"/>
  <c r="G6" i="5" s="1"/>
  <c r="F5" i="5"/>
  <c r="G5" i="5" s="1"/>
  <c r="G12" i="5" s="1"/>
  <c r="D336" i="1"/>
  <c r="B310" i="1"/>
  <c r="F173" i="1"/>
  <c r="H173" i="1" s="1"/>
  <c r="F172" i="1"/>
  <c r="H172" i="1" s="1"/>
  <c r="F171" i="1"/>
  <c r="H171" i="1" s="1"/>
  <c r="A171" i="1"/>
  <c r="A172" i="1" s="1"/>
  <c r="A173" i="1" s="1"/>
  <c r="F170" i="1"/>
  <c r="F154" i="1"/>
  <c r="H154" i="1" s="1"/>
  <c r="F153" i="1"/>
  <c r="H153" i="1" s="1"/>
  <c r="F152" i="1"/>
  <c r="A152" i="1"/>
  <c r="A153" i="1" s="1"/>
  <c r="A154" i="1" s="1"/>
  <c r="A155" i="1" s="1"/>
  <c r="A156" i="1" s="1"/>
  <c r="A157" i="1" s="1"/>
  <c r="A158" i="1" s="1"/>
  <c r="A159" i="1" s="1"/>
  <c r="A160" i="1" s="1"/>
  <c r="A161" i="1" s="1"/>
  <c r="A162" i="1" s="1"/>
  <c r="F132" i="1"/>
  <c r="C106" i="1"/>
  <c r="C92" i="1"/>
  <c r="C78" i="1"/>
  <c r="B79" i="1" s="1"/>
  <c r="G57" i="1"/>
  <c r="C57" i="1"/>
  <c r="K55" i="1"/>
  <c r="C55" i="1"/>
  <c r="G51" i="1"/>
  <c r="C51" i="1"/>
  <c r="E45" i="1"/>
  <c r="S33" i="1"/>
  <c r="E31" i="1"/>
  <c r="E28" i="1"/>
  <c r="E26" i="1"/>
  <c r="C16" i="1"/>
  <c r="I15" i="1"/>
  <c r="Z13" i="1"/>
  <c r="E8" i="1"/>
  <c r="E3" i="1"/>
  <c r="D72" i="1" s="1"/>
  <c r="H107" i="1"/>
  <c r="H79" i="1"/>
  <c r="H93" i="1"/>
  <c r="H170" i="1" l="1"/>
  <c r="G140" i="1" s="1"/>
  <c r="E140" i="1"/>
  <c r="H152" i="1"/>
  <c r="G135" i="1" s="1"/>
  <c r="E135" i="1"/>
  <c r="C135" i="1"/>
  <c r="B320" i="1"/>
  <c r="J86" i="1"/>
  <c r="J87" i="1"/>
  <c r="B107" i="1"/>
  <c r="J115" i="1" s="1"/>
  <c r="I42" i="7"/>
  <c r="H42" i="7" s="1"/>
  <c r="L42" i="7"/>
  <c r="K42" i="7" s="1"/>
  <c r="J92" i="1"/>
  <c r="J94" i="1" s="1"/>
  <c r="D101" i="1"/>
  <c r="D100" i="1"/>
  <c r="D105" i="1"/>
  <c r="D99" i="1"/>
  <c r="J95" i="1"/>
  <c r="D104" i="1"/>
  <c r="J97" i="1"/>
  <c r="C96" i="1" s="1"/>
  <c r="D98" i="1"/>
  <c r="D103" i="1"/>
  <c r="J96" i="1"/>
  <c r="D102" i="1"/>
  <c r="D87" i="1"/>
  <c r="J81" i="1"/>
  <c r="D86" i="1"/>
  <c r="D91" i="1"/>
  <c r="D85" i="1"/>
  <c r="D90" i="1"/>
  <c r="D84" i="1"/>
  <c r="J83" i="1"/>
  <c r="C82" i="1" s="1"/>
  <c r="D89" i="1"/>
  <c r="D88" i="1"/>
  <c r="J82" i="1"/>
  <c r="J78" i="1"/>
  <c r="J80" i="1" s="1"/>
  <c r="D116" i="1"/>
  <c r="J110" i="1"/>
  <c r="J106" i="1"/>
  <c r="J108" i="1" s="1"/>
  <c r="J109" i="1"/>
  <c r="D114" i="1"/>
  <c r="D119" i="1"/>
  <c r="D113" i="1"/>
  <c r="D118" i="1"/>
  <c r="D112" i="1"/>
  <c r="D115" i="1"/>
  <c r="J111" i="1"/>
  <c r="C110" i="1" s="1"/>
  <c r="D110" i="1" s="1"/>
  <c r="D117" i="1"/>
  <c r="D42" i="7"/>
  <c r="L55" i="1"/>
  <c r="B93" i="1"/>
  <c r="J88" i="1"/>
  <c r="J89" i="1"/>
  <c r="I52" i="1"/>
  <c r="J84" i="1"/>
  <c r="J85" i="1" s="1"/>
  <c r="J90" i="1" s="1"/>
  <c r="J91" i="1" s="1"/>
  <c r="C83" i="1" s="1"/>
  <c r="E144" i="1" l="1"/>
  <c r="C144" i="1"/>
  <c r="G144" i="1"/>
  <c r="J117" i="1"/>
  <c r="J116" i="1"/>
  <c r="D44" i="7"/>
  <c r="E44" i="7"/>
  <c r="J114" i="1"/>
  <c r="J112" i="1"/>
  <c r="J113" i="1" s="1"/>
  <c r="J118" i="1" s="1"/>
  <c r="J119" i="1" s="1"/>
  <c r="C111" i="1" s="1"/>
  <c r="G110" i="1" s="1"/>
  <c r="E82" i="1"/>
  <c r="D83" i="1"/>
  <c r="G82" i="1"/>
  <c r="D76" i="1" s="1"/>
  <c r="D82" i="1"/>
  <c r="D96" i="1"/>
  <c r="J101" i="1"/>
  <c r="J98" i="1"/>
  <c r="J99" i="1" s="1"/>
  <c r="J104" i="1" s="1"/>
  <c r="J105" i="1" s="1"/>
  <c r="C97" i="1" s="1"/>
  <c r="J103" i="1"/>
  <c r="J100" i="1"/>
  <c r="J102" i="1"/>
  <c r="D111" i="1" l="1"/>
  <c r="I107" i="1" s="1"/>
  <c r="I108" i="1" s="1"/>
  <c r="J107" i="1"/>
  <c r="E110" i="1"/>
  <c r="I79" i="1"/>
  <c r="I80" i="1" s="1"/>
  <c r="J79" i="1"/>
  <c r="E96" i="1"/>
  <c r="D97" i="1"/>
  <c r="I93" i="1" s="1"/>
  <c r="J93" i="1"/>
  <c r="G96" i="1"/>
  <c r="D77" i="1"/>
  <c r="F77" i="1"/>
  <c r="I106" i="1" l="1"/>
  <c r="C108" i="1" s="1"/>
  <c r="I78" i="1"/>
  <c r="C80" i="1" s="1"/>
  <c r="I94" i="1"/>
  <c r="I92" i="1" s="1"/>
  <c r="C94"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6" authorId="1" shapeId="0">
      <text>
        <r>
          <rPr>
            <b/>
            <sz val="9"/>
            <color indexed="81"/>
            <rFont val="Tahoma"/>
            <family val="2"/>
          </rPr>
          <t>SACHIN:</t>
        </r>
        <r>
          <rPr>
            <sz val="9"/>
            <color indexed="81"/>
            <rFont val="Tahoma"/>
            <family val="2"/>
          </rPr>
          <t xml:space="preserve">
Floor with height</t>
        </r>
      </text>
    </comment>
    <comment ref="C58" authorId="1" shapeId="0">
      <text>
        <r>
          <rPr>
            <b/>
            <sz val="9"/>
            <color indexed="81"/>
            <rFont val="Tahoma"/>
            <family val="2"/>
          </rPr>
          <t>SACHIN:</t>
        </r>
        <r>
          <rPr>
            <sz val="9"/>
            <color indexed="81"/>
            <rFont val="Tahoma"/>
            <family val="2"/>
          </rPr>
          <t xml:space="preserve">
Survey Nos.</t>
        </r>
      </text>
    </comment>
    <comment ref="D65"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5"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5"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<sst xmlns="http://schemas.openxmlformats.org/spreadsheetml/2006/main" count="857" uniqueCount="447">
  <si>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</si>
  <si>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</si>
  <si>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</si>
  <si>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</si>
  <si>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</si>
  <si>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</si>
  <si>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</si>
  <si>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</si>
  <si>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</si>
  <si>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</si>
  <si>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</si>
  <si>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</si>
  <si>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</si>
  <si>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</si>
  <si>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</si>
  <si>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</si>
  <si>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</si>
  <si>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</si>
  <si>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</si>
  <si>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</si>
  <si>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</si>
  <si>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</si>
  <si>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</si>
  <si>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</si>
  <si>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</si>
  <si>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</si>
  <si>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</si>
  <si>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</si>
  <si>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</si>
  <si>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</si>
  <si>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</si>
  <si>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</si>
  <si>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</si>
  <si>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</si>
  <si>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</si>
  <si>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</si>
  <si>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</si>
  <si>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</si>
  <si>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</si>
  <si>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</si>
  <si>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</si>
  <si>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</si>
  <si>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</si>
  <si>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</si>
  <si>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</si>
  <si>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</si>
  <si>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</si>
  <si>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</si>
  <si>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</si>
  <si>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</si>
  <si>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</si>
  <si>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</si>
  <si>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</si>
  <si>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</si>
  <si>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</si>
  <si>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</si>
  <si>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</si>
  <si>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</si>
  <si>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</si>
  <si>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</si>
  <si>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</si>
  <si>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</si>
  <si>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</si>
  <si>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</si>
  <si>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</si>
  <si>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</si>
  <si>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</si>
  <si>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</si>
  <si>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</si>
  <si>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</si>
  <si>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</si>
  <si>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</si>
  <si>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</si>
  <si>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</si>
  <si>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</si>
  <si>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</si>
  <si>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</si>
  <si>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</si>
  <si>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</si>
  <si>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</si>
  <si>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</si>
  <si>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</si>
  <si>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</si>
  <si>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</si>
  <si>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</si>
  <si>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</si>
  <si>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</si>
  <si>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</si>
  <si>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</si>
  <si>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</si>
  <si>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</si>
  <si>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</si>
  <si>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</si>
  <si>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</si>
  <si>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</si>
  <si>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</si>
  <si>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</si>
  <si>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</si>
  <si>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</si>
  <si>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</si>
  <si>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</si>
  <si>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</si>
  <si>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</si>
  <si>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</si>
  <si>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</si>
  <si>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</si>
  <si>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</si>
  <si>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</si>
  <si>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</si>
  <si>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</si>
  <si>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</si>
  <si>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</si>
  <si>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</si>
  <si>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</si>
  <si>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</si>
  <si>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</si>
  <si>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</si>
  <si>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</si>
  <si>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</si>
  <si>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</si>
  <si>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</si>
  <si>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</si>
  <si>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</si>
  <si>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</si>
  <si>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</si>
  <si>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</si>
  <si>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</si>
  <si>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</si>
  <si>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</si>
  <si>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</si>
  <si>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</si>
  <si>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</si>
  <si>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</si>
  <si>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</si>
  <si>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</si>
  <si>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</si>
  <si>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</si>
  <si>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</si>
  <si>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</si>
  <si>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</si>
  <si>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</si>
  <si>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</si>
  <si>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</si>
  <si>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</si>
  <si>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</si>
  <si>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</si>
  <si>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</si>
  <si>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</si>
  <si>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</si>
  <si>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</si>
  <si>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</si>
  <si>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</si>
  <si>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</si>
  <si>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</si>
  <si>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</si>
  <si>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</si>
  <si>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</si>
  <si>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</si>
  <si>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</si>
  <si>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</si>
  <si>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</si>
  <si>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</si>
  <si>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</si>
  <si>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</si>
  <si>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</si>
  <si>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</si>
  <si>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</si>
  <si>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</si>
  <si>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</si>
  <si>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</si>
  <si>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</si>
  <si>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</si>
  <si>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</si>
  <si>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</si>
  <si>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</si>
  <si>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</si>
  <si>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</si>
  <si>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</si>
  <si>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</si>
  <si>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</si>
  <si>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</si>
  <si>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</si>
  <si>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</si>
  <si>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</si>
  <si>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</si>
  <si>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</si>
  <si>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</si>
  <si>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</si>
  <si>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</si>
  <si>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</si>
  <si>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</si>
  <si>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</si>
  <si>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</si>
  <si>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</si>
  <si>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</si>
  <si>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</si>
  <si>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</si>
  <si>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</si>
  <si>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</si>
  <si>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</si>
  <si>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</si>
  <si>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</si>
  <si>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</si>
  <si>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</si>
  <si>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</si>
  <si>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</si>
  <si>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</si>
  <si>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</si>
  <si>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</si>
  <si>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</si>
  <si>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</si>
  <si>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</si>
  <si>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</si>
  <si>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</si>
  <si>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</si>
  <si>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</si>
  <si>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</si>
  <si>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</si>
  <si>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</si>
  <si>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</si>
  <si>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</si>
  <si>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</si>
  <si>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</si>
  <si>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</si>
  <si>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</si>
  <si>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</si>
  <si>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</si>
  <si>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</si>
  <si>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</si>
  <si>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</si>
  <si>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</si>
  <si>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</si>
  <si>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</si>
  <si>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</si>
  <si>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</si>
  <si>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</si>
  <si>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</si>
  <si>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</si>
  <si>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</si>
  <si>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</si>
  <si>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</si>
  <si>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</si>
  <si>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</si>
  <si>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</si>
  <si>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</si>
  <si>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</si>
  <si>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</si>
  <si>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</si>
  <si>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</si>
  <si>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</si>
  <si>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</si>
  <si>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</si>
  <si>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</si>
  <si>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</si>
  <si>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</si>
  <si>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</si>
  <si>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</si>
  <si>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</si>
  <si>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</si>
  <si>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</si>
  <si>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</si>
  <si>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</si>
  <si>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</si>
  <si>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</si>
  <si>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</si>
  <si>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</si>
  <si>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</si>
  <si>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</si>
  <si>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</si>
  <si>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</si>
  <si>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</si>
  <si>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</si>
  <si>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</si>
  <si>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</si>
  <si>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</si>
  <si>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</si>
  <si>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</si>
  <si>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</si>
  <si>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</si>
  <si>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</si>
  <si>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</si>
  <si>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</si>
  <si>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</si>
  <si>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</si>
  <si>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</si>
  <si>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</si>
  <si>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</si>
  <si>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</si>
  <si>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</si>
  <si>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</si>
  <si>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</si>
  <si>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</si>
  <si>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</si>
  <si>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</si>
  <si>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</si>
  <si>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</si>
  <si>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</si>
  <si>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</si>
  <si>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</si>
  <si>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</si>
  <si>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</si>
  <si>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</si>
  <si>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</si>
  <si>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</si>
  <si>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</si>
  <si>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</si>
  <si>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</si>
  <si>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</si>
  <si>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</si>
  <si>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</si>
  <si>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</si>
  <si>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</si>
  <si>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</si>
  <si>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</si>
  <si>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</si>
  <si>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</si>
  <si>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</si>
  <si>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</si>
  <si>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</si>
  <si>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</si>
  <si>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</si>
  <si>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</si>
  <si>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</si>
  <si>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</si>
  <si>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</si>
  <si>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</si>
  <si>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</si>
  <si>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</si>
  <si>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</si>
  <si>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</si>
  <si>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</si>
  <si>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</si>
  <si>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</si>
  <si>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</si>
  <si>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</si>
  <si>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</si>
  <si>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</si>
  <si>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</si>
  <si>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</si>
  <si>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</si>
  <si>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</si>
  <si>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</si>
  <si>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</si>
  <si>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</si>
  <si>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</si>
  <si>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</si>
  <si>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</si>
  <si>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</si>
  <si>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</si>
  <si>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</si>
  <si>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</si>
  <si>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</si>
  <si>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</si>
  <si>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</si>
  <si>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</si>
  <si>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</si>
  <si>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</si>
  <si>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</si>
  <si>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</si>
  <si>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</si>
  <si>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</si>
  <si>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</si>
  <si>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</si>
  <si>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</si>
  <si>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</si>
  <si>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</si>
  <si>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</si>
  <si>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</si>
  <si>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</si>
  <si>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</si>
  <si>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</si>
  <si>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</si>
  <si>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</si>
  <si>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Su Sharda Edifice LLP</t>
  </si>
  <si>
    <t>Celestial</t>
  </si>
  <si>
    <t>P51800001768</t>
  </si>
  <si>
    <t>Approved Plans, CC, OC</t>
  </si>
  <si>
    <t>549A, 549A/1 to 3</t>
  </si>
  <si>
    <t>Kanjur</t>
  </si>
  <si>
    <t>Tank Road</t>
  </si>
  <si>
    <t>Bhandup (West)</t>
  </si>
  <si>
    <t>Nirmal Nagar</t>
  </si>
  <si>
    <t>Lodha Imperial</t>
  </si>
  <si>
    <t>1.0 KM from Bhandup Railway Station</t>
  </si>
  <si>
    <t>Building</t>
  </si>
  <si>
    <t>Internal Road</t>
  </si>
  <si>
    <t>Slum</t>
  </si>
  <si>
    <t>Building No.1 (Commercial)</t>
  </si>
  <si>
    <t>Other Plot</t>
  </si>
  <si>
    <t>13.40 M.W. Tank Road</t>
  </si>
  <si>
    <t>https://maps.app.goo.gl/rQpDWqMnFg474FsZ7</t>
  </si>
  <si>
    <t>19.1473466,72.9353439</t>
  </si>
  <si>
    <t>03 Wings</t>
  </si>
  <si>
    <t>CE/910/BPES/AS/FCC/4/Amend</t>
  </si>
  <si>
    <t>C.C. is endorsed as per last amended plans dt. 24. 11.2021 .</t>
  </si>
  <si>
    <t>Completed</t>
  </si>
  <si>
    <t xml:space="preserve"> 24/03/2020</t>
  </si>
  <si>
    <t>CE/910/BPES/AS/OCC/1/New
Approved upto : Stilt + podium + 2nd to 13th upper floors of ‘Wing-A’, Ground(pt.) + stilt (pt.) + podium + 2nd to 17th upper floors of ‘Wing-B’ and ground(pt.)+ stilt (pt.) + podium + 2nd to 7th upper floors of wing ‘C’.</t>
  </si>
  <si>
    <t>CE/910/BPES/AS/OCC/1/New
Approved upto : Part i.e. Full occupation for residential cum commercial building No. 2 wing A stilt+1st Podium+ 2nd to 21st floor, Wing B &amp; Wing C Stilt(pt) &amp; Ground(pt)+ 1st Podium+ 2nd to 21st Floor.</t>
  </si>
  <si>
    <t>Tennis Court, Swimming Pool, Vastu Compliant, Landscaping &amp; Tree Planting, Water Conservation, Rain water Harvesting, Table Tennis, Gymnasium, Fire Fighting System, Community Buildings, Car Parking, 24X7 Water Supply, Jogging Track, Indoor Games, Sewage Treatment Plant, Club House, Intercom, Children's Play Area, Yoga / Meditation Area, Recreation Facilities, Solid Waste Management And Disposal, Theme Park, Lift(s), Chess Board, Storm Water Drains, Rain Water Harvesting, 24x7 Security, Electrical meter Room, Carrom, Power Backup, Cafeteria, Billiards / Snooker Table</t>
  </si>
  <si>
    <r>
      <t xml:space="preserve">Proposed Amenities :                                                                                                                                                                                                                         </t>
    </r>
    <r>
      <rPr>
        <b/>
        <sz val="12"/>
        <rFont val="Times New Roman"/>
        <family val="1"/>
      </rPr>
      <t xml:space="preserve">                                               </t>
    </r>
  </si>
  <si>
    <t>Pooja Kawale</t>
  </si>
  <si>
    <t>Nainesh Tambe</t>
  </si>
  <si>
    <t>Floor Rise Rate from 2nd Floor</t>
  </si>
  <si>
    <t>Wing A</t>
  </si>
  <si>
    <t>Ground Floor for Parking</t>
  </si>
  <si>
    <t>Wing B</t>
  </si>
  <si>
    <t>Wing B + C</t>
  </si>
  <si>
    <t>Ground Floor for Commercial, Meter Room &amp; Parking</t>
  </si>
  <si>
    <t>Shop</t>
  </si>
  <si>
    <t>1st Podium Floor for Parking</t>
  </si>
  <si>
    <t>Wing C</t>
  </si>
  <si>
    <t>2BHK</t>
  </si>
  <si>
    <t>1BHK</t>
  </si>
  <si>
    <t>2nd to 6th Floor for Residential</t>
  </si>
  <si>
    <t>7th Floor (Part Refuge Area)</t>
  </si>
  <si>
    <t>-</t>
  </si>
  <si>
    <t>Refuge Area</t>
  </si>
  <si>
    <t>8th to 13th Floor</t>
  </si>
  <si>
    <t>14th Floor (Part Refuge Area)</t>
  </si>
  <si>
    <t>15th to 17th Floor</t>
  </si>
  <si>
    <t>18th Floor</t>
  </si>
  <si>
    <t>19th Floor</t>
  </si>
  <si>
    <t>4.5BHK
(Duplex with 20th Floor)</t>
  </si>
  <si>
    <t>20th Floor</t>
  </si>
  <si>
    <t>Lower Duplex with 19th Floor</t>
  </si>
  <si>
    <t>21st Floor</t>
  </si>
  <si>
    <t>4.5BHK
(Duplex with 21st Floor)</t>
  </si>
  <si>
    <t>5BHK
(Duplex with 21st Floor)</t>
  </si>
  <si>
    <t>Lower Duplex with 20th Floor</t>
  </si>
  <si>
    <t>All work Completed. OC Received.</t>
  </si>
  <si>
    <t xml:space="preserve">Please check for Fire NOC.
</t>
  </si>
  <si>
    <t>Shops</t>
  </si>
  <si>
    <r>
      <t xml:space="preserve">Shop No.
</t>
    </r>
    <r>
      <rPr>
        <b/>
        <sz val="11"/>
        <rFont val="Times New Roman"/>
        <family val="1"/>
      </rPr>
      <t>(Approved Plan)</t>
    </r>
  </si>
  <si>
    <t>Wing A = Gr/St + P1 + 2nd to 21st Floor
Wing B = Gr/St + P1 + 2nd to 21st Floor
Wing C = Gr/St + P1 + 2nd to 21st Floor</t>
  </si>
  <si>
    <t>Wing A, B &amp; C = Gr/St + P1 + 2nd to 21st Floor</t>
  </si>
  <si>
    <t>We considered Gross carpet area = Net carpet.</t>
  </si>
  <si>
    <r>
      <t xml:space="preserve">Flat No.
</t>
    </r>
    <r>
      <rPr>
        <b/>
        <sz val="11"/>
        <rFont val="Times New Roman"/>
        <family val="1"/>
      </rPr>
      <t>(Approved Plan)</t>
    </r>
  </si>
  <si>
    <t>1st Podium Floor for Parking, Fitness Center &amp; Recreational Area</t>
  </si>
  <si>
    <t>Flats - 228, Shops - 11, Bank - 1</t>
  </si>
  <si>
    <t>Wing A, B &amp; C</t>
  </si>
  <si>
    <t>Approved area of building (Sq.Mt)
(Wing A, B &amp; C)</t>
  </si>
  <si>
    <t>As per layout, project consists of Wing A to C &amp; Building No.1 (Commercial). But only A, B &amp; C wings are registered on Rera. So we have done APF for only wing A, B &amp; C.</t>
  </si>
  <si>
    <t>We have updated OC &amp; OC plans from MCGM site (On 30/08/2025).</t>
  </si>
  <si>
    <t xml:space="preserve">Part O. Certificate No.: </t>
  </si>
  <si>
    <t>CE/910/BPES/AS/OCC/1/New</t>
  </si>
  <si>
    <t>3 + 4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</si>
</sst>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300">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3" fillId="0" borderId="1" xfId="1" applyFont="1" applyBorder="1" applyAlignment="1" applyProtection="1">
      <alignment horizontal="center" vertical="top"/>
      <protection locked="0"/>
    </xf>
    <xf numFmtId="0" fontId="16" fillId="0" borderId="11" xfId="0" applyFont="1" applyBorder="1" applyProtection="1">
      <protection hidden="1"/>
    </xf>
    <xf numFmtId="0" fontId="10" fillId="0" borderId="4"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top"/>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10"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3"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0" fillId="0" borderId="1" xfId="1" applyFont="1" applyBorder="1"/>
    <xf numFmtId="0" fontId="6" fillId="0" borderId="1" xfId="1" applyFont="1" applyBorder="1"/>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3" fillId="2" borderId="0" xfId="1" applyFont="1" applyFill="1"/>
    <xf numFmtId="14" fontId="10" fillId="0" borderId="0" xfId="1" applyNumberFormat="1" applyFont="1"/>
    <xf numFmtId="0" fontId="0" fillId="0" borderId="1" xfId="0" applyBorder="1" applyAlignment="1">
      <alignment horizontal="left" vertical="top"/>
    </xf>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6" fillId="0" borderId="1" xfId="1" applyNumberFormat="1" applyFont="1" applyBorder="1" applyAlignment="1">
      <alignment horizontal="center" vertical="center"/>
    </xf>
    <xf numFmtId="1" fontId="11" fillId="0" borderId="3" xfId="1" applyNumberFormat="1" applyFont="1" applyBorder="1" applyAlignment="1" applyProtection="1">
      <alignment horizontal="center" vertical="top" wrapText="1"/>
      <protection locked="0"/>
    </xf>
    <xf numFmtId="9" fontId="11" fillId="0" borderId="16"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10" fillId="0" borderId="1" xfId="1" applyNumberFormat="1" applyFont="1" applyBorder="1" applyAlignment="1">
      <alignment horizontal="center" vertical="center"/>
    </xf>
    <xf numFmtId="1" fontId="10" fillId="0" borderId="1" xfId="1" applyNumberFormat="1" applyFont="1" applyFill="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9" fontId="10" fillId="0" borderId="7" xfId="8" applyFont="1" applyFill="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21"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7" fillId="5" borderId="8" xfId="1" applyNumberFormat="1" applyFont="1" applyFill="1" applyBorder="1" applyAlignment="1" applyProtection="1">
      <alignment horizontal="center" vertical="center" wrapText="1"/>
      <protection locked="0"/>
    </xf>
    <xf numFmtId="1" fontId="7" fillId="5" borderId="21" xfId="1" applyNumberFormat="1" applyFont="1" applyFill="1" applyBorder="1" applyAlignment="1" applyProtection="1">
      <alignment horizontal="center" vertical="center" wrapText="1"/>
      <protection locked="0"/>
    </xf>
    <xf numFmtId="1" fontId="7" fillId="5" borderId="9" xfId="1" applyNumberFormat="1" applyFont="1" applyFill="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1" fontId="11" fillId="5" borderId="8" xfId="1" applyNumberFormat="1" applyFont="1" applyFill="1" applyBorder="1" applyAlignment="1" applyProtection="1">
      <alignment horizontal="center" vertical="center" wrapText="1"/>
      <protection locked="0"/>
    </xf>
    <xf numFmtId="1" fontId="11" fillId="5" borderId="21" xfId="1" applyNumberFormat="1" applyFont="1" applyFill="1" applyBorder="1" applyAlignment="1" applyProtection="1">
      <alignment horizontal="center" vertical="center" wrapText="1"/>
      <protection locked="0"/>
    </xf>
    <xf numFmtId="1" fontId="11" fillId="5" borderId="9" xfId="1" applyNumberFormat="1" applyFont="1" applyFill="1" applyBorder="1" applyAlignment="1" applyProtection="1">
      <alignment horizontal="center" vertical="center" wrapText="1"/>
      <protection locked="0"/>
    </xf>
    <xf numFmtId="0" fontId="6" fillId="0" borderId="5" xfId="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11" fillId="0" borderId="8" xfId="0" applyNumberFormat="1" applyFont="1" applyBorder="1" applyAlignment="1" applyProtection="1">
      <alignment vertical="top" wrapText="1"/>
      <protection locked="0"/>
    </xf>
    <xf numFmtId="1" fontId="11" fillId="0" borderId="21"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xf numFmtId="1" fontId="10" fillId="0" borderId="8"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1" fontId="15" fillId="0" borderId="8" xfId="0" applyNumberFormat="1" applyFont="1" applyBorder="1" applyAlignment="1" applyProtection="1">
      <alignment vertical="top" wrapText="1"/>
      <protection locked="0"/>
    </xf>
    <xf numFmtId="1" fontId="15" fillId="0" borderId="21" xfId="0" applyNumberFormat="1" applyFont="1" applyBorder="1" applyAlignment="1" applyProtection="1">
      <alignment vertical="top" wrapText="1"/>
      <protection locked="0"/>
    </xf>
    <xf numFmtId="1" fontId="15" fillId="0" borderId="9" xfId="0" applyNumberFormat="1" applyFont="1" applyBorder="1" applyAlignment="1" applyProtection="1">
      <alignment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11" fillId="0" borderId="3"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1" fillId="0" borderId="4"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24" fillId="0" borderId="1" xfId="10" applyFill="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0" fillId="0" borderId="4"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9" fontId="10" fillId="0" borderId="17" xfId="8" applyFont="1" applyFill="1" applyBorder="1" applyAlignment="1" applyProtection="1">
      <alignment horizontal="center" vertical="center" wrapText="1"/>
      <protection locked="0"/>
    </xf>
    <xf numFmtId="9" fontId="10" fillId="0" borderId="18"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9" fontId="10" fillId="0" borderId="29" xfId="8" applyFont="1" applyFill="1" applyBorder="1" applyAlignment="1" applyProtection="1">
      <alignment horizontal="center" vertical="center" wrapText="1"/>
      <protection locked="0"/>
    </xf>
    <xf numFmtId="9" fontId="10" fillId="0" borderId="27" xfId="8" applyFont="1" applyFill="1" applyBorder="1" applyAlignment="1" applyProtection="1">
      <alignment horizontal="center" vertical="center" wrapText="1"/>
      <protection locked="0"/>
    </xf>
    <xf numFmtId="9" fontId="10" fillId="0" borderId="10" xfId="8" applyFont="1" applyFill="1" applyBorder="1" applyAlignment="1" applyProtection="1">
      <alignment horizontal="center" vertical="center" wrapText="1"/>
      <protection locked="0"/>
    </xf>
    <xf numFmtId="9" fontId="10" fillId="0" borderId="12" xfId="8" applyFont="1" applyFill="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167" fontId="10" fillId="0" borderId="1" xfId="9" applyNumberFormat="1" applyFont="1" applyFill="1" applyBorder="1" applyAlignment="1" applyProtection="1">
      <alignment horizontal="left" vertical="top"/>
      <protection locked="0"/>
    </xf>
    <xf numFmtId="1" fontId="9" fillId="0" borderId="33" xfId="0" applyNumberFormat="1" applyFont="1" applyBorder="1" applyAlignment="1" applyProtection="1">
      <alignment horizontal="center" vertical="top" wrapText="1"/>
      <protection locked="0"/>
    </xf>
    <xf numFmtId="0" fontId="10" fillId="0" borderId="8" xfId="1" applyFont="1" applyBorder="1" applyAlignment="1" applyProtection="1">
      <alignment horizontal="center" vertical="top"/>
      <protection locked="0"/>
    </xf>
    <xf numFmtId="0" fontId="10" fillId="0" borderId="21" xfId="1" applyFont="1" applyBorder="1" applyAlignment="1" applyProtection="1">
      <alignment horizontal="center" vertical="top"/>
      <protection locked="0"/>
    </xf>
    <xf numFmtId="0" fontId="10" fillId="0" borderId="9" xfId="1" applyFont="1" applyBorder="1" applyAlignment="1" applyProtection="1">
      <alignment horizontal="center" vertical="top"/>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25" xfId="1" applyFont="1" applyBorder="1" applyAlignment="1" applyProtection="1">
      <alignment horizontal="left" vertical="top" wrapText="1"/>
      <protection locked="0"/>
    </xf>
    <xf numFmtId="0" fontId="5" fillId="0" borderId="26"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24"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11" fillId="0" borderId="22"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10"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5" fillId="0" borderId="17" xfId="1" applyFont="1" applyBorder="1" applyAlignment="1" applyProtection="1">
      <alignment horizontal="center" vertical="top" wrapText="1"/>
      <protection locked="0"/>
    </xf>
    <xf numFmtId="0" fontId="5" fillId="0" borderId="24" xfId="1" applyFont="1" applyBorder="1" applyAlignment="1" applyProtection="1">
      <alignment horizontal="center" vertical="top" wrapText="1"/>
      <protection locked="0"/>
    </xf>
    <xf numFmtId="0" fontId="5" fillId="0" borderId="18" xfId="1" applyFont="1" applyBorder="1" applyAlignment="1" applyProtection="1">
      <alignment horizontal="center" vertical="top" wrapText="1"/>
      <protection locked="0"/>
    </xf>
    <xf numFmtId="0" fontId="5" fillId="0" borderId="19" xfId="1" applyFont="1" applyBorder="1" applyAlignment="1" applyProtection="1">
      <alignment horizontal="center" vertical="top" wrapText="1"/>
      <protection locked="0"/>
    </xf>
    <xf numFmtId="0" fontId="5" fillId="0" borderId="2" xfId="1" applyFont="1" applyBorder="1" applyAlignment="1" applyProtection="1">
      <alignment horizontal="center" vertical="top" wrapText="1"/>
      <protection locked="0"/>
    </xf>
    <xf numFmtId="0" fontId="5" fillId="0" borderId="20" xfId="1" applyFont="1" applyBorder="1" applyAlignment="1" applyProtection="1">
      <alignment horizontal="center" vertical="top" wrapText="1"/>
      <protection locked="0"/>
    </xf>
    <xf numFmtId="0" fontId="10"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10" fillId="0" borderId="1" xfId="1" applyFont="1" applyBorder="1" applyAlignment="1" applyProtection="1">
      <alignment horizontal="left"/>
      <protection locked="0"/>
    </xf>
    <xf numFmtId="0" fontId="28"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14" fontId="10"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0" fontId="9" fillId="0" borderId="33" xfId="0" applyFont="1" applyBorder="1" applyAlignment="1" applyProtection="1">
      <alignment horizontal="center" vertical="center"/>
      <protection locked="0"/>
    </xf>
    <xf numFmtId="1" fontId="7" fillId="0" borderId="3" xfId="0" applyNumberFormat="1" applyFont="1" applyBorder="1" applyAlignment="1" applyProtection="1">
      <alignment horizontal="center" vertical="top" wrapText="1"/>
      <protection locked="0"/>
    </xf>
    <xf numFmtId="0" fontId="11" fillId="0" borderId="16" xfId="1" applyFont="1" applyBorder="1" applyAlignment="1" applyProtection="1">
      <alignment horizontal="center" vertical="top"/>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0" fontId="9" fillId="0" borderId="3" xfId="0" applyFont="1" applyBorder="1" applyAlignment="1" applyProtection="1">
      <alignment horizontal="center" vertical="center"/>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6" fillId="0" borderId="25" xfId="1" applyFont="1" applyBorder="1" applyAlignment="1">
      <alignment horizontal="center"/>
    </xf>
    <xf numFmtId="0" fontId="6" fillId="0" borderId="0" xfId="1" applyFont="1" applyAlignment="1">
      <alignment horizontal="center"/>
    </xf>
    <xf numFmtId="1" fontId="10" fillId="0" borderId="2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left" vertical="top" wrapText="1"/>
      <protection locked="0"/>
    </xf>
    <xf numFmtId="0" fontId="10" fillId="0" borderId="5" xfId="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1" fontId="11" fillId="0" borderId="17" xfId="1" applyNumberFormat="1" applyFont="1" applyBorder="1" applyAlignment="1" applyProtection="1">
      <alignment horizontal="center" vertical="top" wrapText="1"/>
      <protection locked="0"/>
    </xf>
    <xf numFmtId="1" fontId="11" fillId="0" borderId="19" xfId="1" applyNumberFormat="1"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0" fontId="13" fillId="0" borderId="25" xfId="1" applyFont="1" applyBorder="1" applyAlignment="1" applyProtection="1">
      <alignment horizontal="left" vertical="top" wrapText="1"/>
      <protection locked="0"/>
    </xf>
    <xf numFmtId="0" fontId="13" fillId="0" borderId="26" xfId="1" applyFont="1" applyBorder="1" applyAlignment="1" applyProtection="1">
      <alignment horizontal="left" vertical="top" wrapText="1"/>
      <protection locked="0"/>
    </xf>
    <xf numFmtId="1" fontId="5" fillId="0" borderId="3" xfId="1" applyNumberFormat="1" applyFont="1" applyBorder="1" applyAlignment="1" applyProtection="1">
      <alignment horizontal="center" vertical="center" wrapText="1"/>
      <protection locked="0"/>
    </xf>
    <xf numFmtId="1" fontId="5" fillId="0" borderId="16"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8.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8</xdr:col>
      <xdr:colOff>165100</xdr:colOff>
      <xdr:row>15</xdr:row>
      <xdr:rowOff>527050</xdr:rowOff>
    </xdr:from>
    <xdr:to>
      <xdr:col>14</xdr:col>
      <xdr:colOff>91400</xdr:colOff>
      <xdr:row>18</xdr:row>
      <xdr:rowOff>117282</xdr:rowOff>
    </xdr:to>
    <xdr:pic>
      <xdr:nvPicPr>
        <xdr:cNvPr id="2" name="Picture 1"/>
        <xdr:cNvPicPr>
          <a:picLocks noChangeAspect="1"/>
        </xdr:cNvPicPr>
      </xdr:nvPicPr>
      <xdr:blipFill>
        <a:blip xmlns:r="http://schemas.openxmlformats.org/officeDocument/2006/relationships" r:embed="rId1"/>
        <a:stretch>
          <a:fillRect/>
        </a:stretch>
      </xdr:blipFill>
      <xdr:spPr>
        <a:xfrm>
          <a:off x="6788150" y="3486150"/>
          <a:ext cx="5400000" cy="510982"/>
        </a:xfrm>
        <a:prstGeom prst="rect">
          <a:avLst/>
        </a:prstGeom>
        <a:ln>
          <a:solidFill>
            <a:schemeClr val="tx1"/>
          </a:solidFill>
        </a:ln>
      </xdr:spPr>
    </xdr:pic>
    <xdr:clientData/>
  </xdr:twoCellAnchor>
  <xdr:twoCellAnchor>
    <xdr:from>
      <xdr:col>1</xdr:col>
      <xdr:colOff>190500</xdr:colOff>
      <xdr:row>422</xdr:row>
      <xdr:rowOff>69850</xdr:rowOff>
    </xdr:from>
    <xdr:to>
      <xdr:col>6</xdr:col>
      <xdr:colOff>584250</xdr:colOff>
      <xdr:row>459</xdr:row>
      <xdr:rowOff>127742</xdr:rowOff>
    </xdr:to>
    <xdr:grpSp>
      <xdr:nvGrpSpPr>
        <xdr:cNvPr id="6" name="Group 5"/>
        <xdr:cNvGrpSpPr/>
      </xdr:nvGrpSpPr>
      <xdr:grpSpPr>
        <a:xfrm>
          <a:off x="952500" y="83480275"/>
          <a:ext cx="4479975" cy="7458817"/>
          <a:chOff x="990600" y="67633850"/>
          <a:chExt cx="4680000" cy="7341342"/>
        </a:xfrm>
      </xdr:grpSpPr>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990600" y="71495867"/>
            <a:ext cx="4680000" cy="3479325"/>
          </a:xfrm>
          <a:prstGeom prst="rect">
            <a:avLst/>
          </a:prstGeom>
          <a:ln>
            <a:solidFill>
              <a:schemeClr val="tx1"/>
            </a:solidFill>
          </a:ln>
        </xdr:spPr>
      </xdr:pic>
      <xdr:pic>
        <xdr:nvPicPr>
          <xdr:cNvPr id="4" name="Picture 3"/>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990600" y="67633850"/>
            <a:ext cx="4680000" cy="3774194"/>
          </a:xfrm>
          <a:prstGeom prst="rect">
            <a:avLst/>
          </a:prstGeom>
          <a:ln>
            <a:solidFill>
              <a:schemeClr val="tx1"/>
            </a:solidFill>
          </a:ln>
        </xdr:spPr>
      </xdr:pic>
      <xdr:sp macro="" textlink="">
        <xdr:nvSpPr>
          <xdr:cNvPr id="5" name="Rectangle 4"/>
          <xdr:cNvSpPr/>
        </xdr:nvSpPr>
        <xdr:spPr>
          <a:xfrm rot="21415134">
            <a:off x="2303815" y="72382427"/>
            <a:ext cx="1580956" cy="1753821"/>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grpSp>
    <xdr:clientData/>
  </xdr:twoCellAnchor>
  <xdr:oneCellAnchor>
    <xdr:from>
      <xdr:col>8</xdr:col>
      <xdr:colOff>1073150</xdr:colOff>
      <xdr:row>385</xdr:row>
      <xdr:rowOff>12700</xdr:rowOff>
    </xdr:from>
    <xdr:ext cx="708912" cy="311496"/>
    <xdr:sp macro="" textlink="">
      <xdr:nvSpPr>
        <xdr:cNvPr id="9" name="TextBox 8"/>
        <xdr:cNvSpPr txBox="1"/>
      </xdr:nvSpPr>
      <xdr:spPr>
        <a:xfrm>
          <a:off x="7696200" y="6009640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Wing A</a:t>
          </a:r>
        </a:p>
      </xdr:txBody>
    </xdr:sp>
    <xdr:clientData/>
  </xdr:oneCellAnchor>
  <xdr:twoCellAnchor>
    <xdr:from>
      <xdr:col>0</xdr:col>
      <xdr:colOff>69850</xdr:colOff>
      <xdr:row>379</xdr:row>
      <xdr:rowOff>114300</xdr:rowOff>
    </xdr:from>
    <xdr:to>
      <xdr:col>7</xdr:col>
      <xdr:colOff>701500</xdr:colOff>
      <xdr:row>418</xdr:row>
      <xdr:rowOff>10968</xdr:rowOff>
    </xdr:to>
    <xdr:grpSp>
      <xdr:nvGrpSpPr>
        <xdr:cNvPr id="13" name="Group 12"/>
        <xdr:cNvGrpSpPr/>
      </xdr:nvGrpSpPr>
      <xdr:grpSpPr>
        <a:xfrm>
          <a:off x="69850" y="74923650"/>
          <a:ext cx="6213300" cy="7697643"/>
          <a:chOff x="69850" y="59016900"/>
          <a:chExt cx="6486350" cy="7573818"/>
        </a:xfrm>
      </xdr:grpSpPr>
      <xdr:pic>
        <xdr:nvPicPr>
          <xdr:cNvPr id="7" name="Picture 6"/>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76200" y="59016900"/>
            <a:ext cx="6480000" cy="3137016"/>
          </a:xfrm>
          <a:prstGeom prst="rect">
            <a:avLst/>
          </a:prstGeom>
          <a:ln>
            <a:solidFill>
              <a:schemeClr val="tx1"/>
            </a:solidFill>
          </a:ln>
        </xdr:spPr>
      </xdr:pic>
      <xdr:pic>
        <xdr:nvPicPr>
          <xdr:cNvPr id="8" name="Picture 7"/>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1336200" y="62304229"/>
            <a:ext cx="3960000" cy="4286489"/>
          </a:xfrm>
          <a:prstGeom prst="rect">
            <a:avLst/>
          </a:prstGeom>
          <a:ln>
            <a:solidFill>
              <a:schemeClr val="tx1"/>
            </a:solidFill>
          </a:ln>
        </xdr:spPr>
      </xdr:pic>
      <xdr:sp macro="" textlink="">
        <xdr:nvSpPr>
          <xdr:cNvPr id="10" name="TextBox 9"/>
          <xdr:cNvSpPr txBox="1"/>
        </xdr:nvSpPr>
        <xdr:spPr>
          <a:xfrm>
            <a:off x="69850" y="60293250"/>
            <a:ext cx="72244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cap="none" spc="0">
                <a:ln w="0"/>
                <a:solidFill>
                  <a:srgbClr val="FF0000"/>
                </a:solidFill>
                <a:effectLst>
                  <a:outerShdw blurRad="38100" dist="25400" dir="5400000" algn="ctr" rotWithShape="0">
                    <a:srgbClr val="6E747A">
                      <a:alpha val="43000"/>
                    </a:srgbClr>
                  </a:outerShdw>
                </a:effectLst>
              </a:rPr>
              <a:t>Wing A</a:t>
            </a:r>
          </a:p>
        </xdr:txBody>
      </xdr:sp>
      <xdr:sp macro="" textlink="">
        <xdr:nvSpPr>
          <xdr:cNvPr id="11" name="TextBox 10"/>
          <xdr:cNvSpPr txBox="1"/>
        </xdr:nvSpPr>
        <xdr:spPr>
          <a:xfrm>
            <a:off x="292100" y="61379100"/>
            <a:ext cx="72244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cap="none" spc="0">
                <a:ln w="0"/>
                <a:solidFill>
                  <a:srgbClr val="FF0000"/>
                </a:solidFill>
                <a:effectLst>
                  <a:outerShdw blurRad="38100" dist="25400" dir="5400000" algn="ctr" rotWithShape="0">
                    <a:srgbClr val="6E747A">
                      <a:alpha val="43000"/>
                    </a:srgbClr>
                  </a:outerShdw>
                </a:effectLst>
              </a:rPr>
              <a:t>Wing B</a:t>
            </a:r>
          </a:p>
        </xdr:txBody>
      </xdr:sp>
      <xdr:sp macro="" textlink="">
        <xdr:nvSpPr>
          <xdr:cNvPr id="12" name="TextBox 11"/>
          <xdr:cNvSpPr txBox="1"/>
        </xdr:nvSpPr>
        <xdr:spPr>
          <a:xfrm>
            <a:off x="1568450" y="60706000"/>
            <a:ext cx="72244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cap="none" spc="0">
                <a:ln w="0"/>
                <a:solidFill>
                  <a:srgbClr val="FF0000"/>
                </a:solidFill>
                <a:effectLst>
                  <a:outerShdw blurRad="38100" dist="25400" dir="5400000" algn="ctr" rotWithShape="0">
                    <a:srgbClr val="6E747A">
                      <a:alpha val="43000"/>
                    </a:srgbClr>
                  </a:outerShdw>
                </a:effectLst>
              </a:rPr>
              <a:t>Wing C</a:t>
            </a:r>
          </a:p>
        </xdr:txBody>
      </xdr:sp>
    </xdr:grpSp>
    <xdr:clientData/>
  </xdr:twoCellAnchor>
  <xdr:twoCellAnchor>
    <xdr:from>
      <xdr:col>0</xdr:col>
      <xdr:colOff>127000</xdr:colOff>
      <xdr:row>336</xdr:row>
      <xdr:rowOff>82550</xdr:rowOff>
    </xdr:from>
    <xdr:to>
      <xdr:col>7</xdr:col>
      <xdr:colOff>669958</xdr:colOff>
      <xdr:row>364</xdr:row>
      <xdr:rowOff>169012</xdr:rowOff>
    </xdr:to>
    <xdr:grpSp>
      <xdr:nvGrpSpPr>
        <xdr:cNvPr id="14" name="Group 13"/>
        <xdr:cNvGrpSpPr/>
      </xdr:nvGrpSpPr>
      <xdr:grpSpPr>
        <a:xfrm>
          <a:off x="127000" y="66300350"/>
          <a:ext cx="6124608" cy="5677637"/>
          <a:chOff x="50800" y="25952450"/>
          <a:chExt cx="6397658" cy="5591912"/>
        </a:xfrm>
      </xdr:grpSpPr>
      <xdr:pic>
        <xdr:nvPicPr>
          <xdr:cNvPr id="15" name="Picture 1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390734" y="28808362"/>
            <a:ext cx="2057724" cy="2736000"/>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50800" y="25952450"/>
            <a:ext cx="2057724" cy="2736000"/>
          </a:xfrm>
          <a:prstGeom prst="rect">
            <a:avLst/>
          </a:prstGeom>
          <a:ln>
            <a:solidFill>
              <a:schemeClr val="tx1"/>
            </a:solidFill>
          </a:ln>
        </xdr:spPr>
      </xdr:pic>
      <xdr:pic>
        <xdr:nvPicPr>
          <xdr:cNvPr id="17" name="Picture 16"/>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211242" y="25952450"/>
            <a:ext cx="2057724" cy="2736000"/>
          </a:xfrm>
          <a:prstGeom prst="rect">
            <a:avLst/>
          </a:prstGeom>
          <a:ln>
            <a:solidFill>
              <a:schemeClr val="tx1"/>
            </a:solidFill>
          </a:ln>
        </xdr:spPr>
      </xdr:pic>
      <xdr:pic>
        <xdr:nvPicPr>
          <xdr:cNvPr id="18" name="Picture 17"/>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390734" y="25952450"/>
            <a:ext cx="2057724" cy="2736000"/>
          </a:xfrm>
          <a:prstGeom prst="rect">
            <a:avLst/>
          </a:prstGeom>
          <a:ln>
            <a:solidFill>
              <a:schemeClr val="tx1"/>
            </a:solidFill>
          </a:ln>
        </xdr:spPr>
      </xdr:pic>
      <xdr:pic>
        <xdr:nvPicPr>
          <xdr:cNvPr id="19" name="Picture 18"/>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211242" y="28808362"/>
            <a:ext cx="2057724" cy="2736000"/>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50800" y="28808362"/>
            <a:ext cx="2057724" cy="2736000"/>
          </a:xfrm>
          <a:prstGeom prst="rect">
            <a:avLst/>
          </a:prstGeom>
          <a:ln>
            <a:solidFill>
              <a:schemeClr val="tx1"/>
            </a:solidFill>
          </a:ln>
        </xdr:spPr>
      </xdr:pic>
    </xdr:grpSp>
    <xdr:clientData/>
  </xdr:twoCellAnchor>
  <xdr:oneCellAnchor>
    <xdr:from>
      <xdr:col>0</xdr:col>
      <xdr:colOff>768350</xdr:colOff>
      <xdr:row>345</xdr:row>
      <xdr:rowOff>95250</xdr:rowOff>
    </xdr:from>
    <xdr:ext cx="787400" cy="311496"/>
    <xdr:sp macro="" textlink="">
      <xdr:nvSpPr>
        <xdr:cNvPr id="21" name="TextBox 20"/>
        <xdr:cNvSpPr txBox="1"/>
      </xdr:nvSpPr>
      <xdr:spPr>
        <a:xfrm>
          <a:off x="768350" y="52108100"/>
          <a:ext cx="78740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Wing A</a:t>
          </a:r>
        </a:p>
      </xdr:txBody>
    </xdr:sp>
    <xdr:clientData/>
  </xdr:oneCellAnchor>
  <xdr:oneCellAnchor>
    <xdr:from>
      <xdr:col>3</xdr:col>
      <xdr:colOff>723900</xdr:colOff>
      <xdr:row>344</xdr:row>
      <xdr:rowOff>158750</xdr:rowOff>
    </xdr:from>
    <xdr:ext cx="787400" cy="311496"/>
    <xdr:sp macro="" textlink="">
      <xdr:nvSpPr>
        <xdr:cNvPr id="22" name="TextBox 21"/>
        <xdr:cNvSpPr txBox="1"/>
      </xdr:nvSpPr>
      <xdr:spPr>
        <a:xfrm>
          <a:off x="3251200" y="51974750"/>
          <a:ext cx="78740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Wing B</a:t>
          </a:r>
        </a:p>
      </xdr:txBody>
    </xdr:sp>
    <xdr:clientData/>
  </xdr:oneCellAnchor>
  <xdr:oneCellAnchor>
    <xdr:from>
      <xdr:col>6</xdr:col>
      <xdr:colOff>50800</xdr:colOff>
      <xdr:row>347</xdr:row>
      <xdr:rowOff>31750</xdr:rowOff>
    </xdr:from>
    <xdr:ext cx="787400" cy="311496"/>
    <xdr:sp macro="" textlink="">
      <xdr:nvSpPr>
        <xdr:cNvPr id="23" name="TextBox 22"/>
        <xdr:cNvSpPr txBox="1"/>
      </xdr:nvSpPr>
      <xdr:spPr>
        <a:xfrm>
          <a:off x="5137150" y="52438300"/>
          <a:ext cx="78740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Wing C</a:t>
          </a:r>
        </a:p>
      </xdr:txBody>
    </xdr:sp>
    <xdr:clientData/>
  </xdr:oneCellAnchor>
  <xdr:twoCellAnchor>
    <xdr:from>
      <xdr:col>8</xdr:col>
      <xdr:colOff>768350</xdr:colOff>
      <xdr:row>156</xdr:row>
      <xdr:rowOff>15875</xdr:rowOff>
    </xdr:from>
    <xdr:to>
      <xdr:col>14</xdr:col>
      <xdr:colOff>450567</xdr:colOff>
      <xdr:row>199</xdr:row>
      <xdr:rowOff>22500</xdr:rowOff>
    </xdr:to>
    <xdr:grpSp>
      <xdr:nvGrpSpPr>
        <xdr:cNvPr id="29" name="Group 28"/>
        <xdr:cNvGrpSpPr/>
      </xdr:nvGrpSpPr>
      <xdr:grpSpPr>
        <a:xfrm>
          <a:off x="7083425" y="28933775"/>
          <a:ext cx="4911442" cy="8979175"/>
          <a:chOff x="7016750" y="29794200"/>
          <a:chExt cx="5155917" cy="8880750"/>
        </a:xfrm>
      </xdr:grpSpPr>
      <xdr:pic>
        <xdr:nvPicPr>
          <xdr:cNvPr id="24" name="Picture 23"/>
          <xdr:cNvPicPr>
            <a:picLocks noChangeAspect="1"/>
          </xdr:cNvPicPr>
        </xdr:nvPicPr>
        <xdr:blipFill>
          <a:blip xmlns:r="http://schemas.openxmlformats.org/officeDocument/2006/relationships" r:embed="rId12"/>
          <a:stretch>
            <a:fillRect/>
          </a:stretch>
        </xdr:blipFill>
        <xdr:spPr>
          <a:xfrm>
            <a:off x="7016750" y="29794200"/>
            <a:ext cx="2559086" cy="2880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13"/>
          <a:stretch>
            <a:fillRect/>
          </a:stretch>
        </xdr:blipFill>
        <xdr:spPr>
          <a:xfrm>
            <a:off x="9697586" y="29800550"/>
            <a:ext cx="2327040" cy="2880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14"/>
          <a:stretch>
            <a:fillRect/>
          </a:stretch>
        </xdr:blipFill>
        <xdr:spPr>
          <a:xfrm>
            <a:off x="7029450" y="32778700"/>
            <a:ext cx="2448392" cy="288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5"/>
          <a:stretch>
            <a:fillRect/>
          </a:stretch>
        </xdr:blipFill>
        <xdr:spPr>
          <a:xfrm>
            <a:off x="9592320" y="32785050"/>
            <a:ext cx="2580347" cy="2880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6"/>
          <a:stretch>
            <a:fillRect/>
          </a:stretch>
        </xdr:blipFill>
        <xdr:spPr>
          <a:xfrm>
            <a:off x="7035800" y="35794950"/>
            <a:ext cx="3610256" cy="2880000"/>
          </a:xfrm>
          <a:prstGeom prst="rect">
            <a:avLst/>
          </a:prstGeom>
          <a:ln>
            <a:solidFill>
              <a:schemeClr val="tx1"/>
            </a:solidFill>
          </a:ln>
        </xdr:spPr>
      </xdr:pic>
    </xdr:grpSp>
    <xdr:clientData/>
  </xdr:twoCellAnchor>
  <xdr:twoCellAnchor>
    <xdr:from>
      <xdr:col>8</xdr:col>
      <xdr:colOff>669925</xdr:colOff>
      <xdr:row>212</xdr:row>
      <xdr:rowOff>3175</xdr:rowOff>
    </xdr:from>
    <xdr:to>
      <xdr:col>15</xdr:col>
      <xdr:colOff>120691</xdr:colOff>
      <xdr:row>241</xdr:row>
      <xdr:rowOff>162200</xdr:rowOff>
    </xdr:to>
    <xdr:grpSp>
      <xdr:nvGrpSpPr>
        <xdr:cNvPr id="42" name="Group 41"/>
        <xdr:cNvGrpSpPr/>
      </xdr:nvGrpSpPr>
      <xdr:grpSpPr>
        <a:xfrm>
          <a:off x="6985000" y="40474900"/>
          <a:ext cx="5489616" cy="5902600"/>
          <a:chOff x="7359650" y="40366950"/>
          <a:chExt cx="5775366" cy="5864500"/>
        </a:xfrm>
      </xdr:grpSpPr>
      <xdr:pic>
        <xdr:nvPicPr>
          <xdr:cNvPr id="30" name="Picture 29"/>
          <xdr:cNvPicPr>
            <a:picLocks noChangeAspect="1"/>
          </xdr:cNvPicPr>
        </xdr:nvPicPr>
        <xdr:blipFill>
          <a:blip xmlns:r="http://schemas.openxmlformats.org/officeDocument/2006/relationships" r:embed="rId17"/>
          <a:stretch>
            <a:fillRect/>
          </a:stretch>
        </xdr:blipFill>
        <xdr:spPr>
          <a:xfrm>
            <a:off x="7366000" y="40366950"/>
            <a:ext cx="3096417" cy="288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8"/>
          <a:stretch>
            <a:fillRect/>
          </a:stretch>
        </xdr:blipFill>
        <xdr:spPr>
          <a:xfrm>
            <a:off x="10570916" y="40366950"/>
            <a:ext cx="2525119" cy="288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9"/>
          <a:stretch>
            <a:fillRect/>
          </a:stretch>
        </xdr:blipFill>
        <xdr:spPr>
          <a:xfrm>
            <a:off x="7359650" y="43351450"/>
            <a:ext cx="3097675" cy="288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20"/>
          <a:stretch>
            <a:fillRect/>
          </a:stretch>
        </xdr:blipFill>
        <xdr:spPr>
          <a:xfrm>
            <a:off x="10610740" y="43351450"/>
            <a:ext cx="2524276" cy="2880000"/>
          </a:xfrm>
          <a:prstGeom prst="rect">
            <a:avLst/>
          </a:prstGeom>
          <a:ln>
            <a:solidFill>
              <a:schemeClr val="tx1"/>
            </a:solidFill>
          </a:ln>
        </xdr:spPr>
      </xdr:pic>
    </xdr:grpSp>
    <xdr:clientData/>
  </xdr:twoCellAnchor>
  <xdr:twoCellAnchor>
    <xdr:from>
      <xdr:col>9</xdr:col>
      <xdr:colOff>587375</xdr:colOff>
      <xdr:row>254</xdr:row>
      <xdr:rowOff>187325</xdr:rowOff>
    </xdr:from>
    <xdr:to>
      <xdr:col>15</xdr:col>
      <xdr:colOff>599448</xdr:colOff>
      <xdr:row>297</xdr:row>
      <xdr:rowOff>120925</xdr:rowOff>
    </xdr:to>
    <xdr:grpSp>
      <xdr:nvGrpSpPr>
        <xdr:cNvPr id="41" name="Group 40"/>
        <xdr:cNvGrpSpPr/>
      </xdr:nvGrpSpPr>
      <xdr:grpSpPr>
        <a:xfrm>
          <a:off x="8064500" y="48983900"/>
          <a:ext cx="4888873" cy="8839475"/>
          <a:chOff x="7239000" y="49796700"/>
          <a:chExt cx="5098423" cy="8817250"/>
        </a:xfrm>
      </xdr:grpSpPr>
      <xdr:pic>
        <xdr:nvPicPr>
          <xdr:cNvPr id="36" name="Picture 35"/>
          <xdr:cNvPicPr>
            <a:picLocks noChangeAspect="1"/>
          </xdr:cNvPicPr>
        </xdr:nvPicPr>
        <xdr:blipFill>
          <a:blip xmlns:r="http://schemas.openxmlformats.org/officeDocument/2006/relationships" r:embed="rId21"/>
          <a:stretch>
            <a:fillRect/>
          </a:stretch>
        </xdr:blipFill>
        <xdr:spPr>
          <a:xfrm>
            <a:off x="7258050" y="49796700"/>
            <a:ext cx="2470490" cy="2880000"/>
          </a:xfrm>
          <a:prstGeom prst="rect">
            <a:avLst/>
          </a:prstGeom>
          <a:ln>
            <a:solidFill>
              <a:sysClr val="windowText" lastClr="000000"/>
            </a:solidFill>
          </a:ln>
        </xdr:spPr>
      </xdr:pic>
      <xdr:pic>
        <xdr:nvPicPr>
          <xdr:cNvPr id="37" name="Picture 36"/>
          <xdr:cNvPicPr>
            <a:picLocks noChangeAspect="1"/>
          </xdr:cNvPicPr>
        </xdr:nvPicPr>
        <xdr:blipFill>
          <a:blip xmlns:r="http://schemas.openxmlformats.org/officeDocument/2006/relationships" r:embed="rId22"/>
          <a:stretch>
            <a:fillRect/>
          </a:stretch>
        </xdr:blipFill>
        <xdr:spPr>
          <a:xfrm>
            <a:off x="9799313" y="49796700"/>
            <a:ext cx="2356364" cy="2880000"/>
          </a:xfrm>
          <a:prstGeom prst="rect">
            <a:avLst/>
          </a:prstGeom>
          <a:ln>
            <a:solidFill>
              <a:sysClr val="windowText" lastClr="000000"/>
            </a:solidFill>
          </a:ln>
        </xdr:spPr>
      </xdr:pic>
      <xdr:pic>
        <xdr:nvPicPr>
          <xdr:cNvPr id="38" name="Picture 37"/>
          <xdr:cNvPicPr>
            <a:picLocks noChangeAspect="1"/>
          </xdr:cNvPicPr>
        </xdr:nvPicPr>
        <xdr:blipFill>
          <a:blip xmlns:r="http://schemas.openxmlformats.org/officeDocument/2006/relationships" r:embed="rId23"/>
          <a:stretch>
            <a:fillRect/>
          </a:stretch>
        </xdr:blipFill>
        <xdr:spPr>
          <a:xfrm>
            <a:off x="9784379" y="52768500"/>
            <a:ext cx="2553044" cy="2880000"/>
          </a:xfrm>
          <a:prstGeom prst="rect">
            <a:avLst/>
          </a:prstGeom>
          <a:ln>
            <a:solidFill>
              <a:sysClr val="windowText" lastClr="000000"/>
            </a:solidFill>
          </a:ln>
        </xdr:spPr>
      </xdr:pic>
      <xdr:pic>
        <xdr:nvPicPr>
          <xdr:cNvPr id="39" name="Picture 38"/>
          <xdr:cNvPicPr>
            <a:picLocks noChangeAspect="1"/>
          </xdr:cNvPicPr>
        </xdr:nvPicPr>
        <xdr:blipFill>
          <a:blip xmlns:r="http://schemas.openxmlformats.org/officeDocument/2006/relationships" r:embed="rId24"/>
          <a:stretch>
            <a:fillRect/>
          </a:stretch>
        </xdr:blipFill>
        <xdr:spPr>
          <a:xfrm>
            <a:off x="7239000" y="52768500"/>
            <a:ext cx="2395637" cy="2880000"/>
          </a:xfrm>
          <a:prstGeom prst="rect">
            <a:avLst/>
          </a:prstGeom>
          <a:ln>
            <a:solidFill>
              <a:sysClr val="windowText" lastClr="000000"/>
            </a:solidFill>
          </a:ln>
        </xdr:spPr>
      </xdr:pic>
      <xdr:pic>
        <xdr:nvPicPr>
          <xdr:cNvPr id="40" name="Picture 39"/>
          <xdr:cNvPicPr>
            <a:picLocks noChangeAspect="1"/>
          </xdr:cNvPicPr>
        </xdr:nvPicPr>
        <xdr:blipFill>
          <a:blip xmlns:r="http://schemas.openxmlformats.org/officeDocument/2006/relationships" r:embed="rId25"/>
          <a:stretch>
            <a:fillRect/>
          </a:stretch>
        </xdr:blipFill>
        <xdr:spPr>
          <a:xfrm>
            <a:off x="7258050" y="55733950"/>
            <a:ext cx="2544596" cy="2880000"/>
          </a:xfrm>
          <a:prstGeom prst="rect">
            <a:avLst/>
          </a:prstGeom>
          <a:ln>
            <a:solidFill>
              <a:sysClr val="windowText" lastClr="000000"/>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rQpDWqMnFg474FsZ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22"/>
  <sheetViews>
    <sheetView tabSelected="1" view="pageBreakPreview" topLeftCell="A134" zoomScaleNormal="100" zoomScaleSheetLayoutView="100" zoomScalePageLayoutView="85" workbookViewId="0">
      <selection activeCell="C143" sqref="C143:D143"/>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56" t="s">
        <v>158</v>
      </c>
      <c r="B1" s="256"/>
      <c r="C1" s="256"/>
      <c r="D1" s="256"/>
      <c r="E1" s="256"/>
      <c r="F1" s="256"/>
      <c r="G1" s="256"/>
      <c r="H1" s="256"/>
    </row>
    <row r="2" spans="1:26" ht="16.5" customHeight="1" x14ac:dyDescent="0.25">
      <c r="A2" s="257" t="s">
        <v>0</v>
      </c>
      <c r="B2" s="257"/>
      <c r="C2" s="257"/>
      <c r="D2" s="257"/>
      <c r="E2" s="257"/>
      <c r="F2" s="257"/>
      <c r="G2" s="257"/>
      <c r="H2" s="257"/>
    </row>
    <row r="3" spans="1:26" x14ac:dyDescent="0.25">
      <c r="A3" s="221" t="s">
        <v>1</v>
      </c>
      <c r="B3" s="221"/>
      <c r="C3" s="221"/>
      <c r="D3" s="221"/>
      <c r="E3" s="221" t="str">
        <f ca="1">TEXT(TODAY(),"DD/MM/YYYY")</f>
        <v>02/09/2025</v>
      </c>
      <c r="F3" s="221"/>
      <c r="G3" s="221"/>
      <c r="H3" s="221"/>
      <c r="K3" s="56" t="s">
        <v>232</v>
      </c>
      <c r="L3" s="53" t="s">
        <v>230</v>
      </c>
      <c r="M3" s="53" t="s">
        <v>235</v>
      </c>
      <c r="N3" s="53" t="s">
        <v>233</v>
      </c>
      <c r="O3" s="53" t="s">
        <v>353</v>
      </c>
      <c r="P3" s="53" t="s">
        <v>236</v>
      </c>
    </row>
    <row r="4" spans="1:26" ht="15" customHeight="1" x14ac:dyDescent="0.25">
      <c r="A4" s="221" t="s">
        <v>229</v>
      </c>
      <c r="B4" s="221"/>
      <c r="C4" s="221"/>
      <c r="D4" s="221"/>
      <c r="E4" s="221" t="s">
        <v>230</v>
      </c>
      <c r="F4" s="221"/>
      <c r="G4" s="221"/>
      <c r="H4" s="221"/>
      <c r="K4" s="52" t="s">
        <v>231</v>
      </c>
      <c r="L4" s="53" t="s">
        <v>165</v>
      </c>
      <c r="M4" s="53" t="s">
        <v>240</v>
      </c>
      <c r="N4" s="53" t="s">
        <v>242</v>
      </c>
      <c r="O4" s="53" t="s">
        <v>338</v>
      </c>
      <c r="P4" s="53"/>
    </row>
    <row r="5" spans="1:26" ht="15" customHeight="1" x14ac:dyDescent="0.25">
      <c r="A5" s="221" t="s">
        <v>2</v>
      </c>
      <c r="B5" s="221"/>
      <c r="C5" s="221"/>
      <c r="D5" s="221"/>
      <c r="E5" s="221" t="s">
        <v>237</v>
      </c>
      <c r="F5" s="221"/>
      <c r="G5" s="221"/>
      <c r="H5" s="221"/>
      <c r="K5" s="52"/>
      <c r="L5" s="53" t="s">
        <v>237</v>
      </c>
      <c r="M5" s="53" t="s">
        <v>241</v>
      </c>
      <c r="N5" s="53" t="s">
        <v>243</v>
      </c>
      <c r="O5" s="53" t="s">
        <v>339</v>
      </c>
      <c r="P5" s="53"/>
    </row>
    <row r="6" spans="1:26" x14ac:dyDescent="0.25">
      <c r="A6" s="221" t="s">
        <v>3</v>
      </c>
      <c r="B6" s="221"/>
      <c r="C6" s="221"/>
      <c r="D6" s="221"/>
      <c r="E6" s="258">
        <v>45891</v>
      </c>
      <c r="F6" s="221"/>
      <c r="G6" s="221"/>
      <c r="H6" s="221"/>
      <c r="K6" s="52"/>
      <c r="L6" s="53" t="s">
        <v>238</v>
      </c>
      <c r="M6" s="53" t="s">
        <v>351</v>
      </c>
      <c r="N6" s="53"/>
      <c r="O6" s="53" t="s">
        <v>340</v>
      </c>
      <c r="P6" s="53"/>
    </row>
    <row r="7" spans="1:26" ht="16.5" customHeight="1" x14ac:dyDescent="0.25">
      <c r="A7" s="221" t="s">
        <v>4</v>
      </c>
      <c r="B7" s="221"/>
      <c r="C7" s="221"/>
      <c r="D7" s="221"/>
      <c r="E7" s="221" t="s">
        <v>373</v>
      </c>
      <c r="F7" s="221"/>
      <c r="G7" s="221"/>
      <c r="H7" s="221"/>
      <c r="K7" s="52"/>
      <c r="L7" s="53" t="s">
        <v>239</v>
      </c>
      <c r="M7" s="53"/>
      <c r="N7" s="53"/>
      <c r="O7" s="53" t="s">
        <v>340</v>
      </c>
      <c r="P7" s="53"/>
    </row>
    <row r="8" spans="1:26" ht="15" customHeight="1" x14ac:dyDescent="0.25">
      <c r="A8" s="221" t="s">
        <v>5</v>
      </c>
      <c r="B8" s="221"/>
      <c r="C8" s="221"/>
      <c r="D8" s="221"/>
      <c r="E8" s="221" t="str">
        <f>E7</f>
        <v>Su Sharda Edifice LLP</v>
      </c>
      <c r="F8" s="221"/>
      <c r="G8" s="221"/>
      <c r="H8" s="221"/>
      <c r="K8" s="52"/>
      <c r="L8" s="53"/>
      <c r="M8" s="53"/>
      <c r="N8" s="53"/>
      <c r="O8" s="53" t="s">
        <v>341</v>
      </c>
      <c r="P8" s="53"/>
    </row>
    <row r="9" spans="1:26" x14ac:dyDescent="0.25">
      <c r="A9" s="221" t="s">
        <v>6</v>
      </c>
      <c r="B9" s="221"/>
      <c r="C9" s="221"/>
      <c r="D9" s="221"/>
      <c r="E9" s="171" t="s">
        <v>374</v>
      </c>
      <c r="F9" s="171"/>
      <c r="G9" s="171"/>
      <c r="H9" s="171"/>
      <c r="K9" s="52"/>
      <c r="L9" s="53"/>
      <c r="M9" s="53"/>
      <c r="N9" s="53"/>
      <c r="O9" s="53" t="s">
        <v>342</v>
      </c>
      <c r="P9" s="53"/>
    </row>
    <row r="10" spans="1:26" x14ac:dyDescent="0.25">
      <c r="A10" s="221" t="s">
        <v>161</v>
      </c>
      <c r="B10" s="221"/>
      <c r="C10" s="221"/>
      <c r="D10" s="221"/>
      <c r="E10" s="221">
        <v>2225942037</v>
      </c>
      <c r="F10" s="221"/>
      <c r="G10" s="221"/>
      <c r="H10" s="221"/>
      <c r="K10" s="52"/>
      <c r="L10" s="53"/>
      <c r="M10" s="53"/>
      <c r="N10" s="53"/>
      <c r="O10" s="53" t="s">
        <v>343</v>
      </c>
      <c r="P10" s="53"/>
    </row>
    <row r="11" spans="1:26" hidden="1" x14ac:dyDescent="0.25">
      <c r="A11" s="221" t="s">
        <v>162</v>
      </c>
      <c r="B11" s="221"/>
      <c r="C11" s="221"/>
      <c r="D11" s="221"/>
      <c r="E11" s="221"/>
      <c r="F11" s="221"/>
      <c r="G11" s="221"/>
      <c r="H11" s="221"/>
      <c r="O11" s="53" t="s">
        <v>344</v>
      </c>
    </row>
    <row r="12" spans="1:26" x14ac:dyDescent="0.25">
      <c r="A12" s="221" t="s">
        <v>7</v>
      </c>
      <c r="B12" s="221"/>
      <c r="C12" s="221"/>
      <c r="D12" s="221"/>
      <c r="E12" s="221" t="s">
        <v>440</v>
      </c>
      <c r="F12" s="221"/>
      <c r="G12" s="221"/>
      <c r="H12" s="221"/>
    </row>
    <row r="13" spans="1:26" hidden="1" x14ac:dyDescent="0.25">
      <c r="A13" s="221" t="s">
        <v>166</v>
      </c>
      <c r="B13" s="221"/>
      <c r="C13" s="221"/>
      <c r="D13" s="221"/>
      <c r="E13" s="221" t="s">
        <v>28</v>
      </c>
      <c r="F13" s="221"/>
      <c r="G13" s="221"/>
      <c r="H13" s="221"/>
      <c r="S13" s="53" t="s">
        <v>175</v>
      </c>
      <c r="T13" s="53" t="s">
        <v>184</v>
      </c>
      <c r="U13" s="53" t="s">
        <v>167</v>
      </c>
      <c r="V13" s="53" t="s">
        <v>189</v>
      </c>
      <c r="W13" s="53" t="s">
        <v>207</v>
      </c>
      <c r="X13"/>
      <c r="Y13" t="s">
        <v>189</v>
      </c>
      <c r="Z13" t="e">
        <f ca="1">OFFSET($S$13,1,MATCH($G20,$S$13:$W$13,0)-1,15,1)</f>
        <v>#VALUE!</v>
      </c>
    </row>
    <row r="14" spans="1:26" x14ac:dyDescent="0.25">
      <c r="A14" s="221" t="s">
        <v>275</v>
      </c>
      <c r="B14" s="221"/>
      <c r="C14" s="221"/>
      <c r="D14" s="221"/>
      <c r="E14" s="178" t="s">
        <v>376</v>
      </c>
      <c r="F14" s="178"/>
      <c r="G14" s="178"/>
      <c r="H14" s="178"/>
      <c r="S14" s="53" t="s">
        <v>175</v>
      </c>
      <c r="T14" s="53" t="s">
        <v>182</v>
      </c>
      <c r="U14" s="53" t="s">
        <v>204</v>
      </c>
      <c r="V14" s="53" t="s">
        <v>190</v>
      </c>
      <c r="W14" s="53" t="s">
        <v>208</v>
      </c>
      <c r="X14"/>
      <c r="Y14"/>
      <c r="Z14"/>
    </row>
    <row r="15" spans="1:26" x14ac:dyDescent="0.25">
      <c r="A15" s="221" t="s">
        <v>8</v>
      </c>
      <c r="B15" s="221"/>
      <c r="C15" s="221"/>
      <c r="D15" s="221"/>
      <c r="E15" s="178" t="s">
        <v>375</v>
      </c>
      <c r="F15" s="221"/>
      <c r="G15" s="221"/>
      <c r="H15" s="221"/>
      <c r="I15" s="275" t="e">
        <f ca="1">OFFSET($D$5,1,MATCH($J13,$D$5:$H$5,0)-1,15,1)</f>
        <v>#N/A</v>
      </c>
      <c r="J15" s="276"/>
      <c r="K15" s="276"/>
      <c r="L15" s="276"/>
      <c r="M15" s="276"/>
      <c r="N15" s="276"/>
      <c r="O15" s="276"/>
      <c r="P15" s="276"/>
      <c r="S15" s="53" t="s">
        <v>176</v>
      </c>
      <c r="T15" s="53" t="s">
        <v>183</v>
      </c>
      <c r="U15" s="53" t="s">
        <v>205</v>
      </c>
      <c r="V15" s="53" t="s">
        <v>191</v>
      </c>
      <c r="W15" s="53" t="s">
        <v>221</v>
      </c>
      <c r="X15"/>
      <c r="Y15"/>
      <c r="Z15"/>
    </row>
    <row r="16" spans="1:26" ht="32.25" customHeight="1" x14ac:dyDescent="0.25">
      <c r="A16" s="178" t="s">
        <v>9</v>
      </c>
      <c r="B16" s="178"/>
      <c r="C16" s="178" t="str">
        <f>CONCATENATE((IF(OR(E9="",E9="NA"),"",E9)),", ",(IF(OR(A17="",A17="NA"),"",A17)),".",(IF(OR(C17="",C17="NA"),"",C17)),", near ",(IF(OR(C22="",C22="NA"),"",C22)),", ",(IF(OR(C19="",C19="NA"),"",C19)),", ",(IF(OR(C18="",C18="NA"),"",C18)),", ",(IF(OR(G19="",G19="NA"),"",G19)),", ",(IF(OR(C20="",C20="NA"),"",C20)),", ",(IF(OR(C21="",C21="NA"),"",C21)),", ",(IF(OR(G20="",G20="NA"),"",G20))," - ",(IF(OR(G21="",G21="NA"),"",G21)),".")</f>
        <v>Celestial, CTS No.549A, 549A/1 to 3, near Lodha Imperial, Tank Road, Nirmal Nagar, Kanjur, Bhandup (West), Kurla, Mumbai - 400078.</v>
      </c>
      <c r="D16" s="178"/>
      <c r="E16" s="178"/>
      <c r="F16" s="178"/>
      <c r="G16" s="178"/>
      <c r="H16" s="178"/>
      <c r="S16" s="53" t="s">
        <v>177</v>
      </c>
      <c r="T16" s="53" t="s">
        <v>185</v>
      </c>
      <c r="U16" s="53" t="s">
        <v>206</v>
      </c>
      <c r="V16" s="53" t="s">
        <v>192</v>
      </c>
      <c r="W16" s="53" t="s">
        <v>209</v>
      </c>
      <c r="X16"/>
      <c r="Y16"/>
      <c r="Z16"/>
    </row>
    <row r="17" spans="1:26" x14ac:dyDescent="0.25">
      <c r="A17" s="178" t="s">
        <v>170</v>
      </c>
      <c r="B17" s="178"/>
      <c r="C17" s="178" t="s">
        <v>377</v>
      </c>
      <c r="D17" s="178"/>
      <c r="E17" s="178"/>
      <c r="F17" s="178"/>
      <c r="G17" s="178"/>
      <c r="H17" s="178"/>
      <c r="S17" s="53" t="s">
        <v>178</v>
      </c>
      <c r="T17" s="53" t="s">
        <v>186</v>
      </c>
      <c r="U17" s="53" t="s">
        <v>167</v>
      </c>
      <c r="V17" s="53" t="s">
        <v>193</v>
      </c>
      <c r="W17" s="53" t="s">
        <v>210</v>
      </c>
      <c r="X17"/>
      <c r="Y17"/>
      <c r="Z17"/>
    </row>
    <row r="18" spans="1:26" ht="15.75" customHeight="1" x14ac:dyDescent="0.25">
      <c r="A18" s="178" t="s">
        <v>156</v>
      </c>
      <c r="B18" s="178"/>
      <c r="C18" s="178" t="s">
        <v>381</v>
      </c>
      <c r="D18" s="178"/>
      <c r="E18" s="178"/>
      <c r="F18" s="178"/>
      <c r="G18" s="178"/>
      <c r="H18" s="178"/>
      <c r="S18" s="53" t="s">
        <v>179</v>
      </c>
      <c r="T18" s="53" t="s">
        <v>184</v>
      </c>
      <c r="U18" s="53"/>
      <c r="V18" s="53" t="s">
        <v>194</v>
      </c>
      <c r="W18" s="53" t="s">
        <v>211</v>
      </c>
      <c r="X18"/>
      <c r="Y18"/>
      <c r="Z18"/>
    </row>
    <row r="19" spans="1:26" ht="15.75" customHeight="1" x14ac:dyDescent="0.25">
      <c r="A19" s="178" t="s">
        <v>10</v>
      </c>
      <c r="B19" s="178"/>
      <c r="C19" s="221" t="s">
        <v>379</v>
      </c>
      <c r="D19" s="221"/>
      <c r="E19" s="178" t="s">
        <v>69</v>
      </c>
      <c r="F19" s="178"/>
      <c r="G19" s="178" t="s">
        <v>378</v>
      </c>
      <c r="H19" s="178"/>
      <c r="S19" s="53" t="s">
        <v>180</v>
      </c>
      <c r="T19" s="53" t="s">
        <v>187</v>
      </c>
      <c r="U19" s="53"/>
      <c r="V19" s="53" t="s">
        <v>195</v>
      </c>
      <c r="W19" s="53" t="s">
        <v>212</v>
      </c>
      <c r="X19"/>
      <c r="Y19"/>
      <c r="Z19"/>
    </row>
    <row r="20" spans="1:26" x14ac:dyDescent="0.25">
      <c r="A20" s="221" t="s">
        <v>12</v>
      </c>
      <c r="B20" s="221"/>
      <c r="C20" s="178" t="s">
        <v>380</v>
      </c>
      <c r="D20" s="178"/>
      <c r="E20" s="178" t="s">
        <v>11</v>
      </c>
      <c r="F20" s="178"/>
      <c r="G20" s="255" t="s">
        <v>167</v>
      </c>
      <c r="H20" s="255"/>
      <c r="S20" s="53" t="s">
        <v>181</v>
      </c>
      <c r="T20" s="53" t="s">
        <v>188</v>
      </c>
      <c r="U20" s="53"/>
      <c r="V20" s="53" t="s">
        <v>196</v>
      </c>
      <c r="W20" s="53" t="s">
        <v>213</v>
      </c>
      <c r="X20"/>
      <c r="Y20"/>
      <c r="Z20"/>
    </row>
    <row r="21" spans="1:26" x14ac:dyDescent="0.25">
      <c r="A21" s="221" t="s">
        <v>70</v>
      </c>
      <c r="B21" s="221"/>
      <c r="C21" s="178" t="s">
        <v>206</v>
      </c>
      <c r="D21" s="178"/>
      <c r="E21" s="178" t="s">
        <v>13</v>
      </c>
      <c r="F21" s="178"/>
      <c r="G21" s="178">
        <v>400078</v>
      </c>
      <c r="H21" s="178"/>
      <c r="S21" s="53"/>
      <c r="T21" s="53"/>
      <c r="U21" s="53"/>
      <c r="V21" s="53" t="s">
        <v>197</v>
      </c>
      <c r="W21" s="53" t="s">
        <v>214</v>
      </c>
      <c r="X21"/>
      <c r="Y21"/>
      <c r="Z21"/>
    </row>
    <row r="22" spans="1:26" ht="32.25" customHeight="1" x14ac:dyDescent="0.25">
      <c r="A22" s="221" t="s">
        <v>115</v>
      </c>
      <c r="B22" s="221"/>
      <c r="C22" s="178" t="s">
        <v>382</v>
      </c>
      <c r="D22" s="178"/>
      <c r="E22" s="178" t="s">
        <v>14</v>
      </c>
      <c r="F22" s="178"/>
      <c r="G22" s="178" t="s">
        <v>383</v>
      </c>
      <c r="H22" s="178"/>
      <c r="S22" s="53"/>
      <c r="T22" s="53"/>
      <c r="U22" s="53"/>
      <c r="V22" s="53" t="s">
        <v>198</v>
      </c>
      <c r="W22" s="53" t="s">
        <v>215</v>
      </c>
      <c r="X22"/>
      <c r="Y22"/>
      <c r="Z22"/>
    </row>
    <row r="23" spans="1:26" ht="15" customHeight="1" x14ac:dyDescent="0.25">
      <c r="A23" s="178" t="s">
        <v>72</v>
      </c>
      <c r="B23" s="178"/>
      <c r="C23" s="178"/>
      <c r="D23" s="178"/>
      <c r="E23" s="221" t="s">
        <v>15</v>
      </c>
      <c r="F23" s="221"/>
      <c r="G23" s="221"/>
      <c r="H23" s="221"/>
      <c r="S23" s="53"/>
      <c r="T23" s="53"/>
      <c r="U23" s="53"/>
      <c r="V23" s="53" t="s">
        <v>199</v>
      </c>
      <c r="W23" s="53" t="s">
        <v>216</v>
      </c>
      <c r="X23"/>
      <c r="Y23"/>
      <c r="Z23"/>
    </row>
    <row r="24" spans="1:26" ht="18.75" customHeight="1" x14ac:dyDescent="0.25">
      <c r="A24" s="178"/>
      <c r="B24" s="178"/>
      <c r="C24" s="178"/>
      <c r="D24" s="178"/>
      <c r="E24" s="221"/>
      <c r="F24" s="221"/>
      <c r="G24" s="221"/>
      <c r="H24" s="221"/>
      <c r="S24" s="53"/>
      <c r="T24" s="53"/>
      <c r="U24" s="53"/>
      <c r="V24" s="53" t="s">
        <v>200</v>
      </c>
      <c r="W24" s="53" t="s">
        <v>217</v>
      </c>
      <c r="X24"/>
      <c r="Y24"/>
      <c r="Z24"/>
    </row>
    <row r="25" spans="1:26" ht="15" customHeight="1" x14ac:dyDescent="0.25">
      <c r="A25" s="235" t="s">
        <v>16</v>
      </c>
      <c r="B25" s="235"/>
      <c r="C25" s="235"/>
      <c r="D25" s="235"/>
      <c r="E25" s="178" t="s">
        <v>17</v>
      </c>
      <c r="F25" s="178"/>
      <c r="G25" s="178"/>
      <c r="H25" s="178"/>
      <c r="S25" s="53"/>
      <c r="T25" s="53"/>
      <c r="U25" s="53"/>
      <c r="V25" s="53" t="s">
        <v>201</v>
      </c>
      <c r="W25" s="53" t="s">
        <v>218</v>
      </c>
      <c r="X25"/>
      <c r="Y25"/>
      <c r="Z25"/>
    </row>
    <row r="26" spans="1:26" ht="15" customHeight="1" x14ac:dyDescent="0.25">
      <c r="A26" s="199" t="s">
        <v>18</v>
      </c>
      <c r="B26" s="199"/>
      <c r="C26" s="199"/>
      <c r="D26" s="199"/>
      <c r="E26" s="178" t="str">
        <f>IF(AND(G20="Mumbai"),"Upper Class","Middle Class")</f>
        <v>Upper Class</v>
      </c>
      <c r="F26" s="178"/>
      <c r="G26" s="178"/>
      <c r="H26" s="178"/>
      <c r="S26" s="53"/>
      <c r="T26" s="53"/>
      <c r="U26" s="53"/>
      <c r="V26" s="53" t="s">
        <v>202</v>
      </c>
      <c r="W26" s="53" t="s">
        <v>219</v>
      </c>
      <c r="X26"/>
      <c r="Y26"/>
      <c r="Z26"/>
    </row>
    <row r="27" spans="1:26" x14ac:dyDescent="0.25">
      <c r="A27" s="199" t="s">
        <v>19</v>
      </c>
      <c r="B27" s="199"/>
      <c r="C27" s="199"/>
      <c r="D27" s="199"/>
      <c r="E27" s="178" t="s">
        <v>20</v>
      </c>
      <c r="F27" s="178"/>
      <c r="G27" s="178"/>
      <c r="H27" s="178"/>
      <c r="S27" s="53"/>
      <c r="T27" s="53"/>
      <c r="U27" s="53"/>
      <c r="V27" s="53" t="s">
        <v>203</v>
      </c>
      <c r="W27" s="53" t="s">
        <v>220</v>
      </c>
      <c r="X27"/>
      <c r="Y27"/>
      <c r="Z27"/>
    </row>
    <row r="28" spans="1:26" ht="15.75" customHeight="1" x14ac:dyDescent="0.25">
      <c r="A28" s="199" t="s">
        <v>21</v>
      </c>
      <c r="B28" s="199"/>
      <c r="C28" s="199"/>
      <c r="D28" s="199"/>
      <c r="E28" s="178" t="str">
        <f>IF(AND(G20="Mumbai"),"Developed","Developing")</f>
        <v>Developed</v>
      </c>
      <c r="F28" s="178"/>
      <c r="G28" s="178"/>
      <c r="H28" s="178"/>
    </row>
    <row r="29" spans="1:26" x14ac:dyDescent="0.25">
      <c r="A29" s="199" t="s">
        <v>22</v>
      </c>
      <c r="B29" s="199"/>
      <c r="C29" s="199"/>
      <c r="D29" s="199"/>
      <c r="E29" s="178" t="s">
        <v>23</v>
      </c>
      <c r="F29" s="178"/>
      <c r="G29" s="178"/>
      <c r="H29" s="178"/>
    </row>
    <row r="30" spans="1:26" ht="15.75" customHeight="1" x14ac:dyDescent="0.25">
      <c r="A30" s="199" t="s">
        <v>77</v>
      </c>
      <c r="B30" s="199"/>
      <c r="C30" s="199"/>
      <c r="D30" s="199"/>
      <c r="E30" s="178" t="s">
        <v>78</v>
      </c>
      <c r="F30" s="178"/>
      <c r="G30" s="178"/>
      <c r="H30" s="178"/>
    </row>
    <row r="31" spans="1:26" ht="15" customHeight="1" x14ac:dyDescent="0.25">
      <c r="A31" s="199" t="s">
        <v>30</v>
      </c>
      <c r="B31" s="199"/>
      <c r="C31" s="199"/>
      <c r="D31" s="199"/>
      <c r="E31" s="178" t="str">
        <f>IF(AND(ISNUMBER(SEARCH("Flat",D66)),ISNUMBER(SEARCH("Shop",D66)),ISNUMBER(SEARCH("Office",D66))),"Residential + Commercial",IF(AND(ISNUMBER(SEARCH("Flat",D66)),ISNUMBER(SEARCH("Shop",D66))),"Residential + Commercial",IF(AND(ISNUMBER(SEARCH("Flat",D66)),ISNUMBER(SEARCH("Office",D66))),"Residential + Commercial",IF(AND(ISNUMBER(SEARCH("Shop",D66)),ISNUMBER(SEARCH("Office",D66))),"Commercial",IF(ISNUMBER(SEARCH("Shop",D66)),"Commercial",IF(ISNUMBER(SEARCH("Office",D66)),"Commercial",IF(ISNUMBER(SEARCH("Flat",D66)),"Residential")))))))</f>
        <v>Residential + Commercial</v>
      </c>
      <c r="F31" s="178"/>
      <c r="G31" s="178"/>
      <c r="H31" s="178"/>
    </row>
    <row r="32" spans="1:26" ht="15.75" customHeight="1" x14ac:dyDescent="0.25">
      <c r="A32" s="199" t="s">
        <v>88</v>
      </c>
      <c r="B32" s="199"/>
      <c r="C32" s="199"/>
      <c r="D32" s="199"/>
      <c r="E32" s="178" t="s">
        <v>31</v>
      </c>
      <c r="F32" s="178"/>
      <c r="G32" s="178"/>
      <c r="H32" s="178"/>
    </row>
    <row r="33" spans="1:19" s="22" customFormat="1" x14ac:dyDescent="0.25">
      <c r="A33" s="254" t="s">
        <v>89</v>
      </c>
      <c r="B33" s="254"/>
      <c r="C33" s="251" t="s">
        <v>168</v>
      </c>
      <c r="D33" s="252"/>
      <c r="E33" s="253"/>
      <c r="F33" s="251" t="s">
        <v>29</v>
      </c>
      <c r="G33" s="252"/>
      <c r="H33" s="253"/>
      <c r="S33" s="22" t="e">
        <f ca="1">OFFSET($S$13,1,MATCH($G20,$S$13:$W$13,0)-1,15,1)</f>
        <v>#VALUE!</v>
      </c>
    </row>
    <row r="34" spans="1:19" s="22" customFormat="1" x14ac:dyDescent="0.25">
      <c r="A34" s="250" t="s">
        <v>24</v>
      </c>
      <c r="B34" s="250" t="s">
        <v>28</v>
      </c>
      <c r="C34" s="204" t="s">
        <v>387</v>
      </c>
      <c r="D34" s="205"/>
      <c r="E34" s="206"/>
      <c r="F34" s="204" t="s">
        <v>384</v>
      </c>
      <c r="G34" s="205"/>
      <c r="H34" s="206"/>
    </row>
    <row r="35" spans="1:19" x14ac:dyDescent="0.25">
      <c r="A35" s="250" t="s">
        <v>25</v>
      </c>
      <c r="B35" s="250" t="s">
        <v>28</v>
      </c>
      <c r="C35" s="204" t="s">
        <v>388</v>
      </c>
      <c r="D35" s="205"/>
      <c r="E35" s="206"/>
      <c r="F35" s="204" t="s">
        <v>385</v>
      </c>
      <c r="G35" s="205"/>
      <c r="H35" s="206"/>
    </row>
    <row r="36" spans="1:19" s="22" customFormat="1" x14ac:dyDescent="0.25">
      <c r="A36" s="250" t="s">
        <v>27</v>
      </c>
      <c r="B36" s="250" t="s">
        <v>28</v>
      </c>
      <c r="C36" s="204" t="s">
        <v>388</v>
      </c>
      <c r="D36" s="205"/>
      <c r="E36" s="206"/>
      <c r="F36" s="204" t="s">
        <v>386</v>
      </c>
      <c r="G36" s="205"/>
      <c r="H36" s="206"/>
    </row>
    <row r="37" spans="1:19" x14ac:dyDescent="0.25">
      <c r="A37" s="250" t="s">
        <v>26</v>
      </c>
      <c r="B37" s="250" t="s">
        <v>28</v>
      </c>
      <c r="C37" s="204" t="s">
        <v>389</v>
      </c>
      <c r="D37" s="205"/>
      <c r="E37" s="206"/>
      <c r="F37" s="204" t="s">
        <v>379</v>
      </c>
      <c r="G37" s="205"/>
      <c r="H37" s="206"/>
    </row>
    <row r="38" spans="1:19" x14ac:dyDescent="0.25">
      <c r="A38" s="199" t="s">
        <v>276</v>
      </c>
      <c r="B38" s="199"/>
      <c r="C38" s="199"/>
      <c r="D38" s="199"/>
      <c r="E38" s="199"/>
      <c r="F38" s="199"/>
      <c r="G38" s="199"/>
      <c r="H38" s="199"/>
    </row>
    <row r="39" spans="1:19" ht="15.75" customHeight="1" x14ac:dyDescent="0.25">
      <c r="A39" s="199" t="s">
        <v>159</v>
      </c>
      <c r="B39" s="199"/>
      <c r="C39" s="209" t="s">
        <v>391</v>
      </c>
      <c r="D39" s="209"/>
      <c r="E39" s="209"/>
      <c r="F39" s="209"/>
      <c r="G39" s="209"/>
      <c r="H39" s="209"/>
    </row>
    <row r="40" spans="1:19" x14ac:dyDescent="0.25">
      <c r="A40" s="199" t="s">
        <v>155</v>
      </c>
      <c r="B40" s="199"/>
      <c r="C40" s="177" t="s">
        <v>390</v>
      </c>
      <c r="D40" s="178"/>
      <c r="E40" s="178"/>
      <c r="F40" s="178"/>
      <c r="G40" s="178"/>
      <c r="H40" s="178"/>
    </row>
    <row r="41" spans="1:19" x14ac:dyDescent="0.25">
      <c r="A41" s="209" t="s">
        <v>32</v>
      </c>
      <c r="B41" s="209"/>
      <c r="C41" s="209"/>
      <c r="D41" s="209"/>
      <c r="E41" s="209"/>
      <c r="F41" s="209"/>
      <c r="G41" s="209"/>
      <c r="H41" s="209"/>
    </row>
    <row r="42" spans="1:19" x14ac:dyDescent="0.25">
      <c r="A42" s="199" t="s">
        <v>33</v>
      </c>
      <c r="B42" s="199"/>
      <c r="C42" s="199"/>
      <c r="D42" s="199"/>
      <c r="E42" s="226">
        <v>7302.4</v>
      </c>
      <c r="F42" s="226"/>
      <c r="G42" s="226"/>
      <c r="H42" s="226"/>
    </row>
    <row r="43" spans="1:19" x14ac:dyDescent="0.25">
      <c r="A43" s="199" t="s">
        <v>34</v>
      </c>
      <c r="B43" s="199"/>
      <c r="C43" s="199"/>
      <c r="D43" s="199"/>
      <c r="E43" s="228">
        <v>1</v>
      </c>
      <c r="F43" s="228"/>
      <c r="G43" s="228"/>
      <c r="H43" s="228"/>
    </row>
    <row r="44" spans="1:19" x14ac:dyDescent="0.25">
      <c r="A44" s="199" t="s">
        <v>35</v>
      </c>
      <c r="B44" s="199"/>
      <c r="C44" s="199"/>
      <c r="D44" s="199"/>
      <c r="E44" s="228">
        <f>E46/E42-E43</f>
        <v>1.408120617879054</v>
      </c>
      <c r="F44" s="228"/>
      <c r="G44" s="228"/>
      <c r="H44" s="228"/>
    </row>
    <row r="45" spans="1:19" x14ac:dyDescent="0.25">
      <c r="A45" s="199" t="s">
        <v>36</v>
      </c>
      <c r="B45" s="199"/>
      <c r="C45" s="199"/>
      <c r="D45" s="199"/>
      <c r="E45" s="228">
        <f>E43+E44</f>
        <v>2.408120617879054</v>
      </c>
      <c r="F45" s="228"/>
      <c r="G45" s="228"/>
      <c r="H45" s="228"/>
    </row>
    <row r="46" spans="1:19" x14ac:dyDescent="0.25">
      <c r="A46" s="199" t="s">
        <v>87</v>
      </c>
      <c r="B46" s="199"/>
      <c r="C46" s="199"/>
      <c r="D46" s="199"/>
      <c r="E46" s="229">
        <v>17585.060000000001</v>
      </c>
      <c r="F46" s="229"/>
      <c r="G46" s="229"/>
      <c r="H46" s="229"/>
    </row>
    <row r="47" spans="1:19" x14ac:dyDescent="0.25">
      <c r="A47" s="221" t="s">
        <v>37</v>
      </c>
      <c r="B47" s="221"/>
      <c r="C47" s="221"/>
      <c r="D47" s="221"/>
      <c r="E47" s="221" t="s">
        <v>392</v>
      </c>
      <c r="F47" s="221"/>
      <c r="G47" s="221"/>
      <c r="H47" s="221"/>
    </row>
    <row r="48" spans="1:19" x14ac:dyDescent="0.25">
      <c r="A48" s="209" t="s">
        <v>38</v>
      </c>
      <c r="B48" s="209"/>
      <c r="C48" s="209"/>
      <c r="D48" s="209"/>
      <c r="E48" s="209"/>
      <c r="F48" s="209"/>
      <c r="G48" s="209"/>
      <c r="H48" s="209"/>
    </row>
    <row r="49" spans="1:24" ht="33.75" customHeight="1" x14ac:dyDescent="0.25">
      <c r="A49" s="185" t="s">
        <v>144</v>
      </c>
      <c r="B49" s="187"/>
      <c r="C49" s="230" t="s">
        <v>251</v>
      </c>
      <c r="D49" s="231"/>
      <c r="E49" s="231"/>
      <c r="F49" s="231"/>
      <c r="G49" s="231"/>
      <c r="H49" s="232"/>
      <c r="R49" t="s">
        <v>249</v>
      </c>
      <c r="S49" s="57" t="s">
        <v>167</v>
      </c>
      <c r="T49" s="57" t="s">
        <v>175</v>
      </c>
      <c r="U49" s="57" t="s">
        <v>189</v>
      </c>
      <c r="V49" s="57" t="s">
        <v>184</v>
      </c>
    </row>
    <row r="50" spans="1:24" ht="15.75" customHeight="1" x14ac:dyDescent="0.25">
      <c r="A50" s="185" t="s">
        <v>39</v>
      </c>
      <c r="B50" s="187"/>
      <c r="C50" s="185" t="s">
        <v>445</v>
      </c>
      <c r="D50" s="186"/>
      <c r="E50" s="187"/>
      <c r="F50" s="18" t="s">
        <v>40</v>
      </c>
      <c r="G50" s="207">
        <v>45187</v>
      </c>
      <c r="H50" s="208"/>
      <c r="R50"/>
      <c r="S50" s="57" t="s">
        <v>250</v>
      </c>
      <c r="T50" s="57" t="s">
        <v>255</v>
      </c>
      <c r="U50" s="57" t="s">
        <v>266</v>
      </c>
      <c r="V50" s="57" t="s">
        <v>271</v>
      </c>
    </row>
    <row r="51" spans="1:24" x14ac:dyDescent="0.25">
      <c r="A51" s="185" t="s">
        <v>41</v>
      </c>
      <c r="B51" s="187"/>
      <c r="C51" s="185" t="str">
        <f>C50</f>
        <v>CE/910/BPES/AS/OCC/1/New</v>
      </c>
      <c r="D51" s="186"/>
      <c r="E51" s="187"/>
      <c r="F51" s="18" t="s">
        <v>40</v>
      </c>
      <c r="G51" s="207">
        <f>G50</f>
        <v>45187</v>
      </c>
      <c r="H51" s="208"/>
      <c r="R51"/>
      <c r="S51" s="57" t="s">
        <v>251</v>
      </c>
      <c r="T51" s="57" t="s">
        <v>354</v>
      </c>
      <c r="U51" s="57" t="s">
        <v>264</v>
      </c>
      <c r="V51" s="57" t="s">
        <v>272</v>
      </c>
    </row>
    <row r="52" spans="1:24" s="23" customFormat="1" ht="15.75" customHeight="1" x14ac:dyDescent="0.25">
      <c r="A52" s="213" t="s">
        <v>148</v>
      </c>
      <c r="B52" s="214"/>
      <c r="C52" s="213" t="s">
        <v>393</v>
      </c>
      <c r="D52" s="219"/>
      <c r="E52" s="214"/>
      <c r="F52" s="18" t="s">
        <v>40</v>
      </c>
      <c r="G52" s="207">
        <v>44553</v>
      </c>
      <c r="H52" s="208"/>
      <c r="I52" s="22" t="str">
        <f ca="1">IF(G52&gt;EDATE(E3,-48),"NO REMARK","CC REMARK FOR CC")</f>
        <v>NO REMARK</v>
      </c>
      <c r="J52" s="86"/>
      <c r="R52"/>
      <c r="S52" s="57" t="s">
        <v>252</v>
      </c>
      <c r="T52" s="57" t="s">
        <v>257</v>
      </c>
      <c r="U52" s="57" t="s">
        <v>254</v>
      </c>
      <c r="V52" s="57" t="s">
        <v>273</v>
      </c>
    </row>
    <row r="53" spans="1:24" s="23" customFormat="1" ht="31.5" x14ac:dyDescent="0.25">
      <c r="A53" s="215"/>
      <c r="B53" s="216"/>
      <c r="C53" s="217"/>
      <c r="D53" s="220"/>
      <c r="E53" s="218"/>
      <c r="F53" s="18" t="s">
        <v>114</v>
      </c>
      <c r="G53" s="207">
        <v>44883</v>
      </c>
      <c r="H53" s="208"/>
      <c r="R53"/>
      <c r="S53" s="57" t="s">
        <v>253</v>
      </c>
      <c r="T53" s="57" t="s">
        <v>260</v>
      </c>
      <c r="U53" s="57" t="s">
        <v>267</v>
      </c>
      <c r="V53" s="77" t="s">
        <v>346</v>
      </c>
    </row>
    <row r="54" spans="1:24" s="23" customFormat="1" x14ac:dyDescent="0.25">
      <c r="A54" s="217"/>
      <c r="B54" s="218"/>
      <c r="C54" s="185" t="s">
        <v>394</v>
      </c>
      <c r="D54" s="186"/>
      <c r="E54" s="186"/>
      <c r="F54" s="186"/>
      <c r="G54" s="186"/>
      <c r="H54" s="187"/>
      <c r="R54"/>
      <c r="S54" s="57"/>
      <c r="T54" s="57"/>
      <c r="U54" s="57"/>
      <c r="V54" s="77"/>
    </row>
    <row r="55" spans="1:24" s="23" customFormat="1" hidden="1" x14ac:dyDescent="0.25">
      <c r="A55" s="222" t="s">
        <v>277</v>
      </c>
      <c r="B55" s="223"/>
      <c r="C55" s="185">
        <f>C53</f>
        <v>0</v>
      </c>
      <c r="D55" s="186"/>
      <c r="E55" s="187"/>
      <c r="F55" s="18" t="s">
        <v>40</v>
      </c>
      <c r="G55" s="207"/>
      <c r="H55" s="208"/>
      <c r="K55" s="87">
        <f>EDATE(G52,-48)</f>
        <v>43092</v>
      </c>
      <c r="L55" s="23" t="str">
        <f ca="1">IF(G52&gt;EDATE(E3,-48),"NO REMARK","CC REMARK FOR CC")</f>
        <v>NO REMARK</v>
      </c>
      <c r="R55"/>
      <c r="S55" s="57" t="s">
        <v>252</v>
      </c>
      <c r="T55" s="57" t="s">
        <v>257</v>
      </c>
      <c r="U55" s="57" t="s">
        <v>254</v>
      </c>
      <c r="V55" s="57" t="s">
        <v>273</v>
      </c>
    </row>
    <row r="56" spans="1:24" s="23" customFormat="1" ht="32.25" hidden="1" customHeight="1" x14ac:dyDescent="0.25">
      <c r="A56" s="224"/>
      <c r="B56" s="225"/>
      <c r="C56" s="210"/>
      <c r="D56" s="211"/>
      <c r="E56" s="211"/>
      <c r="F56" s="211"/>
      <c r="G56" s="211"/>
      <c r="H56" s="212"/>
      <c r="R56"/>
      <c r="S56" s="57" t="s">
        <v>254</v>
      </c>
      <c r="T56" s="57" t="s">
        <v>258</v>
      </c>
      <c r="U56" s="57" t="s">
        <v>268</v>
      </c>
      <c r="V56" s="78"/>
      <c r="W56" s="21"/>
      <c r="X56" s="21"/>
    </row>
    <row r="57" spans="1:24" s="23" customFormat="1" ht="34.5" hidden="1" customHeight="1" x14ac:dyDescent="0.25">
      <c r="A57" s="222" t="s">
        <v>278</v>
      </c>
      <c r="B57" s="223"/>
      <c r="C57" s="185">
        <f>C56</f>
        <v>0</v>
      </c>
      <c r="D57" s="186"/>
      <c r="E57" s="187"/>
      <c r="F57" s="18" t="s">
        <v>40</v>
      </c>
      <c r="G57" s="207">
        <f>G56</f>
        <v>0</v>
      </c>
      <c r="H57" s="208"/>
      <c r="R57"/>
      <c r="S57" s="78"/>
      <c r="T57" s="57" t="s">
        <v>259</v>
      </c>
      <c r="U57" s="57" t="s">
        <v>269</v>
      </c>
      <c r="V57" s="78"/>
      <c r="W57" s="21"/>
      <c r="X57" s="21"/>
    </row>
    <row r="58" spans="1:24" s="23" customFormat="1" ht="41.25" hidden="1" customHeight="1" x14ac:dyDescent="0.25">
      <c r="A58" s="224"/>
      <c r="B58" s="225"/>
      <c r="C58" s="185"/>
      <c r="D58" s="186"/>
      <c r="E58" s="186"/>
      <c r="F58" s="186"/>
      <c r="G58" s="186"/>
      <c r="H58" s="187"/>
      <c r="R58"/>
      <c r="S58" s="78"/>
      <c r="T58" s="57" t="s">
        <v>261</v>
      </c>
      <c r="U58" s="57" t="s">
        <v>270</v>
      </c>
      <c r="V58" s="78"/>
      <c r="W58" s="21"/>
      <c r="X58" s="21"/>
    </row>
    <row r="59" spans="1:24" s="23" customFormat="1" ht="15.75" hidden="1" customHeight="1" x14ac:dyDescent="0.25">
      <c r="A59" s="222" t="s">
        <v>349</v>
      </c>
      <c r="B59" s="223"/>
      <c r="C59" s="244"/>
      <c r="D59" s="245"/>
      <c r="E59" s="246"/>
      <c r="F59" s="18" t="s">
        <v>40</v>
      </c>
      <c r="G59" s="207"/>
      <c r="H59" s="208"/>
      <c r="R59"/>
      <c r="S59" s="78"/>
      <c r="T59" s="57" t="s">
        <v>262</v>
      </c>
      <c r="U59" s="78" t="s">
        <v>292</v>
      </c>
      <c r="V59" s="78"/>
      <c r="W59" s="21"/>
      <c r="X59" s="21"/>
    </row>
    <row r="60" spans="1:24" s="23" customFormat="1" ht="33.75" hidden="1" customHeight="1" x14ac:dyDescent="0.25">
      <c r="A60" s="285"/>
      <c r="B60" s="286"/>
      <c r="C60" s="247"/>
      <c r="D60" s="248"/>
      <c r="E60" s="249"/>
      <c r="F60" s="18" t="s">
        <v>350</v>
      </c>
      <c r="G60" s="207"/>
      <c r="H60" s="208"/>
      <c r="R60"/>
      <c r="S60" s="78"/>
      <c r="T60" s="57" t="s">
        <v>263</v>
      </c>
      <c r="U60" s="78"/>
      <c r="V60" s="78"/>
      <c r="W60" s="21"/>
      <c r="X60" s="21"/>
    </row>
    <row r="61" spans="1:24" s="23" customFormat="1" ht="33.75" hidden="1" customHeight="1" x14ac:dyDescent="0.25">
      <c r="A61" s="224"/>
      <c r="B61" s="225"/>
      <c r="C61" s="185" t="s">
        <v>372</v>
      </c>
      <c r="D61" s="186"/>
      <c r="E61" s="186"/>
      <c r="F61" s="186"/>
      <c r="G61" s="186"/>
      <c r="H61" s="187"/>
      <c r="R61"/>
      <c r="S61" s="78"/>
      <c r="T61" s="57"/>
      <c r="U61" s="78"/>
      <c r="V61" s="78"/>
      <c r="W61" s="21"/>
      <c r="X61" s="21"/>
    </row>
    <row r="62" spans="1:24" ht="112.5" customHeight="1" x14ac:dyDescent="0.25">
      <c r="A62" s="135" t="s">
        <v>444</v>
      </c>
      <c r="B62" s="136"/>
      <c r="C62" s="135" t="s">
        <v>397</v>
      </c>
      <c r="D62" s="137"/>
      <c r="E62" s="136"/>
      <c r="F62" s="43" t="s">
        <v>40</v>
      </c>
      <c r="G62" s="138" t="s">
        <v>396</v>
      </c>
      <c r="H62" s="139"/>
      <c r="R62"/>
      <c r="S62" s="78"/>
      <c r="T62" s="57" t="s">
        <v>265</v>
      </c>
      <c r="U62" s="78"/>
      <c r="V62" s="78"/>
    </row>
    <row r="63" spans="1:24" ht="125.25" customHeight="1" x14ac:dyDescent="0.25">
      <c r="A63" s="135" t="s">
        <v>42</v>
      </c>
      <c r="B63" s="136"/>
      <c r="C63" s="135" t="s">
        <v>398</v>
      </c>
      <c r="D63" s="137"/>
      <c r="E63" s="136"/>
      <c r="F63" s="105" t="s">
        <v>40</v>
      </c>
      <c r="G63" s="138">
        <v>45191</v>
      </c>
      <c r="H63" s="139"/>
      <c r="R63"/>
      <c r="S63" s="78"/>
      <c r="T63" s="57" t="s">
        <v>265</v>
      </c>
      <c r="U63" s="78"/>
      <c r="V63" s="78"/>
    </row>
    <row r="64" spans="1:24" x14ac:dyDescent="0.25">
      <c r="A64" s="234" t="s">
        <v>44</v>
      </c>
      <c r="B64" s="234"/>
      <c r="C64" s="234"/>
      <c r="D64" s="234"/>
      <c r="E64" s="234"/>
      <c r="F64" s="234"/>
      <c r="G64" s="234"/>
      <c r="H64" s="234"/>
      <c r="S64" s="78"/>
      <c r="T64" s="57" t="s">
        <v>274</v>
      </c>
      <c r="U64" s="78"/>
      <c r="V64" s="78"/>
    </row>
    <row r="65" spans="1:19" ht="31.5" customHeight="1" x14ac:dyDescent="0.25">
      <c r="A65" s="235" t="s">
        <v>441</v>
      </c>
      <c r="B65" s="235"/>
      <c r="C65" s="235"/>
      <c r="D65" s="199">
        <f>5111.36+3377.52+5186.46</f>
        <v>13675.34</v>
      </c>
      <c r="E65" s="199"/>
      <c r="F65" s="199"/>
      <c r="G65" s="199"/>
      <c r="H65" s="199"/>
      <c r="R65"/>
    </row>
    <row r="66" spans="1:19" x14ac:dyDescent="0.25">
      <c r="A66" s="178" t="s">
        <v>45</v>
      </c>
      <c r="B66" s="221"/>
      <c r="C66" s="221"/>
      <c r="D66" s="221" t="s">
        <v>439</v>
      </c>
      <c r="E66" s="221"/>
      <c r="F66" s="221"/>
      <c r="G66" s="221"/>
      <c r="H66" s="221"/>
      <c r="I66" s="24"/>
      <c r="R66"/>
    </row>
    <row r="67" spans="1:19" ht="48.75" customHeight="1" x14ac:dyDescent="0.25">
      <c r="A67" s="178" t="s">
        <v>46</v>
      </c>
      <c r="B67" s="178"/>
      <c r="C67" s="178"/>
      <c r="D67" s="178" t="s">
        <v>434</v>
      </c>
      <c r="E67" s="221"/>
      <c r="F67" s="221"/>
      <c r="G67" s="221"/>
      <c r="H67" s="221"/>
      <c r="R67"/>
    </row>
    <row r="68" spans="1:19" ht="15.75" customHeight="1" x14ac:dyDescent="0.25">
      <c r="A68" s="178" t="s">
        <v>85</v>
      </c>
      <c r="B68" s="178"/>
      <c r="C68" s="178"/>
      <c r="D68" s="221" t="s">
        <v>435</v>
      </c>
      <c r="E68" s="221"/>
      <c r="F68" s="221"/>
      <c r="G68" s="221"/>
      <c r="H68" s="221"/>
      <c r="R68"/>
    </row>
    <row r="69" spans="1:19" ht="15.75" hidden="1" customHeight="1" x14ac:dyDescent="0.25">
      <c r="A69" s="178"/>
      <c r="B69" s="178"/>
      <c r="C69" s="178"/>
      <c r="D69" s="233" t="s">
        <v>293</v>
      </c>
      <c r="E69" s="233"/>
      <c r="F69" s="233"/>
      <c r="G69" s="233"/>
      <c r="H69" s="233"/>
      <c r="R69"/>
    </row>
    <row r="70" spans="1:19" ht="15.75" hidden="1" customHeight="1" x14ac:dyDescent="0.25">
      <c r="A70" s="178"/>
      <c r="B70" s="178"/>
      <c r="C70" s="178"/>
      <c r="D70" s="233" t="s">
        <v>163</v>
      </c>
      <c r="E70" s="233"/>
      <c r="F70" s="233"/>
      <c r="G70" s="233"/>
      <c r="H70" s="233"/>
      <c r="S70"/>
    </row>
    <row r="71" spans="1:19" ht="15.75" customHeight="1" x14ac:dyDescent="0.25">
      <c r="A71" s="199" t="s">
        <v>43</v>
      </c>
      <c r="B71" s="199"/>
      <c r="C71" s="199"/>
      <c r="D71" s="178" t="s">
        <v>395</v>
      </c>
      <c r="E71" s="178"/>
      <c r="F71" s="178"/>
      <c r="G71" s="178"/>
      <c r="H71" s="178"/>
      <c r="J71" s="25"/>
      <c r="K71" s="24"/>
      <c r="N71" s="24"/>
      <c r="S71"/>
    </row>
    <row r="72" spans="1:19" ht="15.75" customHeight="1" x14ac:dyDescent="0.25">
      <c r="A72" s="199" t="s">
        <v>83</v>
      </c>
      <c r="B72" s="199"/>
      <c r="C72" s="199"/>
      <c r="D72" s="227" t="str">
        <f ca="1">(IF(G63="NA","60 Years After Completion",IF(G63&lt;&gt;"NA",""&amp;60-ROUNDDOWN((E3-G63)/360,0)&amp;" Years"," ")))</f>
        <v>59 Years</v>
      </c>
      <c r="E72" s="227"/>
      <c r="F72" s="227"/>
      <c r="G72" s="227"/>
      <c r="H72" s="227"/>
      <c r="N72" s="24"/>
      <c r="S72"/>
    </row>
    <row r="73" spans="1:19" ht="15.75" customHeight="1" x14ac:dyDescent="0.25">
      <c r="A73" s="199" t="s">
        <v>84</v>
      </c>
      <c r="B73" s="199"/>
      <c r="C73" s="199"/>
      <c r="D73" s="235" t="s">
        <v>23</v>
      </c>
      <c r="E73" s="235"/>
      <c r="F73" s="235"/>
      <c r="G73" s="235"/>
      <c r="H73" s="235"/>
      <c r="J73" s="26"/>
      <c r="K73" s="26"/>
      <c r="S73"/>
    </row>
    <row r="74" spans="1:19" ht="157.5" customHeight="1" x14ac:dyDescent="0.25">
      <c r="A74" s="221" t="s">
        <v>400</v>
      </c>
      <c r="B74" s="221"/>
      <c r="C74" s="221"/>
      <c r="D74" s="178" t="s">
        <v>399</v>
      </c>
      <c r="E74" s="235"/>
      <c r="F74" s="235"/>
      <c r="G74" s="235"/>
      <c r="H74" s="235"/>
      <c r="S74"/>
    </row>
    <row r="75" spans="1:19" x14ac:dyDescent="0.25">
      <c r="A75" s="235" t="s">
        <v>141</v>
      </c>
      <c r="B75" s="235"/>
      <c r="C75" s="235"/>
      <c r="D75" s="235" t="s">
        <v>28</v>
      </c>
      <c r="E75" s="235"/>
      <c r="F75" s="235"/>
      <c r="G75" s="235"/>
      <c r="H75" s="235"/>
      <c r="I75" s="27"/>
      <c r="J75" s="27"/>
      <c r="K75" s="27"/>
      <c r="L75" s="27"/>
      <c r="M75" s="27"/>
      <c r="N75" s="27"/>
    </row>
    <row r="76" spans="1:19" ht="15.75" customHeight="1" x14ac:dyDescent="0.25">
      <c r="A76" s="243" t="s">
        <v>82</v>
      </c>
      <c r="B76" s="243"/>
      <c r="C76" s="243"/>
      <c r="D76" s="242" t="str">
        <f ca="1">(IF(G82&gt;95%,"Nothing",IF(G82&gt;0%,"Cement, Aggregate, Steel, etc",IF(G82=0%,"Work not yet Started"))))</f>
        <v>Nothing</v>
      </c>
      <c r="E76" s="242"/>
      <c r="F76" s="242"/>
      <c r="G76" s="242"/>
      <c r="H76" s="242"/>
      <c r="J76" s="26"/>
      <c r="S76"/>
    </row>
    <row r="77" spans="1:19" ht="33.75" customHeight="1" thickBot="1" x14ac:dyDescent="0.3">
      <c r="A77" s="241" t="s">
        <v>113</v>
      </c>
      <c r="B77" s="241"/>
      <c r="C77" s="241"/>
      <c r="D77" s="242" t="str">
        <f ca="1">(IF(D76="Nothing","Yes",IF(D76="Cement, Aggregate, Steel, etc","Under Construction",IF(D76="Work not yet Started","Work not yet Started"))))</f>
        <v>Yes</v>
      </c>
      <c r="E77" s="242"/>
      <c r="F77" s="242" t="str">
        <f ca="1">(IF(D76="Nothing","Yes",IF(D76="Cement, Aggregate, Steel, etc","Under Construction",IF(D76="Work not yet Started","Work not yet Started"))))</f>
        <v>Yes</v>
      </c>
      <c r="G77" s="242"/>
      <c r="H77" s="242"/>
      <c r="S77"/>
    </row>
    <row r="78" spans="1:19" ht="15.75" customHeight="1" x14ac:dyDescent="0.25">
      <c r="A78" s="236" t="s">
        <v>133</v>
      </c>
      <c r="B78" s="237"/>
      <c r="C78" s="238" t="str">
        <f>D68</f>
        <v>Wing A, B &amp; C = Gr/St + P1 + 2nd to 21st Floor</v>
      </c>
      <c r="D78" s="239"/>
      <c r="E78" s="239"/>
      <c r="F78" s="239"/>
      <c r="G78" s="239"/>
      <c r="H78" s="240"/>
      <c r="I78" s="46" t="str">
        <f ca="1">IF(D91=100%,"All work Completed. Possession granted to the Building.",IF(D90=100%,"All work Completed, Waiting for OC",I79&amp;""&amp;I80&amp;""&amp;J79&amp;""&amp;J78&amp;" "&amp;J80))</f>
        <v>All work Completed. Possession granted to the Building.</v>
      </c>
      <c r="J78" s="47" t="str">
        <f ca="1">(IF(C84=(D79+F79+H79),"",IF(C84&gt;0,", RCC upto "&amp;C84&amp;" Slab","")))&amp;(IF(C85=H79,"",IF(C85&gt;0,", Brickwork upto "&amp;C85&amp;" Floor","")))&amp;(IF(C86=H79,"",IF(C86&gt;0,", Internal Plaster upto "&amp;C86&amp;" Floor","")))&amp;(IF(C87=H79,"",IF(C87&gt;0,", External Plaster upto "&amp;C87&amp;" Floor","")))&amp;(IF(C88=H79,"",IF(C88&gt;0,", Flooring upto "&amp;C88&amp;" Floor","")))&amp;(IF(C89=H79,"",IF(C89&gt;0,", Painting upto "&amp;C89&amp;" Floor","")))&amp;(IF(C90=H79,"",IF(C90&gt;0,", Finishing upto "&amp;C90&amp;" Floor","")))&amp;(IF(C91=H79,"",IF(C91&gt;0,", Possession upto "&amp;C91&amp;" Floor","")))</f>
        <v/>
      </c>
      <c r="S78"/>
    </row>
    <row r="79" spans="1:19" x14ac:dyDescent="0.25">
      <c r="A79" s="16" t="s">
        <v>135</v>
      </c>
      <c r="B79" s="50">
        <f>IF(AND(ISNUMBER(SEARCH("1B",C78))),1,IF(AND(ISNUMBER(SEARCH("2B",C78))),2,IF(AND(ISNUMBER(SEARCH("3B",C78))),3,IF(AND(ISNUMBER(SEARCH("4B",C78))),4,IF(ISNUMBER(SEARCH("5B",C78)),5,0)))))</f>
        <v>0</v>
      </c>
      <c r="C79" s="50" t="s">
        <v>68</v>
      </c>
      <c r="D79" s="50">
        <v>1</v>
      </c>
      <c r="E79" s="50" t="s">
        <v>67</v>
      </c>
      <c r="F79" s="50">
        <v>0</v>
      </c>
      <c r="G79" s="50" t="s">
        <v>76</v>
      </c>
      <c r="H79" s="17">
        <f ca="1">--TRIM(RIGHT(SUBSTITUTE(LEFT(C78,_xlfn.AGGREGATE(16,6,FIND({0,1,2,3,4,5,6,7,8,9},C78,ROW(INDIRECT("1:"&amp;LEN(C78)))),1))," ",REPT(" ",LEN(C78))),LEN(C78)))</f>
        <v>21</v>
      </c>
      <c r="I79" s="48" t="str">
        <f ca="1">IF(D82=100%,"Excavation","")&amp;IF(D83=100%,", Plinth","")&amp;IF(D84=100%,", RCC Slab","")&amp;IF(D85=100%,", Brickwork","")&amp;IF(D86=100%,", Internal Plaster","")&amp;IF(D87=100%,", External Plaster","")&amp;IF(D88=100%,", Flooring","")&amp;IF(D89=100%,", Painting","")&amp;IF(D90=100%,", Building common Amenities","")</f>
        <v>Excavation, Plinth, RCC Slab, Brickwork, Internal Plaster, External Plaster, Flooring, Painting, Building common Amenities</v>
      </c>
      <c r="J79" s="49" t="str">
        <f ca="1">(IF(C82=0,"Work not yet Started.",IF(D82=25%,"Piling work in process",IF(D82=50%,"Excavation work in process",IF(D82=100%,"","0")))))&amp;(IF(C83=0%,"",IF(C83=J84,", Footing work is process",IF(C83=J85,", Footing work Completed",IF(C83=J86,", 1st Basement Completed",IF(C83=J87,", 1st &amp; 2nd Basement Completed",IF(C83=J88,", 1st to 3rd Basement Completed",IF(C83=J89,", 1st to 4th Basement Completed",IF(C83=J90,", Plinth work is process",IF(C83=J91,"","0"))))))))))</f>
        <v/>
      </c>
      <c r="S79"/>
    </row>
    <row r="80" spans="1:19" x14ac:dyDescent="0.25">
      <c r="A80" s="170" t="s">
        <v>86</v>
      </c>
      <c r="B80" s="171"/>
      <c r="C80" s="172" t="str">
        <f ca="1">I78</f>
        <v>All work Completed. Possession granted to the Building.</v>
      </c>
      <c r="D80" s="172"/>
      <c r="E80" s="172"/>
      <c r="F80" s="172"/>
      <c r="G80" s="172"/>
      <c r="H80" s="173"/>
      <c r="I80" s="48" t="str">
        <f ca="1">IF(I79&lt;&gt;""," Completed","")</f>
        <v xml:space="preserve"> Completed</v>
      </c>
      <c r="J80" s="49" t="str">
        <f ca="1">IF(J78&lt;&gt;"","Completed","")</f>
        <v/>
      </c>
      <c r="S80"/>
    </row>
    <row r="81" spans="1:19" ht="15.75" customHeight="1" x14ac:dyDescent="0.25">
      <c r="A81" s="188" t="s">
        <v>47</v>
      </c>
      <c r="B81" s="189"/>
      <c r="C81" s="115" t="s">
        <v>132</v>
      </c>
      <c r="D81" s="115" t="s">
        <v>79</v>
      </c>
      <c r="E81" s="189" t="s">
        <v>81</v>
      </c>
      <c r="F81" s="189"/>
      <c r="G81" s="189" t="s">
        <v>80</v>
      </c>
      <c r="H81" s="279"/>
      <c r="I81" s="13" t="s">
        <v>134</v>
      </c>
      <c r="J81" s="28">
        <f ca="1">H79*25%</f>
        <v>5.25</v>
      </c>
      <c r="S81"/>
    </row>
    <row r="82" spans="1:19" x14ac:dyDescent="0.25">
      <c r="A82" s="188" t="s">
        <v>121</v>
      </c>
      <c r="B82" s="189"/>
      <c r="C82" s="115">
        <f ca="1">J83</f>
        <v>21</v>
      </c>
      <c r="D82" s="116">
        <f ca="1">((100/H79)*C82)/100</f>
        <v>1</v>
      </c>
      <c r="E82" s="190">
        <f ca="1">(((C83/H79*10)+(40/(D79+F79+H79)*C84)+(7.5/(H79)*C85)+(7.5/(H79)*C86)+(10/H79*C87)+(10/H79*C88)+(5/H79*C89)+(5/H79*C90)+(5/H79*C91))/100)</f>
        <v>1</v>
      </c>
      <c r="F82" s="191"/>
      <c r="G82" s="190">
        <f ca="1">((((C82/H79)*20)+((C83/H79)*25)+(30/(H79+F79+D79)*C84)+(5/H79*C85)+(5/H79*C86)+(5/H79*C87)+(5/H79*C88)+(0/H79*C89)+(0/H79*C90)+(5/H79*C91))/100)</f>
        <v>1</v>
      </c>
      <c r="H82" s="196"/>
      <c r="I82" s="13" t="s">
        <v>96</v>
      </c>
      <c r="J82" s="29">
        <f ca="1">H79*50%</f>
        <v>10.5</v>
      </c>
    </row>
    <row r="83" spans="1:19" x14ac:dyDescent="0.25">
      <c r="A83" s="188" t="s">
        <v>48</v>
      </c>
      <c r="B83" s="189"/>
      <c r="C83" s="115">
        <f ca="1">J91</f>
        <v>21</v>
      </c>
      <c r="D83" s="116">
        <f ca="1">((100/H79)*C83)/100</f>
        <v>1</v>
      </c>
      <c r="E83" s="192"/>
      <c r="F83" s="193"/>
      <c r="G83" s="192"/>
      <c r="H83" s="197"/>
      <c r="I83" s="13" t="s">
        <v>97</v>
      </c>
      <c r="J83" s="29">
        <f ca="1">H79</f>
        <v>21</v>
      </c>
      <c r="S83"/>
    </row>
    <row r="84" spans="1:19" ht="15.75" customHeight="1" x14ac:dyDescent="0.25">
      <c r="A84" s="188" t="s">
        <v>122</v>
      </c>
      <c r="B84" s="189"/>
      <c r="C84" s="115">
        <v>22</v>
      </c>
      <c r="D84" s="116">
        <f ca="1">((100/(D79+F79+H79))*C84)/100</f>
        <v>1.0000000000000002</v>
      </c>
      <c r="E84" s="192"/>
      <c r="F84" s="193"/>
      <c r="G84" s="192"/>
      <c r="H84" s="197"/>
      <c r="I84" s="13" t="s">
        <v>98</v>
      </c>
      <c r="J84" s="30">
        <f ca="1">(IF(B79&gt;1,(H79/(B79+2)),H79/4))</f>
        <v>5.25</v>
      </c>
      <c r="S84"/>
    </row>
    <row r="85" spans="1:19" ht="15.75" customHeight="1" x14ac:dyDescent="0.25">
      <c r="A85" s="188" t="s">
        <v>129</v>
      </c>
      <c r="B85" s="189" t="s">
        <v>123</v>
      </c>
      <c r="C85" s="115">
        <v>21</v>
      </c>
      <c r="D85" s="116">
        <f ca="1">((100/H79)*C85)/100</f>
        <v>1</v>
      </c>
      <c r="E85" s="192"/>
      <c r="F85" s="193"/>
      <c r="G85" s="192"/>
      <c r="H85" s="197"/>
      <c r="I85" s="13" t="s">
        <v>99</v>
      </c>
      <c r="J85" s="30">
        <f ca="1">(IF(B79&gt;1,(H79/(B79+2)+J84),H79/4+J84))</f>
        <v>10.5</v>
      </c>
    </row>
    <row r="86" spans="1:19" ht="15.75" customHeight="1" x14ac:dyDescent="0.25">
      <c r="A86" s="188" t="s">
        <v>130</v>
      </c>
      <c r="B86" s="189" t="s">
        <v>123</v>
      </c>
      <c r="C86" s="115">
        <v>21</v>
      </c>
      <c r="D86" s="116">
        <f ca="1">((100/H79)*C86)/100</f>
        <v>1</v>
      </c>
      <c r="E86" s="192"/>
      <c r="F86" s="193"/>
      <c r="G86" s="192"/>
      <c r="H86" s="197"/>
      <c r="I86" s="13" t="s">
        <v>139</v>
      </c>
      <c r="J86" s="30">
        <f>(IF(B79&gt;1,(H79/(B79+2)+J85),0))</f>
        <v>0</v>
      </c>
    </row>
    <row r="87" spans="1:19" ht="15" customHeight="1" x14ac:dyDescent="0.25">
      <c r="A87" s="188" t="s">
        <v>128</v>
      </c>
      <c r="B87" s="189" t="s">
        <v>125</v>
      </c>
      <c r="C87" s="115">
        <v>21</v>
      </c>
      <c r="D87" s="116">
        <f ca="1">((100/(H79))*C87)/100</f>
        <v>1</v>
      </c>
      <c r="E87" s="192"/>
      <c r="F87" s="193"/>
      <c r="G87" s="192"/>
      <c r="H87" s="197"/>
      <c r="I87" s="13" t="s">
        <v>136</v>
      </c>
      <c r="J87" s="30">
        <f>(IF(B79&gt;2,(H79/(B79+2)+J86),0))</f>
        <v>0</v>
      </c>
    </row>
    <row r="88" spans="1:19" ht="15.75" customHeight="1" x14ac:dyDescent="0.25">
      <c r="A88" s="188" t="s">
        <v>124</v>
      </c>
      <c r="B88" s="189" t="s">
        <v>124</v>
      </c>
      <c r="C88" s="115">
        <v>21</v>
      </c>
      <c r="D88" s="116">
        <f ca="1">((100/H79)*C88)/100</f>
        <v>1</v>
      </c>
      <c r="E88" s="192"/>
      <c r="F88" s="193"/>
      <c r="G88" s="192"/>
      <c r="H88" s="197"/>
      <c r="I88" s="13" t="s">
        <v>137</v>
      </c>
      <c r="J88" s="31">
        <f>(IF(B79&gt;3,(H79/(B79+2)+J87),0))</f>
        <v>0</v>
      </c>
    </row>
    <row r="89" spans="1:19" ht="15.75" customHeight="1" x14ac:dyDescent="0.25">
      <c r="A89" s="188" t="s">
        <v>131</v>
      </c>
      <c r="B89" s="189"/>
      <c r="C89" s="115">
        <v>21</v>
      </c>
      <c r="D89" s="116">
        <f ca="1">((100/H79)*C89)/100</f>
        <v>1</v>
      </c>
      <c r="E89" s="192"/>
      <c r="F89" s="193"/>
      <c r="G89" s="192"/>
      <c r="H89" s="197"/>
      <c r="I89" s="13" t="s">
        <v>138</v>
      </c>
      <c r="J89" s="30">
        <f>(IF(B79&gt;4,(H79/(B79+2)+J88),0))</f>
        <v>0</v>
      </c>
    </row>
    <row r="90" spans="1:19" ht="15.75" customHeight="1" x14ac:dyDescent="0.25">
      <c r="A90" s="188" t="s">
        <v>126</v>
      </c>
      <c r="B90" s="189" t="s">
        <v>126</v>
      </c>
      <c r="C90" s="115">
        <v>21</v>
      </c>
      <c r="D90" s="116">
        <f ca="1">((100/(H79))*C90)/100</f>
        <v>1</v>
      </c>
      <c r="E90" s="192"/>
      <c r="F90" s="193"/>
      <c r="G90" s="192"/>
      <c r="H90" s="197"/>
      <c r="I90" s="13" t="s">
        <v>140</v>
      </c>
      <c r="J90" s="30">
        <f ca="1">(IF(B79=1,(H79/(B79+3)+J85),IF(B79=0,(H79/4+J85),IF(B79&gt;1,0))))</f>
        <v>15.75</v>
      </c>
    </row>
    <row r="91" spans="1:19" ht="16.5" thickBot="1" x14ac:dyDescent="0.3">
      <c r="A91" s="280" t="s">
        <v>127</v>
      </c>
      <c r="B91" s="281"/>
      <c r="C91" s="117">
        <v>21</v>
      </c>
      <c r="D91" s="118">
        <f ca="1">((100/(H79))*C91)/100</f>
        <v>1</v>
      </c>
      <c r="E91" s="194"/>
      <c r="F91" s="195"/>
      <c r="G91" s="194"/>
      <c r="H91" s="198"/>
      <c r="I91" s="15" t="s">
        <v>100</v>
      </c>
      <c r="J91" s="32">
        <f ca="1">(IF(B79&gt;1.5,(H79/(B79+2)+J85+MAX(0,J86-J85)+MAX(0,J87-J86)+MAX(0,J88-J87)+MAX(0,J89-J88)+MAX(0,J90-J89)),IF(B79=1,(H79/(B79+3)+J90),IF(B79=0,H79/4+J90))))</f>
        <v>21</v>
      </c>
    </row>
    <row r="92" spans="1:19" ht="15.75" hidden="1" customHeight="1" x14ac:dyDescent="0.25">
      <c r="A92" s="165" t="s">
        <v>133</v>
      </c>
      <c r="B92" s="166"/>
      <c r="C92" s="167" t="str">
        <f>D69</f>
        <v>B Wing = 1B + G + 1st to 19th Floor</v>
      </c>
      <c r="D92" s="168"/>
      <c r="E92" s="168"/>
      <c r="F92" s="168"/>
      <c r="G92" s="168"/>
      <c r="H92" s="169"/>
      <c r="I92" s="46" t="str">
        <f ca="1">IF(D105=100%,"All work Completed. Possession granted to the Building.",IF(D104=100%,"All work Completed, Waiting for OC",I93&amp;""&amp;I94&amp;""&amp;J93&amp;""&amp;J92&amp;" "&amp;J94))</f>
        <v xml:space="preserve">Excavation, Plinth Completed </v>
      </c>
      <c r="J92" s="47" t="str">
        <f ca="1">(IF(C98=(D93+F93+H93),"",IF(C98&gt;0,", RCC upto "&amp;C98&amp;" Slab","")))&amp;(IF(C99=H93,"",IF(C99&gt;0,", Brickwork upto "&amp;C99&amp;" Floor","")))&amp;(IF(C100=H93,"",IF(C100&gt;0,", Internal Plaster upto "&amp;C100&amp;" Floor","")))&amp;(IF(C101=H93,"",IF(C101&gt;0,", External Plaster upto "&amp;C101&amp;" Floor","")))&amp;(IF(C102=H93,"",IF(C102&gt;0,", Flooring upto "&amp;C102&amp;" Floor","")))&amp;(IF(C103=H93,"",IF(C103&gt;0,", Painting upto "&amp;C103&amp;" Floor","")))&amp;(IF(C104=H93,"",IF(C104&gt;0,", Finishing upto "&amp;C104&amp;" Floor","")))&amp;(IF(C105=H93,"",IF(C105&gt;0,", Possession upto "&amp;C105&amp;" Floor","")))</f>
        <v/>
      </c>
      <c r="S92"/>
    </row>
    <row r="93" spans="1:19" hidden="1" x14ac:dyDescent="0.25">
      <c r="A93" s="16" t="s">
        <v>135</v>
      </c>
      <c r="B93" s="50">
        <f>IF(AND(ISNUMBER(SEARCH("1B",C92))),1,IF(AND(ISNUMBER(SEARCH("2B",C92))),2,IF(AND(ISNUMBER(SEARCH("3B",C92))),3,IF(AND(ISNUMBER(SEARCH("4B",C92))),4,IF(ISNUMBER(SEARCH("5B",C92)),5,0)))))</f>
        <v>1</v>
      </c>
      <c r="C93" s="50" t="s">
        <v>68</v>
      </c>
      <c r="D93" s="50">
        <v>1</v>
      </c>
      <c r="E93" s="50" t="s">
        <v>67</v>
      </c>
      <c r="F93" s="14">
        <v>0</v>
      </c>
      <c r="G93" s="45" t="s">
        <v>76</v>
      </c>
      <c r="H93" s="17">
        <f ca="1">--TRIM(RIGHT(SUBSTITUTE(LEFT(C92,_xlfn.AGGREGATE(16,6,FIND({0,1,2,3,4,5,6,7,8,9},C92,ROW(INDIRECT("1:"&amp;LEN(C92)))),1))," ",REPT(" ",LEN(C92))),LEN(C92)))</f>
        <v>19</v>
      </c>
      <c r="I93" s="48" t="str">
        <f ca="1">IF(D96=100%,"Excavation","")&amp;IF(D97=100%,", Plinth","")&amp;IF(D98=100%,", RCC Slab","")&amp;IF(D99=100%,", Brickwork","")&amp;IF(D100=100%,", Internal Plaster","")&amp;IF(D101=100%,", External Plaster","")&amp;IF(D102=100%,", Flooring","")&amp;IF(D103=100%,", Painting","")&amp;IF(D104=100%,", Building common Amenities","")</f>
        <v>Excavation, Plinth</v>
      </c>
      <c r="J93" s="49" t="str">
        <f ca="1">(IF(C96=0,"Work not yet Started.",IF(D96=25%,"Piling work in process",IF(D96=50%,"Excavation work in process",IF(D96=100%,"","0")))))&amp;(IF(C97=0%,"",IF(C97=J98,", Footing work is process",IF(C97=J99,", Footing work Completed",IF(C97=J100,", 1st Basement Completed",IF(C97=J101,", 1st &amp; 2nd Basement Completed",IF(C97=J102,", 1st to 3rd Basement Completed",IF(C97=J103,", 1st to 4th Basement Completed",IF(C97=J104,", Plinth work is process",IF(C97=J105,"","0"))))))))))</f>
        <v/>
      </c>
      <c r="S93"/>
    </row>
    <row r="94" spans="1:19" ht="36.75" hidden="1" customHeight="1" x14ac:dyDescent="0.25">
      <c r="A94" s="170" t="s">
        <v>86</v>
      </c>
      <c r="B94" s="171"/>
      <c r="C94" s="172" t="str">
        <f ca="1">I92</f>
        <v xml:space="preserve">Excavation, Plinth Completed </v>
      </c>
      <c r="D94" s="172"/>
      <c r="E94" s="172"/>
      <c r="F94" s="172"/>
      <c r="G94" s="172"/>
      <c r="H94" s="173"/>
      <c r="I94" s="48" t="str">
        <f ca="1">IF(I93&lt;&gt;""," Completed","")</f>
        <v xml:space="preserve"> Completed</v>
      </c>
      <c r="J94" s="49" t="str">
        <f ca="1">IF(J92&lt;&gt;"","Completed","")</f>
        <v/>
      </c>
      <c r="S94"/>
    </row>
    <row r="95" spans="1:19" ht="15.75" hidden="1" customHeight="1" x14ac:dyDescent="0.25">
      <c r="A95" s="127" t="s">
        <v>47</v>
      </c>
      <c r="B95" s="128"/>
      <c r="C95" s="80" t="s">
        <v>132</v>
      </c>
      <c r="D95" s="80" t="s">
        <v>79</v>
      </c>
      <c r="E95" s="128" t="s">
        <v>81</v>
      </c>
      <c r="F95" s="128"/>
      <c r="G95" s="128" t="s">
        <v>80</v>
      </c>
      <c r="H95" s="143"/>
      <c r="I95" s="13" t="s">
        <v>134</v>
      </c>
      <c r="J95" s="28">
        <f ca="1">H93*25%</f>
        <v>4.75</v>
      </c>
      <c r="S95"/>
    </row>
    <row r="96" spans="1:19" hidden="1" x14ac:dyDescent="0.25">
      <c r="A96" s="127" t="s">
        <v>121</v>
      </c>
      <c r="B96" s="128"/>
      <c r="C96" s="61">
        <f ca="1">J97</f>
        <v>19</v>
      </c>
      <c r="D96" s="19">
        <f ca="1">((100/H93)*C96)/100</f>
        <v>1</v>
      </c>
      <c r="E96" s="159">
        <f ca="1">(((C97/H93*10)+(40/(D93+F93+H93)*C98)+(7.5/(H93)*C99)+(7.5/(H93)*C100)+(10/H93*C101)+(10/H93*C102)+(5/H93*C103)+(5/H93*C104)+(5/H93*C105))/100)</f>
        <v>0.1</v>
      </c>
      <c r="F96" s="160"/>
      <c r="G96" s="159">
        <f ca="1">((((C96/H93)*20)+((C97/H93)*25)+(30/(H93+F93+D93)*C98)+(5/H93*C99)+(5/H93*C100)+(5/H93*C101)+(5/H93*C102)+(0/H93*C103)+(0/H93*C104)+(5/H93*C105))/100)</f>
        <v>0.45</v>
      </c>
      <c r="H96" s="174"/>
      <c r="I96" s="13" t="s">
        <v>96</v>
      </c>
      <c r="J96" s="29">
        <f ca="1">H93*50%</f>
        <v>9.5</v>
      </c>
    </row>
    <row r="97" spans="1:19" hidden="1" x14ac:dyDescent="0.25">
      <c r="A97" s="127" t="s">
        <v>48</v>
      </c>
      <c r="B97" s="128"/>
      <c r="C97" s="80">
        <f ca="1">J105</f>
        <v>19</v>
      </c>
      <c r="D97" s="19">
        <f ca="1">((100/H93)*C97)/100</f>
        <v>1</v>
      </c>
      <c r="E97" s="161"/>
      <c r="F97" s="162"/>
      <c r="G97" s="161"/>
      <c r="H97" s="175"/>
      <c r="I97" s="13" t="s">
        <v>97</v>
      </c>
      <c r="J97" s="29">
        <f ca="1">H93</f>
        <v>19</v>
      </c>
      <c r="S97"/>
    </row>
    <row r="98" spans="1:19" ht="15.75" hidden="1" customHeight="1" x14ac:dyDescent="0.25">
      <c r="A98" s="127" t="s">
        <v>122</v>
      </c>
      <c r="B98" s="128"/>
      <c r="C98" s="80">
        <v>0</v>
      </c>
      <c r="D98" s="19">
        <f ca="1">((100/(D93+F93+H93))*C98)/100</f>
        <v>0</v>
      </c>
      <c r="E98" s="161"/>
      <c r="F98" s="162"/>
      <c r="G98" s="161"/>
      <c r="H98" s="175"/>
      <c r="I98" s="13" t="s">
        <v>98</v>
      </c>
      <c r="J98" s="30">
        <f ca="1">(IF(B93&gt;1,(H93/(B93+2)),H93/4))</f>
        <v>4.75</v>
      </c>
      <c r="S98"/>
    </row>
    <row r="99" spans="1:19" ht="15.75" hidden="1" customHeight="1" x14ac:dyDescent="0.25">
      <c r="A99" s="127" t="s">
        <v>129</v>
      </c>
      <c r="B99" s="128" t="s">
        <v>123</v>
      </c>
      <c r="C99" s="80">
        <v>0</v>
      </c>
      <c r="D99" s="19">
        <f ca="1">((100/H93)*C99)/100</f>
        <v>0</v>
      </c>
      <c r="E99" s="161"/>
      <c r="F99" s="162"/>
      <c r="G99" s="161"/>
      <c r="H99" s="175"/>
      <c r="I99" s="13" t="s">
        <v>99</v>
      </c>
      <c r="J99" s="30">
        <f ca="1">(IF(B93&gt;1,(H93/(B93+2)+J98),H93/4+J98))</f>
        <v>9.5</v>
      </c>
    </row>
    <row r="100" spans="1:19" ht="15.75" hidden="1" customHeight="1" x14ac:dyDescent="0.25">
      <c r="A100" s="127" t="s">
        <v>130</v>
      </c>
      <c r="B100" s="128" t="s">
        <v>123</v>
      </c>
      <c r="C100" s="80">
        <v>0</v>
      </c>
      <c r="D100" s="19">
        <f ca="1">((100/H93)*C100)/100</f>
        <v>0</v>
      </c>
      <c r="E100" s="161"/>
      <c r="F100" s="162"/>
      <c r="G100" s="161"/>
      <c r="H100" s="175"/>
      <c r="I100" s="13" t="s">
        <v>139</v>
      </c>
      <c r="J100" s="30">
        <f>(IF(B93&gt;1,(H93/(B93+2)+J99),0))</f>
        <v>0</v>
      </c>
    </row>
    <row r="101" spans="1:19" ht="15" hidden="1" customHeight="1" x14ac:dyDescent="0.25">
      <c r="A101" s="127" t="s">
        <v>128</v>
      </c>
      <c r="B101" s="128" t="s">
        <v>125</v>
      </c>
      <c r="C101" s="80">
        <v>0</v>
      </c>
      <c r="D101" s="19">
        <f ca="1">((100/(H93))*C101)/100</f>
        <v>0</v>
      </c>
      <c r="E101" s="161"/>
      <c r="F101" s="162"/>
      <c r="G101" s="161"/>
      <c r="H101" s="175"/>
      <c r="I101" s="13" t="s">
        <v>136</v>
      </c>
      <c r="J101" s="30">
        <f>(IF(B93&gt;2,(H93/(B93+2)+J100),0))</f>
        <v>0</v>
      </c>
    </row>
    <row r="102" spans="1:19" ht="15.75" hidden="1" customHeight="1" x14ac:dyDescent="0.25">
      <c r="A102" s="127" t="s">
        <v>124</v>
      </c>
      <c r="B102" s="128" t="s">
        <v>124</v>
      </c>
      <c r="C102" s="80">
        <v>0</v>
      </c>
      <c r="D102" s="19">
        <f ca="1">((100/H93)*C102)/100</f>
        <v>0</v>
      </c>
      <c r="E102" s="161"/>
      <c r="F102" s="162"/>
      <c r="G102" s="161"/>
      <c r="H102" s="175"/>
      <c r="I102" s="13" t="s">
        <v>137</v>
      </c>
      <c r="J102" s="31">
        <f>(IF(B93&gt;3,(H93/(B93+2)+J101),0))</f>
        <v>0</v>
      </c>
    </row>
    <row r="103" spans="1:19" ht="15.75" hidden="1" customHeight="1" x14ac:dyDescent="0.25">
      <c r="A103" s="127" t="s">
        <v>131</v>
      </c>
      <c r="B103" s="128"/>
      <c r="C103" s="80">
        <v>0</v>
      </c>
      <c r="D103" s="19">
        <f ca="1">((100/H93)*C103)/100</f>
        <v>0</v>
      </c>
      <c r="E103" s="161"/>
      <c r="F103" s="162"/>
      <c r="G103" s="161"/>
      <c r="H103" s="175"/>
      <c r="I103" s="13" t="s">
        <v>138</v>
      </c>
      <c r="J103" s="30">
        <f>(IF(B93&gt;4,(H93/(B93+2)+J102),0))</f>
        <v>0</v>
      </c>
    </row>
    <row r="104" spans="1:19" ht="15.75" hidden="1" customHeight="1" x14ac:dyDescent="0.25">
      <c r="A104" s="127" t="s">
        <v>126</v>
      </c>
      <c r="B104" s="128" t="s">
        <v>126</v>
      </c>
      <c r="C104" s="80">
        <v>0</v>
      </c>
      <c r="D104" s="19">
        <f ca="1">((100/(H93))*C104)/100</f>
        <v>0</v>
      </c>
      <c r="E104" s="161"/>
      <c r="F104" s="162"/>
      <c r="G104" s="161"/>
      <c r="H104" s="175"/>
      <c r="I104" s="13" t="s">
        <v>140</v>
      </c>
      <c r="J104" s="30">
        <f ca="1">(IF(B93=1,(H93/(B93+3)+J99),IF(B93=0,(H93/4+J99),IF(B93&gt;1,0))))</f>
        <v>14.25</v>
      </c>
    </row>
    <row r="105" spans="1:19" ht="16.5" hidden="1" thickBot="1" x14ac:dyDescent="0.3">
      <c r="A105" s="155" t="s">
        <v>127</v>
      </c>
      <c r="B105" s="156"/>
      <c r="C105" s="79">
        <v>0</v>
      </c>
      <c r="D105" s="20">
        <f ca="1">((100/(H93))*C105)/100</f>
        <v>0</v>
      </c>
      <c r="E105" s="163"/>
      <c r="F105" s="164"/>
      <c r="G105" s="163"/>
      <c r="H105" s="176"/>
      <c r="I105" s="15" t="s">
        <v>100</v>
      </c>
      <c r="J105" s="32">
        <f ca="1">(IF(B93&gt;1.5,(H93/(B93+2)+J99+MAX(0,J100-J99)+MAX(0,J101-J100)+MAX(0,J102-J101)+MAX(0,J103-J102)+MAX(0,J104-J103)),IF(B93=1,(H93/(B93+3)+J104),IF(B93=0,H93/4+J104))))</f>
        <v>19</v>
      </c>
    </row>
    <row r="106" spans="1:19" ht="15.75" hidden="1" customHeight="1" x14ac:dyDescent="0.25">
      <c r="A106" s="165" t="s">
        <v>133</v>
      </c>
      <c r="B106" s="166"/>
      <c r="C106" s="167" t="str">
        <f>D70</f>
        <v>C Wing = 1B + G + 1st to 20th Floor</v>
      </c>
      <c r="D106" s="168"/>
      <c r="E106" s="168"/>
      <c r="F106" s="168"/>
      <c r="G106" s="168"/>
      <c r="H106" s="169"/>
      <c r="I106" s="46" t="str">
        <f ca="1">IF(D119=100%,"All work Completed. Possession granted to the Building.",IF(D118=100%,"All work Completed, Waiting for OC",I107&amp;""&amp;I108&amp;""&amp;J107&amp;""&amp;J106&amp;" "&amp;J108))</f>
        <v xml:space="preserve">Excavation, Plinth Completed </v>
      </c>
      <c r="J106" s="47" t="str">
        <f ca="1">(IF(C112=(D107+F107+H107),"",IF(C112&gt;0,", RCC upto "&amp;C112&amp;" Slab","")))&amp;(IF(C113=H107,"",IF(C113&gt;0,", Brickwork upto "&amp;C113&amp;" Floor","")))&amp;(IF(C114=H107,"",IF(C114&gt;0,", Internal Plaster upto "&amp;C114&amp;" Floor","")))&amp;(IF(C115=H107,"",IF(C115&gt;0,", External Plaster upto "&amp;C115&amp;" Floor","")))&amp;(IF(C116=H107,"",IF(C116&gt;0,", Flooring upto "&amp;C116&amp;" Floor","")))&amp;(IF(C117=H107,"",IF(C117&gt;0,", Painting upto "&amp;C117&amp;" Floor","")))&amp;(IF(C118=H107,"",IF(C118&gt;0,", Finishing upto "&amp;C118&amp;" Floor","")))&amp;(IF(C119=H107,"",IF(C119&gt;0,", Possession upto "&amp;C119&amp;" Floor","")))</f>
        <v/>
      </c>
      <c r="S106"/>
    </row>
    <row r="107" spans="1:19" hidden="1" x14ac:dyDescent="0.25">
      <c r="A107" s="16" t="s">
        <v>135</v>
      </c>
      <c r="B107" s="50">
        <f>IF(AND(ISNUMBER(SEARCH("1B",C106))),1,IF(AND(ISNUMBER(SEARCH("2B",C106))),2,IF(AND(ISNUMBER(SEARCH("3B",C106))),3,IF(AND(ISNUMBER(SEARCH("4B",C106))),4,IF(ISNUMBER(SEARCH("5B",C106)),5,0)))))</f>
        <v>1</v>
      </c>
      <c r="C107" s="50" t="s">
        <v>68</v>
      </c>
      <c r="D107" s="50">
        <v>1</v>
      </c>
      <c r="E107" s="50" t="s">
        <v>67</v>
      </c>
      <c r="F107" s="14">
        <v>0</v>
      </c>
      <c r="G107" s="45" t="s">
        <v>76</v>
      </c>
      <c r="H107" s="17">
        <f ca="1">--TRIM(RIGHT(SUBSTITUTE(LEFT(C106,_xlfn.AGGREGATE(16,6,FIND({0,1,2,3,4,5,6,7,8,9},C106,ROW(INDIRECT("1:"&amp;LEN(C106)))),1))," ",REPT(" ",LEN(C106))),LEN(C106)))</f>
        <v>20</v>
      </c>
      <c r="I107" s="48" t="str">
        <f ca="1">IF(D110=100%,"Excavation","")&amp;IF(D111=100%,", Plinth","")&amp;IF(D112=100%,", RCC Slab","")&amp;IF(D113=100%,", Brickwork","")&amp;IF(D114=100%,", Internal Plaster","")&amp;IF(D115=100%,", External Plaster","")&amp;IF(D116=100%,", Flooring","")&amp;IF(D117=100%,", Painting","")&amp;IF(D118=100%,", Building common Amenities","")</f>
        <v>Excavation, Plinth</v>
      </c>
      <c r="J107" s="49" t="str">
        <f ca="1">(IF(C110=0,"Work not yet Started.",IF(D110=25%,"Piling work in process",IF(D110=50%,"Excavation work in process",IF(D110=100%,"","0")))))&amp;(IF(C111=0%,"",IF(C111=J112,", Footing work is process",IF(C111=J113,", Footing work Completed",IF(C111=J114,", 1st Basement Completed",IF(C111=J115,", 1st &amp; 2nd Basement Completed",IF(C111=J116,", 1st to 3rd Basement Completed",IF(C111=J117,", 1st to 4th Basement Completed",IF(C111=J118,", Plinth work is process",IF(C111=J119,"","0"))))))))))</f>
        <v/>
      </c>
      <c r="S107"/>
    </row>
    <row r="108" spans="1:19" hidden="1" x14ac:dyDescent="0.25">
      <c r="A108" s="170" t="s">
        <v>86</v>
      </c>
      <c r="B108" s="171"/>
      <c r="C108" s="172" t="str">
        <f ca="1">I106</f>
        <v xml:space="preserve">Excavation, Plinth Completed </v>
      </c>
      <c r="D108" s="172"/>
      <c r="E108" s="172"/>
      <c r="F108" s="172"/>
      <c r="G108" s="172"/>
      <c r="H108" s="173"/>
      <c r="I108" s="48" t="str">
        <f ca="1">IF(I107&lt;&gt;""," Completed","")</f>
        <v xml:space="preserve"> Completed</v>
      </c>
      <c r="J108" s="49" t="str">
        <f ca="1">IF(J106&lt;&gt;"","Completed","")</f>
        <v/>
      </c>
      <c r="S108"/>
    </row>
    <row r="109" spans="1:19" ht="15.75" hidden="1" customHeight="1" x14ac:dyDescent="0.25">
      <c r="A109" s="127" t="s">
        <v>47</v>
      </c>
      <c r="B109" s="128"/>
      <c r="C109" s="80" t="s">
        <v>132</v>
      </c>
      <c r="D109" s="80" t="s">
        <v>79</v>
      </c>
      <c r="E109" s="128" t="s">
        <v>81</v>
      </c>
      <c r="F109" s="128"/>
      <c r="G109" s="128" t="s">
        <v>80</v>
      </c>
      <c r="H109" s="143"/>
      <c r="I109" s="13" t="s">
        <v>134</v>
      </c>
      <c r="J109" s="28">
        <f ca="1">H107*25%</f>
        <v>5</v>
      </c>
      <c r="S109"/>
    </row>
    <row r="110" spans="1:19" hidden="1" x14ac:dyDescent="0.25">
      <c r="A110" s="127" t="s">
        <v>121</v>
      </c>
      <c r="B110" s="128"/>
      <c r="C110" s="61">
        <f ca="1">J111</f>
        <v>20</v>
      </c>
      <c r="D110" s="19">
        <f ca="1">((100/H107)*C110)/100</f>
        <v>1</v>
      </c>
      <c r="E110" s="159">
        <f ca="1">(((C111/H107*10)+(40/(D107+F107+H107)*C112)+(7.5/(H107)*C113)+(7.5/(H107)*C114)+(10/H107*C115)+(10/H107*C116)+(5/H107*C117)+(5/H107*C118)+(5/H107*C119))/100)</f>
        <v>0.1</v>
      </c>
      <c r="F110" s="160"/>
      <c r="G110" s="159">
        <f ca="1">((((C110/H107)*20)+((C111/H107)*25)+(30/(H107+F107+D107)*C112)+(5/H107*C113)+(5/H107*C114)+(5/H107*C115)+(5/H107*C116)+(0/H107*C117)+(0/H107*C118)+(5/H107*C119))/100)</f>
        <v>0.45</v>
      </c>
      <c r="H110" s="174"/>
      <c r="I110" s="13" t="s">
        <v>96</v>
      </c>
      <c r="J110" s="29">
        <f ca="1">H107*50%</f>
        <v>10</v>
      </c>
    </row>
    <row r="111" spans="1:19" hidden="1" x14ac:dyDescent="0.25">
      <c r="A111" s="127" t="s">
        <v>48</v>
      </c>
      <c r="B111" s="128"/>
      <c r="C111" s="80">
        <f ca="1">J119</f>
        <v>20</v>
      </c>
      <c r="D111" s="19">
        <f ca="1">((100/H107)*C111)/100</f>
        <v>1</v>
      </c>
      <c r="E111" s="161"/>
      <c r="F111" s="162"/>
      <c r="G111" s="161"/>
      <c r="H111" s="175"/>
      <c r="I111" s="13" t="s">
        <v>97</v>
      </c>
      <c r="J111" s="29">
        <f ca="1">H107</f>
        <v>20</v>
      </c>
      <c r="S111"/>
    </row>
    <row r="112" spans="1:19" ht="15.75" hidden="1" customHeight="1" x14ac:dyDescent="0.25">
      <c r="A112" s="127" t="s">
        <v>122</v>
      </c>
      <c r="B112" s="128"/>
      <c r="C112" s="80">
        <v>0</v>
      </c>
      <c r="D112" s="19">
        <f ca="1">((100/(D107+F107+H107))*C112)/100</f>
        <v>0</v>
      </c>
      <c r="E112" s="161"/>
      <c r="F112" s="162"/>
      <c r="G112" s="161"/>
      <c r="H112" s="175"/>
      <c r="I112" s="13" t="s">
        <v>98</v>
      </c>
      <c r="J112" s="30">
        <f ca="1">(IF(B107&gt;1,(H107/(B107+2)),H107/4))</f>
        <v>5</v>
      </c>
      <c r="S112"/>
    </row>
    <row r="113" spans="1:22" ht="15.75" hidden="1" customHeight="1" x14ac:dyDescent="0.25">
      <c r="A113" s="127" t="s">
        <v>129</v>
      </c>
      <c r="B113" s="128" t="s">
        <v>123</v>
      </c>
      <c r="C113" s="80">
        <v>0</v>
      </c>
      <c r="D113" s="19">
        <f ca="1">((100/H107)*C113)/100</f>
        <v>0</v>
      </c>
      <c r="E113" s="161"/>
      <c r="F113" s="162"/>
      <c r="G113" s="161"/>
      <c r="H113" s="175"/>
      <c r="I113" s="13" t="s">
        <v>99</v>
      </c>
      <c r="J113" s="30">
        <f ca="1">(IF(B107&gt;1,(H107/(B107+2)+J112),H107/4+J112))</f>
        <v>10</v>
      </c>
    </row>
    <row r="114" spans="1:22" ht="15.75" hidden="1" customHeight="1" x14ac:dyDescent="0.25">
      <c r="A114" s="127" t="s">
        <v>130</v>
      </c>
      <c r="B114" s="128" t="s">
        <v>123</v>
      </c>
      <c r="C114" s="80">
        <v>0</v>
      </c>
      <c r="D114" s="19">
        <f ca="1">((100/H107)*C114)/100</f>
        <v>0</v>
      </c>
      <c r="E114" s="161"/>
      <c r="F114" s="162"/>
      <c r="G114" s="161"/>
      <c r="H114" s="175"/>
      <c r="I114" s="13" t="s">
        <v>139</v>
      </c>
      <c r="J114" s="30">
        <f>(IF(B107&gt;1,(H107/(B107+2)+J113),0))</f>
        <v>0</v>
      </c>
    </row>
    <row r="115" spans="1:22" ht="15" hidden="1" customHeight="1" x14ac:dyDescent="0.25">
      <c r="A115" s="127" t="s">
        <v>128</v>
      </c>
      <c r="B115" s="128" t="s">
        <v>125</v>
      </c>
      <c r="C115" s="80">
        <v>0</v>
      </c>
      <c r="D115" s="19">
        <f ca="1">((100/(H107))*C115)/100</f>
        <v>0</v>
      </c>
      <c r="E115" s="161"/>
      <c r="F115" s="162"/>
      <c r="G115" s="161"/>
      <c r="H115" s="175"/>
      <c r="I115" s="13" t="s">
        <v>136</v>
      </c>
      <c r="J115" s="30">
        <f>(IF(B107&gt;2,(H107/(B107+2)+J114),0))</f>
        <v>0</v>
      </c>
    </row>
    <row r="116" spans="1:22" ht="15.75" hidden="1" customHeight="1" x14ac:dyDescent="0.25">
      <c r="A116" s="127" t="s">
        <v>124</v>
      </c>
      <c r="B116" s="128" t="s">
        <v>124</v>
      </c>
      <c r="C116" s="80">
        <v>0</v>
      </c>
      <c r="D116" s="19">
        <f ca="1">((100/H107)*C116)/100</f>
        <v>0</v>
      </c>
      <c r="E116" s="161"/>
      <c r="F116" s="162"/>
      <c r="G116" s="161"/>
      <c r="H116" s="175"/>
      <c r="I116" s="13" t="s">
        <v>137</v>
      </c>
      <c r="J116" s="31">
        <f>(IF(B107&gt;3,(H107/(B107+2)+J115),0))</f>
        <v>0</v>
      </c>
    </row>
    <row r="117" spans="1:22" ht="15.75" hidden="1" customHeight="1" x14ac:dyDescent="0.25">
      <c r="A117" s="127" t="s">
        <v>131</v>
      </c>
      <c r="B117" s="128"/>
      <c r="C117" s="80">
        <v>0</v>
      </c>
      <c r="D117" s="19">
        <f ca="1">((100/H107)*C117)/100</f>
        <v>0</v>
      </c>
      <c r="E117" s="161"/>
      <c r="F117" s="162"/>
      <c r="G117" s="161"/>
      <c r="H117" s="175"/>
      <c r="I117" s="13" t="s">
        <v>138</v>
      </c>
      <c r="J117" s="30">
        <f>(IF(B107&gt;4,(H107/(B107+2)+J116),0))</f>
        <v>0</v>
      </c>
    </row>
    <row r="118" spans="1:22" ht="15.75" hidden="1" customHeight="1" x14ac:dyDescent="0.25">
      <c r="A118" s="127" t="s">
        <v>126</v>
      </c>
      <c r="B118" s="128" t="s">
        <v>126</v>
      </c>
      <c r="C118" s="80">
        <v>0</v>
      </c>
      <c r="D118" s="19">
        <f ca="1">((100/(H107))*C118)/100</f>
        <v>0</v>
      </c>
      <c r="E118" s="161"/>
      <c r="F118" s="162"/>
      <c r="G118" s="161"/>
      <c r="H118" s="175"/>
      <c r="I118" s="13" t="s">
        <v>140</v>
      </c>
      <c r="J118" s="30">
        <f ca="1">(IF(B107=1,(H107/(B107+3)+J113),IF(B107=0,(H107/4+J113),IF(B107&gt;1,0))))</f>
        <v>15</v>
      </c>
    </row>
    <row r="119" spans="1:22" ht="16.5" hidden="1" thickBot="1" x14ac:dyDescent="0.3">
      <c r="A119" s="155" t="s">
        <v>127</v>
      </c>
      <c r="B119" s="156"/>
      <c r="C119" s="79">
        <v>0</v>
      </c>
      <c r="D119" s="20">
        <f ca="1">((100/(H107))*C119)/100</f>
        <v>0</v>
      </c>
      <c r="E119" s="163"/>
      <c r="F119" s="164"/>
      <c r="G119" s="163"/>
      <c r="H119" s="176"/>
      <c r="I119" s="15" t="s">
        <v>100</v>
      </c>
      <c r="J119" s="32">
        <f ca="1">(IF(B107&gt;1.5,(H107/(B107+2)+J113+MAX(0,J114-J113)+MAX(0,J115-J114)+MAX(0,J116-J115)+MAX(0,J117-J116)+MAX(0,J118-J117)),IF(B107=1,(H107/(B107+3)+J118),IF(B107=0,H107/4+J118))))</f>
        <v>20</v>
      </c>
    </row>
    <row r="120" spans="1:22" x14ac:dyDescent="0.25">
      <c r="A120" s="284" t="s">
        <v>150</v>
      </c>
      <c r="B120" s="284"/>
      <c r="C120" s="284"/>
      <c r="D120" s="284"/>
      <c r="E120" s="284"/>
      <c r="F120" s="266" t="s">
        <v>154</v>
      </c>
      <c r="G120" s="266"/>
      <c r="H120" s="266"/>
      <c r="R120" t="s">
        <v>249</v>
      </c>
      <c r="S120" t="s">
        <v>167</v>
      </c>
      <c r="T120" t="s">
        <v>175</v>
      </c>
      <c r="U120" t="s">
        <v>189</v>
      </c>
      <c r="V120" t="s">
        <v>184</v>
      </c>
    </row>
    <row r="121" spans="1:22" x14ac:dyDescent="0.25">
      <c r="A121" s="199" t="s">
        <v>152</v>
      </c>
      <c r="B121" s="199"/>
      <c r="C121" s="199"/>
      <c r="D121" s="199"/>
      <c r="E121" s="199"/>
      <c r="F121" s="202">
        <v>12000</v>
      </c>
      <c r="G121" s="202"/>
      <c r="H121" s="202"/>
      <c r="R121"/>
      <c r="S121">
        <v>800000</v>
      </c>
      <c r="T121">
        <v>150000</v>
      </c>
      <c r="U121">
        <v>100000</v>
      </c>
      <c r="V121">
        <v>100000</v>
      </c>
    </row>
    <row r="122" spans="1:22" x14ac:dyDescent="0.25">
      <c r="A122" s="199" t="s">
        <v>151</v>
      </c>
      <c r="B122" s="199"/>
      <c r="C122" s="199"/>
      <c r="D122" s="199"/>
      <c r="E122" s="199"/>
      <c r="F122" s="202">
        <v>22000</v>
      </c>
      <c r="G122" s="202"/>
      <c r="H122" s="202"/>
      <c r="R122"/>
      <c r="S122">
        <v>900000</v>
      </c>
      <c r="T122">
        <v>200000</v>
      </c>
      <c r="U122">
        <v>150000</v>
      </c>
      <c r="V122">
        <v>150000</v>
      </c>
    </row>
    <row r="123" spans="1:22" hidden="1" x14ac:dyDescent="0.25">
      <c r="A123" s="199" t="s">
        <v>153</v>
      </c>
      <c r="B123" s="199"/>
      <c r="C123" s="199"/>
      <c r="D123" s="199"/>
      <c r="E123" s="199"/>
      <c r="F123" s="202"/>
      <c r="G123" s="202"/>
      <c r="H123" s="202"/>
      <c r="R123"/>
      <c r="S123">
        <v>1000000</v>
      </c>
      <c r="T123">
        <v>250000</v>
      </c>
      <c r="U123">
        <v>200000</v>
      </c>
      <c r="V123">
        <v>200000</v>
      </c>
    </row>
    <row r="124" spans="1:22" s="33" customFormat="1" x14ac:dyDescent="0.25">
      <c r="A124" s="199" t="s">
        <v>403</v>
      </c>
      <c r="B124" s="199"/>
      <c r="C124" s="199"/>
      <c r="D124" s="199"/>
      <c r="E124" s="199"/>
      <c r="F124" s="202">
        <v>50</v>
      </c>
      <c r="G124" s="202"/>
      <c r="H124" s="202"/>
      <c r="R124"/>
      <c r="S124">
        <v>1100000</v>
      </c>
      <c r="T124">
        <v>300000</v>
      </c>
      <c r="U124">
        <v>250000</v>
      </c>
      <c r="V124" s="23">
        <v>250000</v>
      </c>
    </row>
    <row r="125" spans="1:22" s="33" customFormat="1" hidden="1" x14ac:dyDescent="0.25">
      <c r="A125" s="199" t="s">
        <v>90</v>
      </c>
      <c r="B125" s="199"/>
      <c r="C125" s="199"/>
      <c r="D125" s="199"/>
      <c r="E125" s="199"/>
      <c r="F125" s="202"/>
      <c r="G125" s="202"/>
      <c r="H125" s="202"/>
      <c r="R125"/>
      <c r="S125">
        <v>1200000</v>
      </c>
      <c r="T125">
        <v>350000</v>
      </c>
      <c r="U125">
        <v>300000</v>
      </c>
      <c r="V125">
        <v>300000</v>
      </c>
    </row>
    <row r="126" spans="1:22" s="33" customFormat="1" hidden="1" x14ac:dyDescent="0.25">
      <c r="A126" s="199" t="s">
        <v>91</v>
      </c>
      <c r="B126" s="199"/>
      <c r="C126" s="199"/>
      <c r="D126" s="199"/>
      <c r="E126" s="199"/>
      <c r="F126" s="202"/>
      <c r="G126" s="202"/>
      <c r="H126" s="202"/>
      <c r="R126"/>
      <c r="S126">
        <v>1300000</v>
      </c>
      <c r="T126">
        <v>400000</v>
      </c>
      <c r="U126">
        <v>350000</v>
      </c>
      <c r="V126" s="23">
        <v>400000</v>
      </c>
    </row>
    <row r="127" spans="1:22" s="33" customFormat="1" hidden="1" x14ac:dyDescent="0.25">
      <c r="A127" s="199" t="s">
        <v>92</v>
      </c>
      <c r="B127" s="199"/>
      <c r="C127" s="199"/>
      <c r="D127" s="199"/>
      <c r="E127" s="199"/>
      <c r="F127" s="202"/>
      <c r="G127" s="202"/>
      <c r="H127" s="202"/>
      <c r="R127"/>
      <c r="S127">
        <v>1400000</v>
      </c>
      <c r="T127">
        <v>500000</v>
      </c>
      <c r="U127">
        <v>400000</v>
      </c>
      <c r="V127"/>
    </row>
    <row r="128" spans="1:22" s="33" customFormat="1" hidden="1" x14ac:dyDescent="0.25">
      <c r="A128" s="199" t="s">
        <v>93</v>
      </c>
      <c r="B128" s="199"/>
      <c r="C128" s="199"/>
      <c r="D128" s="199"/>
      <c r="E128" s="199"/>
      <c r="F128" s="202"/>
      <c r="G128" s="202"/>
      <c r="H128" s="202"/>
      <c r="R128"/>
      <c r="S128">
        <v>1500000</v>
      </c>
      <c r="T128">
        <v>600000</v>
      </c>
      <c r="U128">
        <v>500000</v>
      </c>
      <c r="V128" s="23"/>
    </row>
    <row r="129" spans="1:22" s="33" customFormat="1" hidden="1" x14ac:dyDescent="0.25">
      <c r="A129" s="199" t="s">
        <v>94</v>
      </c>
      <c r="B129" s="199"/>
      <c r="C129" s="199"/>
      <c r="D129" s="199"/>
      <c r="E129" s="199"/>
      <c r="F129" s="202"/>
      <c r="G129" s="202"/>
      <c r="H129" s="202"/>
      <c r="R129"/>
      <c r="S129">
        <v>1600000</v>
      </c>
      <c r="T129">
        <v>700000</v>
      </c>
      <c r="U129">
        <v>600000</v>
      </c>
      <c r="V129"/>
    </row>
    <row r="130" spans="1:22" s="33" customFormat="1" hidden="1" x14ac:dyDescent="0.25">
      <c r="A130" s="199" t="s">
        <v>95</v>
      </c>
      <c r="B130" s="199"/>
      <c r="C130" s="199"/>
      <c r="D130" s="199"/>
      <c r="E130" s="199"/>
      <c r="F130" s="202"/>
      <c r="G130" s="202"/>
      <c r="H130" s="202"/>
      <c r="R130"/>
      <c r="S130">
        <v>1700000</v>
      </c>
      <c r="T130">
        <v>800000</v>
      </c>
      <c r="U130"/>
      <c r="V130" s="23"/>
    </row>
    <row r="131" spans="1:22" x14ac:dyDescent="0.25">
      <c r="A131" s="199" t="s">
        <v>49</v>
      </c>
      <c r="B131" s="199"/>
      <c r="C131" s="199"/>
      <c r="D131" s="199"/>
      <c r="E131" s="199"/>
      <c r="F131" s="202">
        <v>700000</v>
      </c>
      <c r="G131" s="202"/>
      <c r="H131" s="202"/>
      <c r="R131"/>
      <c r="S131">
        <v>1800000</v>
      </c>
      <c r="T131">
        <v>900000</v>
      </c>
      <c r="U131"/>
    </row>
    <row r="132" spans="1:22" s="34" customFormat="1" x14ac:dyDescent="0.25">
      <c r="A132" s="209" t="s">
        <v>50</v>
      </c>
      <c r="B132" s="209"/>
      <c r="C132" s="209"/>
      <c r="D132" s="209"/>
      <c r="E132" s="209"/>
      <c r="F132" s="202">
        <f>F121*0.8</f>
        <v>9600</v>
      </c>
      <c r="G132" s="202"/>
      <c r="H132" s="202"/>
      <c r="R132" s="21"/>
      <c r="S132" s="21">
        <v>700000</v>
      </c>
      <c r="T132">
        <v>1000000</v>
      </c>
      <c r="U132"/>
      <c r="V132" s="21"/>
    </row>
    <row r="133" spans="1:22" s="35" customFormat="1" ht="15.75" customHeight="1" x14ac:dyDescent="0.25">
      <c r="A133" s="261" t="s">
        <v>71</v>
      </c>
      <c r="B133" s="261"/>
      <c r="C133" s="261"/>
      <c r="D133" s="261"/>
      <c r="E133" s="261"/>
      <c r="F133" s="261"/>
      <c r="G133" s="261"/>
      <c r="H133" s="261"/>
      <c r="R133"/>
      <c r="S133" s="21"/>
      <c r="T133"/>
      <c r="U133"/>
      <c r="V133" s="21"/>
    </row>
    <row r="134" spans="1:22" s="35" customFormat="1" ht="15.75" customHeight="1" x14ac:dyDescent="0.25">
      <c r="A134" s="263" t="s">
        <v>51</v>
      </c>
      <c r="B134" s="263"/>
      <c r="C134" s="268" t="s">
        <v>74</v>
      </c>
      <c r="D134" s="268"/>
      <c r="E134" s="270" t="s">
        <v>52</v>
      </c>
      <c r="F134" s="270"/>
      <c r="G134" s="263" t="s">
        <v>53</v>
      </c>
      <c r="H134" s="263"/>
      <c r="R134"/>
      <c r="S134" s="21"/>
      <c r="T134"/>
      <c r="U134" s="21"/>
      <c r="V134" s="21"/>
    </row>
    <row r="135" spans="1:22" s="35" customFormat="1" x14ac:dyDescent="0.25">
      <c r="A135" s="262" t="s">
        <v>432</v>
      </c>
      <c r="B135" s="262"/>
      <c r="C135" s="179">
        <f>COUNT(F152:F162)</f>
        <v>11</v>
      </c>
      <c r="D135" s="180"/>
      <c r="E135" s="179">
        <f>SUM(F152:F162)</f>
        <v>2081.7575999999999</v>
      </c>
      <c r="F135" s="180"/>
      <c r="G135" s="179">
        <f>SUM(H152:H162)</f>
        <v>3226.7242799999999</v>
      </c>
      <c r="H135" s="180"/>
      <c r="R135"/>
      <c r="S135" s="21"/>
      <c r="T135"/>
      <c r="U135" s="21"/>
      <c r="V135" s="21"/>
    </row>
    <row r="136" spans="1:22" s="35" customFormat="1" x14ac:dyDescent="0.25">
      <c r="A136" s="262" t="s">
        <v>232</v>
      </c>
      <c r="B136" s="262"/>
      <c r="C136" s="179">
        <f>COUNT(F151)</f>
        <v>1</v>
      </c>
      <c r="D136" s="180"/>
      <c r="E136" s="179">
        <f>SUM(F151)</f>
        <v>1256.5893599999999</v>
      </c>
      <c r="F136" s="180"/>
      <c r="G136" s="179">
        <f>SUM(H151)</f>
        <v>1947.713508</v>
      </c>
      <c r="H136" s="180"/>
      <c r="R136"/>
      <c r="S136" s="21"/>
      <c r="T136"/>
      <c r="U136" s="21"/>
      <c r="V136" s="21"/>
    </row>
    <row r="137" spans="1:22" s="35" customFormat="1" x14ac:dyDescent="0.25">
      <c r="A137" s="261" t="s">
        <v>143</v>
      </c>
      <c r="B137" s="261"/>
      <c r="C137" s="267">
        <f>SUM(C135:C136)</f>
        <v>12</v>
      </c>
      <c r="D137" s="268"/>
      <c r="E137" s="269">
        <f>SUM(E135:E136)</f>
        <v>3338.3469599999999</v>
      </c>
      <c r="F137" s="270"/>
      <c r="G137" s="263">
        <f>SUM(G135:G136)</f>
        <v>5174.4377880000002</v>
      </c>
      <c r="H137" s="263"/>
      <c r="R137"/>
      <c r="S137" s="21"/>
      <c r="T137"/>
      <c r="U137" s="21"/>
      <c r="V137" s="21"/>
    </row>
    <row r="138" spans="1:22" s="35" customFormat="1" x14ac:dyDescent="0.25">
      <c r="A138" s="261" t="s">
        <v>66</v>
      </c>
      <c r="B138" s="261"/>
      <c r="C138" s="261"/>
      <c r="D138" s="261"/>
      <c r="E138" s="261"/>
      <c r="F138" s="261"/>
      <c r="G138" s="261"/>
      <c r="H138" s="261"/>
      <c r="T138"/>
    </row>
    <row r="139" spans="1:22" s="35" customFormat="1" ht="15.75" customHeight="1" x14ac:dyDescent="0.25">
      <c r="A139" s="263" t="s">
        <v>51</v>
      </c>
      <c r="B139" s="263"/>
      <c r="C139" s="268" t="s">
        <v>74</v>
      </c>
      <c r="D139" s="268"/>
      <c r="E139" s="270" t="s">
        <v>52</v>
      </c>
      <c r="F139" s="270"/>
      <c r="G139" s="263" t="s">
        <v>53</v>
      </c>
      <c r="H139" s="263"/>
      <c r="T139"/>
    </row>
    <row r="140" spans="1:22" s="35" customFormat="1" x14ac:dyDescent="0.25">
      <c r="A140" s="262" t="s">
        <v>404</v>
      </c>
      <c r="B140" s="262"/>
      <c r="C140" s="180">
        <f>COUNT(F170:F173)*5+COUNT(F176:F178)+COUNT(F180:F183)*6+COUNT(F186:F188)+COUNT(F190:F193)*3+COUNT(F195:F198)+COUNT(F200:F203)+COUNT(F205:F208)+COUNT(F210:F213)</f>
        <v>78</v>
      </c>
      <c r="D140" s="180"/>
      <c r="E140" s="179">
        <f>SUM(F170:F173)*5+SUM(F176:F178)+SUM(F180:F183)*6+SUM(F186:F188)+SUM(F190:F193)*3+SUM(F195:F198)+SUM(F200:F203)+SUM(F205:F208)+SUM(F210:F213)</f>
        <v>48252.859200000006</v>
      </c>
      <c r="F140" s="179"/>
      <c r="G140" s="179">
        <f>SUM(H170:H173)*5+SUM(H176:H178)+SUM(H180:H183)*6+SUM(H186:H188)+SUM(H190:H193)*3+SUM(H195:H198)+SUM(H200:H203)+SUM(H205:H208)+SUM(H210:H213)</f>
        <v>72379.28879999998</v>
      </c>
      <c r="H140" s="179"/>
      <c r="I140" s="35">
        <f>4*20</f>
        <v>80</v>
      </c>
      <c r="T140"/>
    </row>
    <row r="141" spans="1:22" s="35" customFormat="1" x14ac:dyDescent="0.25">
      <c r="A141" s="262" t="s">
        <v>406</v>
      </c>
      <c r="B141" s="262"/>
      <c r="C141" s="180">
        <f>COUNT(F217:F220)*5+COUNT(F223:F225)+COUNT(F227:F230)*6+COUNT(F233:F235)+COUNT(F237:F240)*3+COUNT(F242:F245)+COUNT(F247:F250)+COUNT(F252:F255)+COUNT(F257:F260)</f>
        <v>78</v>
      </c>
      <c r="D141" s="180"/>
      <c r="E141" s="179">
        <f>SUM(F217:F220)*5+SUM(F223:F225)+SUM(F227:F230)*6+SUM(F233:F235)+SUM(F237:F240)*3+SUM(F242:F245)+SUM(F247:F250)+SUM(F252:F255)+SUM(F257:F260)</f>
        <v>31391.268479999988</v>
      </c>
      <c r="F141" s="179"/>
      <c r="G141" s="179">
        <f>SUM(H217:H220)*5+SUM(H223:H225)+SUM(H227:H230)*6+SUM(H233:H235)+SUM(H237:H240)*3+SUM(H242:H245)+SUM(H247:H250)+SUM(H252:H255)+SUM(H257:H260)</f>
        <v>47086.902719999991</v>
      </c>
      <c r="H141" s="179"/>
      <c r="T141"/>
    </row>
    <row r="142" spans="1:22" s="35" customFormat="1" x14ac:dyDescent="0.25">
      <c r="A142" s="262" t="s">
        <v>411</v>
      </c>
      <c r="B142" s="262"/>
      <c r="C142" s="180">
        <f>COUNT(F264:F267)*5+COUNT(F269:F271)+COUNT(F274:F277)*6+COUNT(F279:F281)+COUNT(F284:F287)*3+COUNT(F289:F292)+COUNT(F294:F296)+COUNT(F298:F300)</f>
        <v>72</v>
      </c>
      <c r="D142" s="180"/>
      <c r="E142" s="179">
        <f>SUM(F264:F267)*5+SUM(F269:F271)+SUM(F274:F277)*6+SUM(F279:F281)+SUM(F284:F287)*3+SUM(F289:F292)+SUM(F294:F296)+SUM(F298:F300)</f>
        <v>49505.573519999991</v>
      </c>
      <c r="F142" s="179"/>
      <c r="G142" s="179">
        <f>SUM(H264:H267)*5+SUM(H269:H271)+SUM(H274:H277)*6+SUM(H279:H281)+SUM(H284:H287)*3+SUM(H289:H292)+SUM(H294:H296)+SUM(H298:H300)</f>
        <v>74258.360279999994</v>
      </c>
      <c r="H142" s="179"/>
      <c r="T142"/>
    </row>
    <row r="143" spans="1:22" s="35" customFormat="1" ht="16.5" thickBot="1" x14ac:dyDescent="0.3">
      <c r="A143" s="200" t="s">
        <v>143</v>
      </c>
      <c r="B143" s="200"/>
      <c r="C143" s="272">
        <f>SUM(C140:C142)</f>
        <v>228</v>
      </c>
      <c r="D143" s="272"/>
      <c r="E143" s="201">
        <f>SUM(E140:E142)</f>
        <v>129149.70119999998</v>
      </c>
      <c r="F143" s="201"/>
      <c r="G143" s="265">
        <f>SUM(G140:G142)</f>
        <v>193724.55179999996</v>
      </c>
      <c r="H143" s="265"/>
      <c r="T143"/>
    </row>
    <row r="144" spans="1:22" s="35" customFormat="1" ht="16.5" thickBot="1" x14ac:dyDescent="0.3">
      <c r="A144" s="273" t="s">
        <v>160</v>
      </c>
      <c r="B144" s="274"/>
      <c r="C144" s="264">
        <f>C137+C143</f>
        <v>240</v>
      </c>
      <c r="D144" s="264"/>
      <c r="E144" s="203">
        <f>E137+E143</f>
        <v>132488.04815999998</v>
      </c>
      <c r="F144" s="203"/>
      <c r="G144" s="183">
        <f>G137+G143</f>
        <v>198898.98958799997</v>
      </c>
      <c r="H144" s="184"/>
      <c r="T144"/>
    </row>
    <row r="145" spans="1:20" s="34" customFormat="1" x14ac:dyDescent="0.25">
      <c r="A145" s="266" t="s">
        <v>352</v>
      </c>
      <c r="B145" s="266"/>
      <c r="C145" s="266"/>
      <c r="D145" s="266"/>
      <c r="E145" s="266"/>
      <c r="F145" s="266"/>
      <c r="G145" s="266"/>
      <c r="H145" s="266"/>
      <c r="T145" s="35"/>
    </row>
    <row r="146" spans="1:20" x14ac:dyDescent="0.25">
      <c r="A146" s="257" t="s">
        <v>169</v>
      </c>
      <c r="B146" s="257"/>
      <c r="C146" s="257"/>
      <c r="D146" s="257"/>
      <c r="E146" s="257"/>
      <c r="F146" s="257"/>
      <c r="G146" s="257"/>
      <c r="H146" s="257"/>
      <c r="T146" s="35"/>
    </row>
    <row r="147" spans="1:20" ht="47.25" customHeight="1" x14ac:dyDescent="0.25">
      <c r="A147" s="157" t="s">
        <v>433</v>
      </c>
      <c r="B147" s="157" t="s">
        <v>171</v>
      </c>
      <c r="C147" s="157" t="s">
        <v>54</v>
      </c>
      <c r="D147" s="157" t="s">
        <v>228</v>
      </c>
      <c r="E147" s="181" t="s">
        <v>149</v>
      </c>
      <c r="F147" s="157" t="s">
        <v>55</v>
      </c>
      <c r="G147" s="181" t="s">
        <v>56</v>
      </c>
      <c r="H147" s="110" t="s">
        <v>142</v>
      </c>
      <c r="T147" s="35"/>
    </row>
    <row r="148" spans="1:20" s="37" customFormat="1" x14ac:dyDescent="0.25">
      <c r="A148" s="158"/>
      <c r="B148" s="158"/>
      <c r="C148" s="158"/>
      <c r="D148" s="158"/>
      <c r="E148" s="182"/>
      <c r="F148" s="158"/>
      <c r="G148" s="182"/>
      <c r="H148" s="111">
        <v>0.55000000000000004</v>
      </c>
      <c r="T148" s="35"/>
    </row>
    <row r="149" spans="1:20" s="103" customFormat="1" x14ac:dyDescent="0.25">
      <c r="A149" s="140" t="s">
        <v>407</v>
      </c>
      <c r="B149" s="141"/>
      <c r="C149" s="141"/>
      <c r="D149" s="141"/>
      <c r="E149" s="141"/>
      <c r="F149" s="141"/>
      <c r="G149" s="141"/>
      <c r="H149" s="142"/>
      <c r="J149" s="109">
        <v>10.763999999999999</v>
      </c>
    </row>
    <row r="150" spans="1:20" s="37" customFormat="1" x14ac:dyDescent="0.25">
      <c r="A150" s="129" t="s">
        <v>408</v>
      </c>
      <c r="B150" s="130"/>
      <c r="C150" s="130"/>
      <c r="D150" s="130"/>
      <c r="E150" s="130"/>
      <c r="F150" s="130"/>
      <c r="G150" s="130"/>
      <c r="H150" s="131"/>
      <c r="J150" s="36"/>
      <c r="T150" s="35"/>
    </row>
    <row r="151" spans="1:20" s="37" customFormat="1" x14ac:dyDescent="0.25">
      <c r="A151" s="150">
        <v>1</v>
      </c>
      <c r="B151" s="151"/>
      <c r="C151" s="112" t="s">
        <v>232</v>
      </c>
      <c r="D151" s="113">
        <f>(116.74)*10.764</f>
        <v>1256.5893599999999</v>
      </c>
      <c r="E151" s="112">
        <v>0</v>
      </c>
      <c r="F151" s="112">
        <f t="shared" ref="F151:F162" si="0">D151+(IF(E151&lt;201,E151,IF(E151&lt;301,E151/2,E151/3)))</f>
        <v>1256.5893599999999</v>
      </c>
      <c r="G151" s="114">
        <v>0</v>
      </c>
      <c r="H151" s="112">
        <f t="shared" ref="H151:H162" si="1">(F151+(IF(G151&lt;101,G151,IF(G151&lt;201,G151/2,IF(G151&lt;=301,G151/3,G151/4)))))*(($H$148)+1)</f>
        <v>1947.713508</v>
      </c>
      <c r="I151" s="36"/>
      <c r="L151" s="122"/>
      <c r="M151" s="122"/>
      <c r="N151" s="36"/>
      <c r="T151" s="35"/>
    </row>
    <row r="152" spans="1:20" s="37" customFormat="1" ht="15.75" customHeight="1" x14ac:dyDescent="0.25">
      <c r="A152" s="120">
        <f t="shared" ref="A152:A162" si="2">A151+1</f>
        <v>2</v>
      </c>
      <c r="B152" s="121"/>
      <c r="C152" s="104" t="s">
        <v>409</v>
      </c>
      <c r="D152" s="109">
        <f>(21.88)*10.764</f>
        <v>235.51631999999998</v>
      </c>
      <c r="E152" s="42">
        <v>0</v>
      </c>
      <c r="F152" s="62">
        <f t="shared" si="0"/>
        <v>235.51631999999998</v>
      </c>
      <c r="G152" s="54">
        <v>0</v>
      </c>
      <c r="H152" s="62">
        <f t="shared" si="1"/>
        <v>365.050296</v>
      </c>
      <c r="I152" s="36"/>
      <c r="L152" s="122"/>
      <c r="M152" s="122"/>
      <c r="N152" s="36"/>
      <c r="T152" s="34"/>
    </row>
    <row r="153" spans="1:20" s="37" customFormat="1" ht="15.75" customHeight="1" x14ac:dyDescent="0.25">
      <c r="A153" s="120">
        <f t="shared" si="2"/>
        <v>3</v>
      </c>
      <c r="B153" s="121"/>
      <c r="C153" s="104" t="s">
        <v>409</v>
      </c>
      <c r="D153" s="109">
        <f>(20.08)*10.764</f>
        <v>216.14111999999997</v>
      </c>
      <c r="E153" s="42">
        <v>0</v>
      </c>
      <c r="F153" s="62">
        <f t="shared" si="0"/>
        <v>216.14111999999997</v>
      </c>
      <c r="G153" s="54">
        <v>0</v>
      </c>
      <c r="H153" s="62">
        <f t="shared" si="1"/>
        <v>335.01873599999999</v>
      </c>
      <c r="I153" s="36"/>
      <c r="L153" s="122"/>
      <c r="M153" s="122"/>
      <c r="N153" s="36"/>
      <c r="T153" s="21"/>
    </row>
    <row r="154" spans="1:20" s="37" customFormat="1" ht="15.75" customHeight="1" x14ac:dyDescent="0.25">
      <c r="A154" s="120">
        <f t="shared" si="2"/>
        <v>4</v>
      </c>
      <c r="B154" s="121"/>
      <c r="C154" s="104" t="s">
        <v>409</v>
      </c>
      <c r="D154" s="109">
        <f>(21.8)*10.764</f>
        <v>234.65519999999998</v>
      </c>
      <c r="E154" s="42">
        <v>0</v>
      </c>
      <c r="F154" s="62">
        <f t="shared" si="0"/>
        <v>234.65519999999998</v>
      </c>
      <c r="G154" s="54">
        <v>0</v>
      </c>
      <c r="H154" s="62">
        <f t="shared" si="1"/>
        <v>363.71555999999998</v>
      </c>
      <c r="I154" s="36"/>
      <c r="L154" s="122"/>
      <c r="M154" s="122"/>
      <c r="N154" s="36"/>
      <c r="T154" s="21"/>
    </row>
    <row r="155" spans="1:20" s="103" customFormat="1" ht="15.75" customHeight="1" x14ac:dyDescent="0.25">
      <c r="A155" s="120">
        <f t="shared" si="2"/>
        <v>5</v>
      </c>
      <c r="B155" s="121"/>
      <c r="C155" s="104" t="s">
        <v>409</v>
      </c>
      <c r="D155" s="109">
        <f>(17.53)*10.764</f>
        <v>188.69291999999999</v>
      </c>
      <c r="E155" s="104">
        <v>0</v>
      </c>
      <c r="F155" s="104">
        <f t="shared" si="0"/>
        <v>188.69291999999999</v>
      </c>
      <c r="G155" s="104">
        <v>0</v>
      </c>
      <c r="H155" s="104">
        <f t="shared" si="1"/>
        <v>292.47402599999998</v>
      </c>
      <c r="I155" s="36">
        <f>3.45*3.75+2.3*1.35+1*1.2</f>
        <v>17.2425</v>
      </c>
      <c r="L155" s="122"/>
      <c r="M155" s="122"/>
      <c r="N155" s="36"/>
      <c r="T155" s="34"/>
    </row>
    <row r="156" spans="1:20" s="103" customFormat="1" ht="15.75" customHeight="1" x14ac:dyDescent="0.25">
      <c r="A156" s="120">
        <f t="shared" si="2"/>
        <v>6</v>
      </c>
      <c r="B156" s="121"/>
      <c r="C156" s="104" t="s">
        <v>409</v>
      </c>
      <c r="D156" s="109">
        <f>(15.52)*10.764</f>
        <v>167.05727999999999</v>
      </c>
      <c r="E156" s="104">
        <v>0</v>
      </c>
      <c r="F156" s="104">
        <f t="shared" si="0"/>
        <v>167.05727999999999</v>
      </c>
      <c r="G156" s="104">
        <v>0</v>
      </c>
      <c r="H156" s="104">
        <f t="shared" si="1"/>
        <v>258.938784</v>
      </c>
      <c r="I156" s="36"/>
      <c r="L156" s="122"/>
      <c r="M156" s="122"/>
      <c r="N156" s="36"/>
      <c r="T156" s="21"/>
    </row>
    <row r="157" spans="1:20" s="103" customFormat="1" ht="15.75" customHeight="1" x14ac:dyDescent="0.25">
      <c r="A157" s="120">
        <f t="shared" si="2"/>
        <v>7</v>
      </c>
      <c r="B157" s="121"/>
      <c r="C157" s="104" t="s">
        <v>409</v>
      </c>
      <c r="D157" s="109">
        <f>(15.48)*10.764</f>
        <v>166.62672000000001</v>
      </c>
      <c r="E157" s="104">
        <v>0</v>
      </c>
      <c r="F157" s="104">
        <f t="shared" si="0"/>
        <v>166.62672000000001</v>
      </c>
      <c r="G157" s="104">
        <v>0</v>
      </c>
      <c r="H157" s="104">
        <f t="shared" si="1"/>
        <v>258.27141600000004</v>
      </c>
      <c r="I157" s="36"/>
      <c r="L157" s="122"/>
      <c r="M157" s="122"/>
      <c r="N157" s="36"/>
      <c r="T157" s="21"/>
    </row>
    <row r="158" spans="1:20" s="103" customFormat="1" ht="15.75" customHeight="1" x14ac:dyDescent="0.25">
      <c r="A158" s="120">
        <f t="shared" si="2"/>
        <v>8</v>
      </c>
      <c r="B158" s="121"/>
      <c r="C158" s="104" t="s">
        <v>409</v>
      </c>
      <c r="D158" s="109">
        <f>(12.16)*10.764</f>
        <v>130.89024000000001</v>
      </c>
      <c r="E158" s="104">
        <v>0</v>
      </c>
      <c r="F158" s="104">
        <f t="shared" si="0"/>
        <v>130.89024000000001</v>
      </c>
      <c r="G158" s="104">
        <v>0</v>
      </c>
      <c r="H158" s="104">
        <f t="shared" si="1"/>
        <v>202.87987200000001</v>
      </c>
      <c r="I158" s="36"/>
      <c r="L158" s="122"/>
      <c r="M158" s="122"/>
      <c r="N158" s="36"/>
      <c r="T158" s="21"/>
    </row>
    <row r="159" spans="1:20" s="103" customFormat="1" ht="15.75" customHeight="1" x14ac:dyDescent="0.25">
      <c r="A159" s="120">
        <f t="shared" si="2"/>
        <v>9</v>
      </c>
      <c r="B159" s="121"/>
      <c r="C159" s="104" t="s">
        <v>409</v>
      </c>
      <c r="D159" s="109">
        <f>(20.33)*10.764</f>
        <v>218.83211999999997</v>
      </c>
      <c r="E159" s="104">
        <v>0</v>
      </c>
      <c r="F159" s="104">
        <f t="shared" si="0"/>
        <v>218.83211999999997</v>
      </c>
      <c r="G159" s="104">
        <v>0</v>
      </c>
      <c r="H159" s="104">
        <f t="shared" si="1"/>
        <v>339.18978599999997</v>
      </c>
      <c r="I159" s="36"/>
      <c r="L159" s="122"/>
      <c r="M159" s="122"/>
      <c r="N159" s="36"/>
      <c r="T159" s="34"/>
    </row>
    <row r="160" spans="1:20" s="103" customFormat="1" ht="15.75" customHeight="1" x14ac:dyDescent="0.25">
      <c r="A160" s="120">
        <f t="shared" si="2"/>
        <v>10</v>
      </c>
      <c r="B160" s="121"/>
      <c r="C160" s="104" t="s">
        <v>409</v>
      </c>
      <c r="D160" s="109">
        <f>(11.4)*10.764</f>
        <v>122.70959999999999</v>
      </c>
      <c r="E160" s="104">
        <v>0</v>
      </c>
      <c r="F160" s="104">
        <f t="shared" si="0"/>
        <v>122.70959999999999</v>
      </c>
      <c r="G160" s="104">
        <v>0</v>
      </c>
      <c r="H160" s="104">
        <f t="shared" si="1"/>
        <v>190.19988000000001</v>
      </c>
      <c r="I160" s="36"/>
      <c r="L160" s="122"/>
      <c r="M160" s="122"/>
      <c r="N160" s="36"/>
      <c r="T160" s="21"/>
    </row>
    <row r="161" spans="1:20" s="103" customFormat="1" ht="15.75" customHeight="1" x14ac:dyDescent="0.25">
      <c r="A161" s="120">
        <f t="shared" si="2"/>
        <v>11</v>
      </c>
      <c r="B161" s="121"/>
      <c r="C161" s="104" t="s">
        <v>409</v>
      </c>
      <c r="D161" s="109">
        <f>(16.53)*10.764</f>
        <v>177.92892000000001</v>
      </c>
      <c r="E161" s="104">
        <v>0</v>
      </c>
      <c r="F161" s="104">
        <f t="shared" si="0"/>
        <v>177.92892000000001</v>
      </c>
      <c r="G161" s="104">
        <v>0</v>
      </c>
      <c r="H161" s="104">
        <f t="shared" si="1"/>
        <v>275.78982600000001</v>
      </c>
      <c r="I161" s="36"/>
      <c r="L161" s="122"/>
      <c r="M161" s="122"/>
      <c r="N161" s="36"/>
      <c r="T161" s="21"/>
    </row>
    <row r="162" spans="1:20" s="103" customFormat="1" ht="15.75" customHeight="1" x14ac:dyDescent="0.25">
      <c r="A162" s="120">
        <f t="shared" si="2"/>
        <v>12</v>
      </c>
      <c r="B162" s="121"/>
      <c r="C162" s="104" t="s">
        <v>409</v>
      </c>
      <c r="D162" s="109">
        <f>(20.69)*10.764</f>
        <v>222.70715999999999</v>
      </c>
      <c r="E162" s="104">
        <v>0</v>
      </c>
      <c r="F162" s="104">
        <f t="shared" si="0"/>
        <v>222.70715999999999</v>
      </c>
      <c r="G162" s="104">
        <v>0</v>
      </c>
      <c r="H162" s="104">
        <f t="shared" si="1"/>
        <v>345.19609800000001</v>
      </c>
      <c r="I162" s="36"/>
      <c r="L162" s="122"/>
      <c r="M162" s="122"/>
      <c r="N162" s="36"/>
      <c r="T162" s="21"/>
    </row>
    <row r="163" spans="1:20" s="37" customFormat="1" x14ac:dyDescent="0.25">
      <c r="A163" s="150"/>
      <c r="B163" s="277"/>
      <c r="C163" s="277"/>
      <c r="D163" s="277"/>
      <c r="E163" s="277"/>
      <c r="F163" s="277"/>
      <c r="G163" s="277"/>
      <c r="H163" s="151"/>
      <c r="I163" s="36"/>
      <c r="N163" s="36"/>
    </row>
    <row r="164" spans="1:20" ht="47.25" customHeight="1" x14ac:dyDescent="0.25">
      <c r="A164" s="282" t="s">
        <v>437</v>
      </c>
      <c r="B164" s="157" t="s">
        <v>172</v>
      </c>
      <c r="C164" s="157" t="s">
        <v>54</v>
      </c>
      <c r="D164" s="157" t="s">
        <v>228</v>
      </c>
      <c r="E164" s="157" t="s">
        <v>227</v>
      </c>
      <c r="F164" s="157" t="s">
        <v>55</v>
      </c>
      <c r="G164" s="181" t="s">
        <v>56</v>
      </c>
      <c r="H164" s="110" t="s">
        <v>142</v>
      </c>
      <c r="I164" s="36"/>
      <c r="T164" s="37"/>
    </row>
    <row r="165" spans="1:20" s="37" customFormat="1" x14ac:dyDescent="0.25">
      <c r="A165" s="283"/>
      <c r="B165" s="158"/>
      <c r="C165" s="158"/>
      <c r="D165" s="158"/>
      <c r="E165" s="158"/>
      <c r="F165" s="158"/>
      <c r="G165" s="182"/>
      <c r="H165" s="111">
        <v>0.5</v>
      </c>
      <c r="I165" s="36"/>
    </row>
    <row r="166" spans="1:20" s="103" customFormat="1" x14ac:dyDescent="0.25">
      <c r="A166" s="140" t="s">
        <v>404</v>
      </c>
      <c r="B166" s="141"/>
      <c r="C166" s="141"/>
      <c r="D166" s="141"/>
      <c r="E166" s="141"/>
      <c r="F166" s="141"/>
      <c r="G166" s="141"/>
      <c r="H166" s="142"/>
      <c r="J166" s="36"/>
    </row>
    <row r="167" spans="1:20" s="103" customFormat="1" x14ac:dyDescent="0.25">
      <c r="A167" s="129" t="s">
        <v>405</v>
      </c>
      <c r="B167" s="130"/>
      <c r="C167" s="130"/>
      <c r="D167" s="130"/>
      <c r="E167" s="130"/>
      <c r="F167" s="130"/>
      <c r="G167" s="130"/>
      <c r="H167" s="131"/>
      <c r="J167" s="36"/>
    </row>
    <row r="168" spans="1:20" s="103" customFormat="1" x14ac:dyDescent="0.25">
      <c r="A168" s="129" t="s">
        <v>410</v>
      </c>
      <c r="B168" s="130"/>
      <c r="C168" s="130"/>
      <c r="D168" s="130"/>
      <c r="E168" s="130"/>
      <c r="F168" s="130"/>
      <c r="G168" s="130"/>
      <c r="H168" s="131"/>
      <c r="J168" s="36"/>
    </row>
    <row r="169" spans="1:20" s="37" customFormat="1" x14ac:dyDescent="0.25">
      <c r="A169" s="124" t="s">
        <v>414</v>
      </c>
      <c r="B169" s="125"/>
      <c r="C169" s="125"/>
      <c r="D169" s="125"/>
      <c r="E169" s="125"/>
      <c r="F169" s="125"/>
      <c r="G169" s="125"/>
      <c r="H169" s="126"/>
      <c r="J169" s="36"/>
    </row>
    <row r="170" spans="1:20" s="37" customFormat="1" ht="15.75" customHeight="1" x14ac:dyDescent="0.25">
      <c r="A170" s="120">
        <v>1</v>
      </c>
      <c r="B170" s="121"/>
      <c r="C170" s="42" t="s">
        <v>412</v>
      </c>
      <c r="D170" s="109">
        <f>(57.93)*10.764</f>
        <v>623.55851999999993</v>
      </c>
      <c r="E170" s="42">
        <v>0</v>
      </c>
      <c r="F170" s="42">
        <f>D170+E170</f>
        <v>623.55851999999993</v>
      </c>
      <c r="G170" s="54">
        <v>0</v>
      </c>
      <c r="H170" s="54">
        <f>F170*(($H$165)+1)+(IF(G170&lt;101,G170,IF(G170&lt;201,G170/2,IF(G170&lt;=301,G170/3,G170/4))))</f>
        <v>935.33777999999984</v>
      </c>
      <c r="I170" s="36"/>
      <c r="L170" s="122"/>
      <c r="M170" s="122"/>
      <c r="N170" s="36"/>
    </row>
    <row r="171" spans="1:20" s="37" customFormat="1" ht="15.75" customHeight="1" x14ac:dyDescent="0.25">
      <c r="A171" s="120">
        <f>A170+1</f>
        <v>2</v>
      </c>
      <c r="B171" s="121"/>
      <c r="C171" s="104" t="s">
        <v>412</v>
      </c>
      <c r="D171" s="109">
        <f>(56.76)*10.764</f>
        <v>610.96463999999992</v>
      </c>
      <c r="E171" s="42">
        <v>0</v>
      </c>
      <c r="F171" s="54">
        <f>D171+E171</f>
        <v>610.96463999999992</v>
      </c>
      <c r="G171" s="54">
        <v>0</v>
      </c>
      <c r="H171" s="54">
        <f>F171*(($H$165)+1)+(IF(G171&lt;101,G171,IF(G171&lt;201,G171/2,IF(G171&lt;=301,G171/3,G171/4))))</f>
        <v>916.44695999999988</v>
      </c>
      <c r="I171" s="36"/>
      <c r="L171" s="122"/>
      <c r="M171" s="122"/>
      <c r="N171" s="36"/>
    </row>
    <row r="172" spans="1:20" s="37" customFormat="1" ht="15.75" customHeight="1" x14ac:dyDescent="0.25">
      <c r="A172" s="120">
        <f>A171+1</f>
        <v>3</v>
      </c>
      <c r="B172" s="121"/>
      <c r="C172" s="104" t="s">
        <v>412</v>
      </c>
      <c r="D172" s="109">
        <f>(56.76)*10.764</f>
        <v>610.96463999999992</v>
      </c>
      <c r="E172" s="42">
        <v>0</v>
      </c>
      <c r="F172" s="54">
        <f>D172+E172</f>
        <v>610.96463999999992</v>
      </c>
      <c r="G172" s="54">
        <v>0</v>
      </c>
      <c r="H172" s="54">
        <f>F172*(($H$165)+1)+(IF(G172&lt;101,G172,IF(G172&lt;201,G172/2,IF(G172&lt;=301,G172/3,G172/4))))</f>
        <v>916.44695999999988</v>
      </c>
      <c r="I172" s="36"/>
      <c r="L172" s="122"/>
      <c r="M172" s="122"/>
      <c r="N172" s="36"/>
    </row>
    <row r="173" spans="1:20" s="37" customFormat="1" ht="15.75" customHeight="1" x14ac:dyDescent="0.25">
      <c r="A173" s="120">
        <f>A172+1</f>
        <v>4</v>
      </c>
      <c r="B173" s="121"/>
      <c r="C173" s="104" t="s">
        <v>412</v>
      </c>
      <c r="D173" s="109">
        <f>(57.93)*10.764</f>
        <v>623.55851999999993</v>
      </c>
      <c r="E173" s="42">
        <v>0</v>
      </c>
      <c r="F173" s="54">
        <f>D173+E173</f>
        <v>623.55851999999993</v>
      </c>
      <c r="G173" s="54">
        <v>0</v>
      </c>
      <c r="H173" s="54">
        <f>F173*(($H$165)+1)+(IF(G173&lt;101,G173,IF(G173&lt;201,G173/2,IF(G173&lt;=301,G173/3,G173/4))))</f>
        <v>935.33777999999984</v>
      </c>
      <c r="I173" s="36"/>
      <c r="L173" s="122"/>
      <c r="M173" s="122"/>
      <c r="N173" s="36"/>
      <c r="T173" s="21"/>
    </row>
    <row r="174" spans="1:20" s="103" customFormat="1" x14ac:dyDescent="0.25">
      <c r="A174" s="124" t="s">
        <v>415</v>
      </c>
      <c r="B174" s="125"/>
      <c r="C174" s="125"/>
      <c r="D174" s="125"/>
      <c r="E174" s="125"/>
      <c r="F174" s="125"/>
      <c r="G174" s="125"/>
      <c r="H174" s="126"/>
      <c r="J174" s="36"/>
    </row>
    <row r="175" spans="1:20" s="103" customFormat="1" ht="15.75" customHeight="1" x14ac:dyDescent="0.25">
      <c r="A175" s="120">
        <v>1</v>
      </c>
      <c r="B175" s="121"/>
      <c r="C175" s="104" t="s">
        <v>416</v>
      </c>
      <c r="D175" s="120" t="s">
        <v>417</v>
      </c>
      <c r="E175" s="123"/>
      <c r="F175" s="123"/>
      <c r="G175" s="123"/>
      <c r="H175" s="121"/>
      <c r="I175" s="36"/>
      <c r="L175" s="122"/>
      <c r="M175" s="122"/>
      <c r="N175" s="36"/>
    </row>
    <row r="176" spans="1:20" s="103" customFormat="1" ht="15.75" customHeight="1" x14ac:dyDescent="0.25">
      <c r="A176" s="120">
        <f>A175+1</f>
        <v>2</v>
      </c>
      <c r="B176" s="121"/>
      <c r="C176" s="104" t="s">
        <v>412</v>
      </c>
      <c r="D176" s="109">
        <f>(56.76)*10.764</f>
        <v>610.96463999999992</v>
      </c>
      <c r="E176" s="104">
        <v>0</v>
      </c>
      <c r="F176" s="104">
        <f>D176+E176</f>
        <v>610.96463999999992</v>
      </c>
      <c r="G176" s="104">
        <v>0</v>
      </c>
      <c r="H176" s="104">
        <f>F176*(($H$165)+1)+(IF(G176&lt;101,G176,IF(G176&lt;201,G176/2,IF(G176&lt;=301,G176/3,G176/4))))</f>
        <v>916.44695999999988</v>
      </c>
      <c r="I176" s="36"/>
      <c r="L176" s="122"/>
      <c r="M176" s="122"/>
      <c r="N176" s="36"/>
    </row>
    <row r="177" spans="1:20" s="103" customFormat="1" ht="15.75" customHeight="1" x14ac:dyDescent="0.25">
      <c r="A177" s="120">
        <f>A176+1</f>
        <v>3</v>
      </c>
      <c r="B177" s="121"/>
      <c r="C177" s="104" t="s">
        <v>412</v>
      </c>
      <c r="D177" s="109">
        <f>(56.76)*10.764</f>
        <v>610.96463999999992</v>
      </c>
      <c r="E177" s="104">
        <v>0</v>
      </c>
      <c r="F177" s="104">
        <f>D177+E177</f>
        <v>610.96463999999992</v>
      </c>
      <c r="G177" s="104">
        <v>0</v>
      </c>
      <c r="H177" s="104">
        <f>F177*(($H$165)+1)+(IF(G177&lt;101,G177,IF(G177&lt;201,G177/2,IF(G177&lt;=301,G177/3,G177/4))))</f>
        <v>916.44695999999988</v>
      </c>
      <c r="I177" s="36"/>
      <c r="L177" s="122"/>
      <c r="M177" s="122"/>
      <c r="N177" s="36"/>
    </row>
    <row r="178" spans="1:20" s="103" customFormat="1" ht="15.75" customHeight="1" x14ac:dyDescent="0.25">
      <c r="A178" s="120">
        <f>A177+1</f>
        <v>4</v>
      </c>
      <c r="B178" s="121"/>
      <c r="C178" s="104" t="s">
        <v>412</v>
      </c>
      <c r="D178" s="109">
        <f>(57.93)*10.764</f>
        <v>623.55851999999993</v>
      </c>
      <c r="E178" s="104">
        <v>0</v>
      </c>
      <c r="F178" s="104">
        <f>D178+E178</f>
        <v>623.55851999999993</v>
      </c>
      <c r="G178" s="104">
        <v>0</v>
      </c>
      <c r="H178" s="104">
        <f>F178*(($H$165)+1)+(IF(G178&lt;101,G178,IF(G178&lt;201,G178/2,IF(G178&lt;=301,G178/3,G178/4))))</f>
        <v>935.33777999999984</v>
      </c>
      <c r="I178" s="36"/>
      <c r="L178" s="122"/>
      <c r="M178" s="122"/>
      <c r="N178" s="36"/>
      <c r="T178" s="21"/>
    </row>
    <row r="179" spans="1:20" s="108" customFormat="1" x14ac:dyDescent="0.25">
      <c r="A179" s="124" t="s">
        <v>418</v>
      </c>
      <c r="B179" s="125"/>
      <c r="C179" s="125"/>
      <c r="D179" s="125"/>
      <c r="E179" s="125"/>
      <c r="F179" s="125"/>
      <c r="G179" s="125"/>
      <c r="H179" s="126"/>
      <c r="J179" s="36"/>
    </row>
    <row r="180" spans="1:20" s="108" customFormat="1" ht="15.75" customHeight="1" x14ac:dyDescent="0.25">
      <c r="A180" s="120">
        <v>1</v>
      </c>
      <c r="B180" s="121"/>
      <c r="C180" s="107" t="s">
        <v>412</v>
      </c>
      <c r="D180" s="109">
        <f>(57.93)*10.764</f>
        <v>623.55851999999993</v>
      </c>
      <c r="E180" s="107">
        <v>0</v>
      </c>
      <c r="F180" s="107">
        <f>D180+E180</f>
        <v>623.55851999999993</v>
      </c>
      <c r="G180" s="107">
        <v>0</v>
      </c>
      <c r="H180" s="107">
        <f>F180*(($H$165)+1)+(IF(G180&lt;101,G180,IF(G180&lt;201,G180/2,IF(G180&lt;=301,G180/3,G180/4))))</f>
        <v>935.33777999999984</v>
      </c>
      <c r="I180" s="36"/>
      <c r="L180" s="122"/>
      <c r="M180" s="122"/>
      <c r="N180" s="36"/>
    </row>
    <row r="181" spans="1:20" s="108" customFormat="1" ht="15.75" customHeight="1" x14ac:dyDescent="0.25">
      <c r="A181" s="120">
        <f>A180+1</f>
        <v>2</v>
      </c>
      <c r="B181" s="121"/>
      <c r="C181" s="107" t="s">
        <v>412</v>
      </c>
      <c r="D181" s="109">
        <f>(56.76)*10.764</f>
        <v>610.96463999999992</v>
      </c>
      <c r="E181" s="107">
        <v>0</v>
      </c>
      <c r="F181" s="107">
        <f>D181+E181</f>
        <v>610.96463999999992</v>
      </c>
      <c r="G181" s="107">
        <v>0</v>
      </c>
      <c r="H181" s="107">
        <f>F181*(($H$165)+1)+(IF(G181&lt;101,G181,IF(G181&lt;201,G181/2,IF(G181&lt;=301,G181/3,G181/4))))</f>
        <v>916.44695999999988</v>
      </c>
      <c r="I181" s="36"/>
      <c r="L181" s="122"/>
      <c r="M181" s="122"/>
      <c r="N181" s="36"/>
    </row>
    <row r="182" spans="1:20" s="108" customFormat="1" ht="15.75" customHeight="1" x14ac:dyDescent="0.25">
      <c r="A182" s="120">
        <f>A181+1</f>
        <v>3</v>
      </c>
      <c r="B182" s="121"/>
      <c r="C182" s="107" t="s">
        <v>412</v>
      </c>
      <c r="D182" s="109">
        <f>(56.76)*10.764</f>
        <v>610.96463999999992</v>
      </c>
      <c r="E182" s="107">
        <v>0</v>
      </c>
      <c r="F182" s="107">
        <f>D182+E182</f>
        <v>610.96463999999992</v>
      </c>
      <c r="G182" s="107">
        <v>0</v>
      </c>
      <c r="H182" s="107">
        <f>F182*(($H$165)+1)+(IF(G182&lt;101,G182,IF(G182&lt;201,G182/2,IF(G182&lt;=301,G182/3,G182/4))))</f>
        <v>916.44695999999988</v>
      </c>
      <c r="I182" s="36"/>
      <c r="L182" s="122"/>
      <c r="M182" s="122"/>
      <c r="N182" s="36"/>
    </row>
    <row r="183" spans="1:20" s="108" customFormat="1" ht="15.75" customHeight="1" x14ac:dyDescent="0.25">
      <c r="A183" s="120">
        <f>A182+1</f>
        <v>4</v>
      </c>
      <c r="B183" s="121"/>
      <c r="C183" s="107" t="s">
        <v>412</v>
      </c>
      <c r="D183" s="109">
        <f>(57.93)*10.764</f>
        <v>623.55851999999993</v>
      </c>
      <c r="E183" s="107">
        <v>0</v>
      </c>
      <c r="F183" s="107">
        <f>D183+E183</f>
        <v>623.55851999999993</v>
      </c>
      <c r="G183" s="107">
        <v>0</v>
      </c>
      <c r="H183" s="107">
        <f>F183*(($H$165)+1)+(IF(G183&lt;101,G183,IF(G183&lt;201,G183/2,IF(G183&lt;=301,G183/3,G183/4))))</f>
        <v>935.33777999999984</v>
      </c>
      <c r="I183" s="36"/>
      <c r="L183" s="122"/>
      <c r="M183" s="122"/>
      <c r="N183" s="36"/>
      <c r="T183" s="21"/>
    </row>
    <row r="184" spans="1:20" s="108" customFormat="1" x14ac:dyDescent="0.25">
      <c r="A184" s="124" t="s">
        <v>419</v>
      </c>
      <c r="B184" s="125"/>
      <c r="C184" s="125"/>
      <c r="D184" s="125"/>
      <c r="E184" s="125"/>
      <c r="F184" s="125"/>
      <c r="G184" s="125"/>
      <c r="H184" s="126"/>
      <c r="J184" s="36"/>
    </row>
    <row r="185" spans="1:20" s="108" customFormat="1" ht="15.75" customHeight="1" x14ac:dyDescent="0.25">
      <c r="A185" s="120">
        <v>1</v>
      </c>
      <c r="B185" s="121"/>
      <c r="C185" s="107" t="s">
        <v>416</v>
      </c>
      <c r="D185" s="120" t="s">
        <v>417</v>
      </c>
      <c r="E185" s="123"/>
      <c r="F185" s="123"/>
      <c r="G185" s="123"/>
      <c r="H185" s="121"/>
      <c r="I185" s="36"/>
      <c r="L185" s="122"/>
      <c r="M185" s="122"/>
      <c r="N185" s="36"/>
    </row>
    <row r="186" spans="1:20" s="108" customFormat="1" ht="15.75" customHeight="1" x14ac:dyDescent="0.25">
      <c r="A186" s="120">
        <f>A185+1</f>
        <v>2</v>
      </c>
      <c r="B186" s="121"/>
      <c r="C186" s="107" t="s">
        <v>412</v>
      </c>
      <c r="D186" s="109">
        <f>(56.76)*10.764</f>
        <v>610.96463999999992</v>
      </c>
      <c r="E186" s="107">
        <v>0</v>
      </c>
      <c r="F186" s="107">
        <f>D186+E186</f>
        <v>610.96463999999992</v>
      </c>
      <c r="G186" s="107">
        <v>0</v>
      </c>
      <c r="H186" s="107">
        <f>F186*(($H$165)+1)+(IF(G186&lt;101,G186,IF(G186&lt;201,G186/2,IF(G186&lt;=301,G186/3,G186/4))))</f>
        <v>916.44695999999988</v>
      </c>
      <c r="I186" s="36"/>
      <c r="L186" s="122"/>
      <c r="M186" s="122"/>
      <c r="N186" s="36"/>
    </row>
    <row r="187" spans="1:20" s="108" customFormat="1" ht="15.75" customHeight="1" x14ac:dyDescent="0.25">
      <c r="A187" s="120">
        <f>A186+1</f>
        <v>3</v>
      </c>
      <c r="B187" s="121"/>
      <c r="C187" s="107" t="s">
        <v>412</v>
      </c>
      <c r="D187" s="109">
        <f>(56.76)*10.764</f>
        <v>610.96463999999992</v>
      </c>
      <c r="E187" s="107">
        <v>0</v>
      </c>
      <c r="F187" s="107">
        <f>D187+E187</f>
        <v>610.96463999999992</v>
      </c>
      <c r="G187" s="107">
        <v>0</v>
      </c>
      <c r="H187" s="107">
        <f>F187*(($H$165)+1)+(IF(G187&lt;101,G187,IF(G187&lt;201,G187/2,IF(G187&lt;=301,G187/3,G187/4))))</f>
        <v>916.44695999999988</v>
      </c>
      <c r="I187" s="36"/>
      <c r="L187" s="122"/>
      <c r="M187" s="122"/>
      <c r="N187" s="36"/>
    </row>
    <row r="188" spans="1:20" s="108" customFormat="1" ht="15.75" customHeight="1" x14ac:dyDescent="0.25">
      <c r="A188" s="120">
        <f>A187+1</f>
        <v>4</v>
      </c>
      <c r="B188" s="121"/>
      <c r="C188" s="107" t="s">
        <v>412</v>
      </c>
      <c r="D188" s="109">
        <f>(57.93)*10.764</f>
        <v>623.55851999999993</v>
      </c>
      <c r="E188" s="107">
        <v>0</v>
      </c>
      <c r="F188" s="107">
        <f>D188+E188</f>
        <v>623.55851999999993</v>
      </c>
      <c r="G188" s="107">
        <v>0</v>
      </c>
      <c r="H188" s="107">
        <f>F188*(($H$165)+1)+(IF(G188&lt;101,G188,IF(G188&lt;201,G188/2,IF(G188&lt;=301,G188/3,G188/4))))</f>
        <v>935.33777999999984</v>
      </c>
      <c r="I188" s="36"/>
      <c r="L188" s="122"/>
      <c r="M188" s="122"/>
      <c r="N188" s="36"/>
      <c r="T188" s="21"/>
    </row>
    <row r="189" spans="1:20" s="108" customFormat="1" ht="15.6" customHeight="1" x14ac:dyDescent="0.25">
      <c r="A189" s="124" t="s">
        <v>420</v>
      </c>
      <c r="B189" s="125"/>
      <c r="C189" s="125"/>
      <c r="D189" s="125"/>
      <c r="E189" s="125"/>
      <c r="F189" s="125"/>
      <c r="G189" s="125"/>
      <c r="H189" s="126"/>
      <c r="J189" s="36"/>
    </row>
    <row r="190" spans="1:20" s="108" customFormat="1" ht="15.75" customHeight="1" x14ac:dyDescent="0.25">
      <c r="A190" s="120">
        <v>1</v>
      </c>
      <c r="B190" s="121"/>
      <c r="C190" s="107" t="s">
        <v>412</v>
      </c>
      <c r="D190" s="109">
        <f>(58.33)*10.764</f>
        <v>627.86411999999996</v>
      </c>
      <c r="E190" s="107">
        <v>0</v>
      </c>
      <c r="F190" s="107">
        <f>D190+E190</f>
        <v>627.86411999999996</v>
      </c>
      <c r="G190" s="107">
        <v>0</v>
      </c>
      <c r="H190" s="107">
        <f>F190*(($H$165)+1)+(IF(G190&lt;101,G190,IF(G190&lt;201,G190/2,IF(G190&lt;=301,G190/3,G190/4))))</f>
        <v>941.79617999999994</v>
      </c>
      <c r="I190" s="36"/>
      <c r="L190" s="122"/>
      <c r="M190" s="122"/>
      <c r="N190" s="36"/>
    </row>
    <row r="191" spans="1:20" s="108" customFormat="1" ht="15.75" customHeight="1" x14ac:dyDescent="0.25">
      <c r="A191" s="120">
        <f>A190+1</f>
        <v>2</v>
      </c>
      <c r="B191" s="121"/>
      <c r="C191" s="107" t="s">
        <v>412</v>
      </c>
      <c r="D191" s="109">
        <f>(57.15)*10.764</f>
        <v>615.1626</v>
      </c>
      <c r="E191" s="107">
        <v>0</v>
      </c>
      <c r="F191" s="107">
        <f>D191+E191</f>
        <v>615.1626</v>
      </c>
      <c r="G191" s="107">
        <v>0</v>
      </c>
      <c r="H191" s="107">
        <f>F191*(($H$165)+1)+(IF(G191&lt;101,G191,IF(G191&lt;201,G191/2,IF(G191&lt;=301,G191/3,G191/4))))</f>
        <v>922.74389999999994</v>
      </c>
      <c r="I191" s="36"/>
      <c r="L191" s="122"/>
      <c r="M191" s="122"/>
      <c r="N191" s="36"/>
    </row>
    <row r="192" spans="1:20" s="108" customFormat="1" ht="15.75" customHeight="1" x14ac:dyDescent="0.25">
      <c r="A192" s="120">
        <f>A191+1</f>
        <v>3</v>
      </c>
      <c r="B192" s="121"/>
      <c r="C192" s="107" t="s">
        <v>412</v>
      </c>
      <c r="D192" s="109">
        <f>(57.15)*10.764</f>
        <v>615.1626</v>
      </c>
      <c r="E192" s="107">
        <v>0</v>
      </c>
      <c r="F192" s="107">
        <f>D192+E192</f>
        <v>615.1626</v>
      </c>
      <c r="G192" s="107">
        <v>0</v>
      </c>
      <c r="H192" s="107">
        <f>F192*(($H$165)+1)+(IF(G192&lt;101,G192,IF(G192&lt;201,G192/2,IF(G192&lt;=301,G192/3,G192/4))))</f>
        <v>922.74389999999994</v>
      </c>
      <c r="I192" s="36"/>
      <c r="L192" s="122"/>
      <c r="M192" s="122"/>
      <c r="N192" s="36"/>
    </row>
    <row r="193" spans="1:20" s="108" customFormat="1" ht="15.75" customHeight="1" x14ac:dyDescent="0.25">
      <c r="A193" s="120">
        <f>A192+1</f>
        <v>4</v>
      </c>
      <c r="B193" s="121"/>
      <c r="C193" s="107" t="s">
        <v>412</v>
      </c>
      <c r="D193" s="109">
        <f>(58.33)*10.764</f>
        <v>627.86411999999996</v>
      </c>
      <c r="E193" s="107">
        <v>0</v>
      </c>
      <c r="F193" s="107">
        <f>D193+E193</f>
        <v>627.86411999999996</v>
      </c>
      <c r="G193" s="107">
        <v>0</v>
      </c>
      <c r="H193" s="107">
        <f>F193*(($H$165)+1)+(IF(G193&lt;101,G193,IF(G193&lt;201,G193/2,IF(G193&lt;=301,G193/3,G193/4))))</f>
        <v>941.79617999999994</v>
      </c>
      <c r="I193" s="36"/>
      <c r="L193" s="122"/>
      <c r="M193" s="122"/>
      <c r="N193" s="36"/>
      <c r="T193" s="21"/>
    </row>
    <row r="194" spans="1:20" s="108" customFormat="1" ht="15.6" customHeight="1" x14ac:dyDescent="0.25">
      <c r="A194" s="124" t="s">
        <v>421</v>
      </c>
      <c r="B194" s="125"/>
      <c r="C194" s="125"/>
      <c r="D194" s="125"/>
      <c r="E194" s="125"/>
      <c r="F194" s="125"/>
      <c r="G194" s="125"/>
      <c r="H194" s="126"/>
      <c r="J194" s="36"/>
    </row>
    <row r="195" spans="1:20" s="108" customFormat="1" ht="15.75" customHeight="1" x14ac:dyDescent="0.25">
      <c r="A195" s="120">
        <v>1</v>
      </c>
      <c r="B195" s="121"/>
      <c r="C195" s="107" t="s">
        <v>412</v>
      </c>
      <c r="D195" s="109">
        <f>(58.33)*10.764</f>
        <v>627.86411999999996</v>
      </c>
      <c r="E195" s="107">
        <v>0</v>
      </c>
      <c r="F195" s="107">
        <f>D195+E195</f>
        <v>627.86411999999996</v>
      </c>
      <c r="G195" s="107">
        <v>0</v>
      </c>
      <c r="H195" s="107">
        <f>F195*(($H$165)+1)+(IF(G195&lt;101,G195,IF(G195&lt;201,G195/2,IF(G195&lt;=301,G195/3,G195/4))))</f>
        <v>941.79617999999994</v>
      </c>
      <c r="I195" s="36"/>
      <c r="L195" s="122"/>
      <c r="M195" s="122"/>
      <c r="N195" s="36"/>
    </row>
    <row r="196" spans="1:20" s="108" customFormat="1" ht="15.75" customHeight="1" x14ac:dyDescent="0.25">
      <c r="A196" s="120">
        <f>A195+1</f>
        <v>2</v>
      </c>
      <c r="B196" s="121"/>
      <c r="C196" s="107" t="s">
        <v>412</v>
      </c>
      <c r="D196" s="109">
        <f>(57.15)*10.764</f>
        <v>615.1626</v>
      </c>
      <c r="E196" s="107">
        <v>0</v>
      </c>
      <c r="F196" s="107">
        <f>D196+E196</f>
        <v>615.1626</v>
      </c>
      <c r="G196" s="107">
        <v>0</v>
      </c>
      <c r="H196" s="107">
        <f>F196*(($H$165)+1)+(IF(G196&lt;101,G196,IF(G196&lt;201,G196/2,IF(G196&lt;=301,G196/3,G196/4))))</f>
        <v>922.74389999999994</v>
      </c>
      <c r="I196" s="36"/>
      <c r="L196" s="122"/>
      <c r="M196" s="122"/>
      <c r="N196" s="36"/>
    </row>
    <row r="197" spans="1:20" s="108" customFormat="1" ht="15.75" customHeight="1" x14ac:dyDescent="0.25">
      <c r="A197" s="120">
        <f>A196+1</f>
        <v>3</v>
      </c>
      <c r="B197" s="121"/>
      <c r="C197" s="107" t="s">
        <v>412</v>
      </c>
      <c r="D197" s="109">
        <f>(57.15)*10.764</f>
        <v>615.1626</v>
      </c>
      <c r="E197" s="107">
        <v>0</v>
      </c>
      <c r="F197" s="107">
        <f>D197+E197</f>
        <v>615.1626</v>
      </c>
      <c r="G197" s="107">
        <v>0</v>
      </c>
      <c r="H197" s="107">
        <f>F197*(($H$165)+1)+(IF(G197&lt;101,G197,IF(G197&lt;201,G197/2,IF(G197&lt;=301,G197/3,G197/4))))</f>
        <v>922.74389999999994</v>
      </c>
      <c r="I197" s="36"/>
      <c r="L197" s="122"/>
      <c r="M197" s="122"/>
      <c r="N197" s="36"/>
    </row>
    <row r="198" spans="1:20" s="108" customFormat="1" ht="15.75" customHeight="1" x14ac:dyDescent="0.25">
      <c r="A198" s="120">
        <f>A197+1</f>
        <v>4</v>
      </c>
      <c r="B198" s="121"/>
      <c r="C198" s="107" t="s">
        <v>412</v>
      </c>
      <c r="D198" s="109">
        <f>(58.33)*10.764</f>
        <v>627.86411999999996</v>
      </c>
      <c r="E198" s="107">
        <v>0</v>
      </c>
      <c r="F198" s="107">
        <f>D198+E198</f>
        <v>627.86411999999996</v>
      </c>
      <c r="G198" s="107">
        <v>0</v>
      </c>
      <c r="H198" s="107">
        <f>F198*(($H$165)+1)+(IF(G198&lt;101,G198,IF(G198&lt;201,G198/2,IF(G198&lt;=301,G198/3,G198/4))))</f>
        <v>941.79617999999994</v>
      </c>
      <c r="I198" s="36"/>
      <c r="L198" s="122"/>
      <c r="M198" s="122"/>
      <c r="N198" s="36"/>
      <c r="T198" s="21"/>
    </row>
    <row r="199" spans="1:20" s="108" customFormat="1" ht="15.6" customHeight="1" x14ac:dyDescent="0.25">
      <c r="A199" s="124" t="s">
        <v>422</v>
      </c>
      <c r="B199" s="125"/>
      <c r="C199" s="125"/>
      <c r="D199" s="125"/>
      <c r="E199" s="125"/>
      <c r="F199" s="125"/>
      <c r="G199" s="125"/>
      <c r="H199" s="126"/>
      <c r="J199" s="36"/>
    </row>
    <row r="200" spans="1:20" s="108" customFormat="1" ht="15.75" customHeight="1" x14ac:dyDescent="0.25">
      <c r="A200" s="120">
        <v>1</v>
      </c>
      <c r="B200" s="121"/>
      <c r="C200" s="107" t="s">
        <v>412</v>
      </c>
      <c r="D200" s="109">
        <f>(58.33)*10.764</f>
        <v>627.86411999999996</v>
      </c>
      <c r="E200" s="107">
        <v>0</v>
      </c>
      <c r="F200" s="107">
        <f>D200+E200</f>
        <v>627.86411999999996</v>
      </c>
      <c r="G200" s="107">
        <v>0</v>
      </c>
      <c r="H200" s="107">
        <f>F200*(($H$165)+1)+(IF(G200&lt;101,G200,IF(G200&lt;201,G200/2,IF(G200&lt;=301,G200/3,G200/4))))</f>
        <v>941.79617999999994</v>
      </c>
      <c r="I200" s="36"/>
      <c r="L200" s="122"/>
      <c r="M200" s="122"/>
      <c r="N200" s="36"/>
    </row>
    <row r="201" spans="1:20" s="108" customFormat="1" ht="15.75" customHeight="1" x14ac:dyDescent="0.25">
      <c r="A201" s="120">
        <f>A200+1</f>
        <v>2</v>
      </c>
      <c r="B201" s="121"/>
      <c r="C201" s="107" t="s">
        <v>412</v>
      </c>
      <c r="D201" s="109">
        <f>(57.15)*10.764</f>
        <v>615.1626</v>
      </c>
      <c r="E201" s="107">
        <v>0</v>
      </c>
      <c r="F201" s="107">
        <f>D201+E201</f>
        <v>615.1626</v>
      </c>
      <c r="G201" s="107">
        <v>0</v>
      </c>
      <c r="H201" s="107">
        <f>F201*(($H$165)+1)+(IF(G201&lt;101,G201,IF(G201&lt;201,G201/2,IF(G201&lt;=301,G201/3,G201/4))))</f>
        <v>922.74389999999994</v>
      </c>
      <c r="I201" s="36"/>
      <c r="L201" s="122"/>
      <c r="M201" s="122"/>
      <c r="N201" s="36"/>
    </row>
    <row r="202" spans="1:20" s="108" customFormat="1" ht="15.75" customHeight="1" x14ac:dyDescent="0.25">
      <c r="A202" s="120">
        <f>A201+1</f>
        <v>3</v>
      </c>
      <c r="B202" s="121"/>
      <c r="C202" s="107" t="s">
        <v>412</v>
      </c>
      <c r="D202" s="109">
        <f>(57.15)*10.764</f>
        <v>615.1626</v>
      </c>
      <c r="E202" s="107">
        <v>0</v>
      </c>
      <c r="F202" s="107">
        <f>D202+E202</f>
        <v>615.1626</v>
      </c>
      <c r="G202" s="107">
        <v>0</v>
      </c>
      <c r="H202" s="107">
        <f>F202*(($H$165)+1)+(IF(G202&lt;101,G202,IF(G202&lt;201,G202/2,IF(G202&lt;=301,G202/3,G202/4))))</f>
        <v>922.74389999999994</v>
      </c>
      <c r="I202" s="36"/>
      <c r="L202" s="122"/>
      <c r="M202" s="122"/>
      <c r="N202" s="36"/>
    </row>
    <row r="203" spans="1:20" s="108" customFormat="1" ht="15.75" customHeight="1" x14ac:dyDescent="0.25">
      <c r="A203" s="120">
        <f>A202+1</f>
        <v>4</v>
      </c>
      <c r="B203" s="121"/>
      <c r="C203" s="107" t="s">
        <v>412</v>
      </c>
      <c r="D203" s="109">
        <f>(58.33)*10.764</f>
        <v>627.86411999999996</v>
      </c>
      <c r="E203" s="107">
        <v>0</v>
      </c>
      <c r="F203" s="107">
        <f>D203+E203</f>
        <v>627.86411999999996</v>
      </c>
      <c r="G203" s="107">
        <v>0</v>
      </c>
      <c r="H203" s="107">
        <f>F203*(($H$165)+1)+(IF(G203&lt;101,G203,IF(G203&lt;201,G203/2,IF(G203&lt;=301,G203/3,G203/4))))</f>
        <v>941.79617999999994</v>
      </c>
      <c r="I203" s="36"/>
      <c r="L203" s="122"/>
      <c r="M203" s="122"/>
      <c r="N203" s="36"/>
      <c r="T203" s="21"/>
    </row>
    <row r="204" spans="1:20" s="108" customFormat="1" ht="15.6" customHeight="1" x14ac:dyDescent="0.25">
      <c r="A204" s="124" t="s">
        <v>424</v>
      </c>
      <c r="B204" s="125"/>
      <c r="C204" s="125"/>
      <c r="D204" s="125"/>
      <c r="E204" s="125"/>
      <c r="F204" s="125"/>
      <c r="G204" s="125"/>
      <c r="H204" s="126"/>
      <c r="J204" s="36"/>
    </row>
    <row r="205" spans="1:20" s="108" customFormat="1" ht="15.75" customHeight="1" x14ac:dyDescent="0.25">
      <c r="A205" s="120">
        <v>1</v>
      </c>
      <c r="B205" s="121"/>
      <c r="C205" s="107" t="s">
        <v>412</v>
      </c>
      <c r="D205" s="109">
        <f>(58.33)*10.764</f>
        <v>627.86411999999996</v>
      </c>
      <c r="E205" s="107">
        <v>0</v>
      </c>
      <c r="F205" s="107">
        <f>D205+E205</f>
        <v>627.86411999999996</v>
      </c>
      <c r="G205" s="107">
        <v>0</v>
      </c>
      <c r="H205" s="107">
        <f>F205*(($H$165)+1)+(IF(G205&lt;101,G205,IF(G205&lt;201,G205/2,IF(G205&lt;=301,G205/3,G205/4))))</f>
        <v>941.79617999999994</v>
      </c>
      <c r="I205" s="36"/>
      <c r="L205" s="122"/>
      <c r="M205" s="122"/>
      <c r="N205" s="36"/>
    </row>
    <row r="206" spans="1:20" s="108" customFormat="1" ht="15.75" customHeight="1" x14ac:dyDescent="0.25">
      <c r="A206" s="120">
        <f>A205+1</f>
        <v>2</v>
      </c>
      <c r="B206" s="121"/>
      <c r="C206" s="107" t="s">
        <v>412</v>
      </c>
      <c r="D206" s="109">
        <f>(57.15)*10.764</f>
        <v>615.1626</v>
      </c>
      <c r="E206" s="107">
        <v>0</v>
      </c>
      <c r="F206" s="107">
        <f>D206+E206</f>
        <v>615.1626</v>
      </c>
      <c r="G206" s="107">
        <v>0</v>
      </c>
      <c r="H206" s="107">
        <f>F206*(($H$165)+1)+(IF(G206&lt;101,G206,IF(G206&lt;201,G206/2,IF(G206&lt;=301,G206/3,G206/4))))</f>
        <v>922.74389999999994</v>
      </c>
      <c r="I206" s="36"/>
      <c r="L206" s="122"/>
      <c r="M206" s="122"/>
      <c r="N206" s="36"/>
    </row>
    <row r="207" spans="1:20" s="108" customFormat="1" ht="15.75" customHeight="1" x14ac:dyDescent="0.25">
      <c r="A207" s="120">
        <f>A206+1</f>
        <v>3</v>
      </c>
      <c r="B207" s="121"/>
      <c r="C207" s="107" t="s">
        <v>412</v>
      </c>
      <c r="D207" s="109">
        <f>(57.15)*10.764</f>
        <v>615.1626</v>
      </c>
      <c r="E207" s="107">
        <v>0</v>
      </c>
      <c r="F207" s="107">
        <f>D207+E207</f>
        <v>615.1626</v>
      </c>
      <c r="G207" s="107">
        <v>0</v>
      </c>
      <c r="H207" s="107">
        <f>F207*(($H$165)+1)+(IF(G207&lt;101,G207,IF(G207&lt;201,G207/2,IF(G207&lt;=301,G207/3,G207/4))))</f>
        <v>922.74389999999994</v>
      </c>
      <c r="I207" s="36"/>
      <c r="L207" s="122"/>
      <c r="M207" s="122"/>
      <c r="N207" s="36"/>
    </row>
    <row r="208" spans="1:20" s="108" customFormat="1" ht="15.75" customHeight="1" x14ac:dyDescent="0.25">
      <c r="A208" s="120">
        <f>A207+1</f>
        <v>4</v>
      </c>
      <c r="B208" s="121"/>
      <c r="C208" s="107" t="s">
        <v>412</v>
      </c>
      <c r="D208" s="109">
        <f>(58.33)*10.764</f>
        <v>627.86411999999996</v>
      </c>
      <c r="E208" s="107">
        <v>0</v>
      </c>
      <c r="F208" s="107">
        <f>D208+E208</f>
        <v>627.86411999999996</v>
      </c>
      <c r="G208" s="107">
        <v>0</v>
      </c>
      <c r="H208" s="107">
        <f>F208*(($H$165)+1)+(IF(G208&lt;101,G208,IF(G208&lt;201,G208/2,IF(G208&lt;=301,G208/3,G208/4))))</f>
        <v>941.79617999999994</v>
      </c>
      <c r="I208" s="36"/>
      <c r="L208" s="122"/>
      <c r="M208" s="122"/>
      <c r="N208" s="36"/>
      <c r="T208" s="21"/>
    </row>
    <row r="209" spans="1:20" s="108" customFormat="1" ht="15.6" customHeight="1" x14ac:dyDescent="0.25">
      <c r="A209" s="124" t="s">
        <v>426</v>
      </c>
      <c r="B209" s="125"/>
      <c r="C209" s="125"/>
      <c r="D209" s="125"/>
      <c r="E209" s="125"/>
      <c r="F209" s="125"/>
      <c r="G209" s="125"/>
      <c r="H209" s="126"/>
      <c r="J209" s="36"/>
    </row>
    <row r="210" spans="1:20" s="108" customFormat="1" ht="15.75" customHeight="1" x14ac:dyDescent="0.25">
      <c r="A210" s="120">
        <v>1</v>
      </c>
      <c r="B210" s="121"/>
      <c r="C210" s="107" t="s">
        <v>412</v>
      </c>
      <c r="D210" s="109">
        <f>(58.33)*10.764</f>
        <v>627.86411999999996</v>
      </c>
      <c r="E210" s="107">
        <v>0</v>
      </c>
      <c r="F210" s="107">
        <f>D210+E210</f>
        <v>627.86411999999996</v>
      </c>
      <c r="G210" s="107">
        <v>0</v>
      </c>
      <c r="H210" s="107">
        <f>F210*(($H$165)+1)+(IF(G210&lt;101,G210,IF(G210&lt;201,G210/2,IF(G210&lt;=301,G210/3,G210/4))))</f>
        <v>941.79617999999994</v>
      </c>
      <c r="I210" s="36"/>
      <c r="L210" s="122"/>
      <c r="M210" s="122"/>
      <c r="N210" s="36"/>
    </row>
    <row r="211" spans="1:20" s="108" customFormat="1" ht="15.75" customHeight="1" x14ac:dyDescent="0.25">
      <c r="A211" s="120">
        <f>A210+1</f>
        <v>2</v>
      </c>
      <c r="B211" s="121"/>
      <c r="C211" s="107" t="s">
        <v>412</v>
      </c>
      <c r="D211" s="109">
        <f>(57.15)*10.764</f>
        <v>615.1626</v>
      </c>
      <c r="E211" s="107">
        <v>0</v>
      </c>
      <c r="F211" s="107">
        <f>D211+E211</f>
        <v>615.1626</v>
      </c>
      <c r="G211" s="107">
        <v>0</v>
      </c>
      <c r="H211" s="107">
        <f>F211*(($H$165)+1)+(IF(G211&lt;101,G211,IF(G211&lt;201,G211/2,IF(G211&lt;=301,G211/3,G211/4))))</f>
        <v>922.74389999999994</v>
      </c>
      <c r="I211" s="36"/>
      <c r="L211" s="122"/>
      <c r="M211" s="122"/>
      <c r="N211" s="36"/>
    </row>
    <row r="212" spans="1:20" s="108" customFormat="1" ht="15.75" customHeight="1" x14ac:dyDescent="0.25">
      <c r="A212" s="120">
        <f>A211+1</f>
        <v>3</v>
      </c>
      <c r="B212" s="121"/>
      <c r="C212" s="107" t="s">
        <v>412</v>
      </c>
      <c r="D212" s="109">
        <f>(57.15)*10.764</f>
        <v>615.1626</v>
      </c>
      <c r="E212" s="107">
        <v>0</v>
      </c>
      <c r="F212" s="107">
        <f>D212+E212</f>
        <v>615.1626</v>
      </c>
      <c r="G212" s="107">
        <v>0</v>
      </c>
      <c r="H212" s="107">
        <f>F212*(($H$165)+1)+(IF(G212&lt;101,G212,IF(G212&lt;201,G212/2,IF(G212&lt;=301,G212/3,G212/4))))</f>
        <v>922.74389999999994</v>
      </c>
      <c r="I212" s="36">
        <f>11500000/H212</f>
        <v>12462.829610686129</v>
      </c>
      <c r="L212" s="122"/>
      <c r="M212" s="122"/>
      <c r="N212" s="36"/>
    </row>
    <row r="213" spans="1:20" s="108" customFormat="1" ht="15.75" customHeight="1" x14ac:dyDescent="0.25">
      <c r="A213" s="120">
        <f>A212+1</f>
        <v>4</v>
      </c>
      <c r="B213" s="121"/>
      <c r="C213" s="107" t="s">
        <v>412</v>
      </c>
      <c r="D213" s="109">
        <f>(58.33)*10.764</f>
        <v>627.86411999999996</v>
      </c>
      <c r="E213" s="107">
        <v>0</v>
      </c>
      <c r="F213" s="107">
        <f>D213+E213</f>
        <v>627.86411999999996</v>
      </c>
      <c r="G213" s="107">
        <v>0</v>
      </c>
      <c r="H213" s="107">
        <f>F213*(($H$165)+1)+(IF(G213&lt;101,G213,IF(G213&lt;201,G213/2,IF(G213&lt;=301,G213/3,G213/4))))</f>
        <v>941.79617999999994</v>
      </c>
      <c r="I213" s="36">
        <f>11500000/H213</f>
        <v>12210.709964867347</v>
      </c>
      <c r="L213" s="122"/>
      <c r="M213" s="122"/>
      <c r="N213" s="36"/>
      <c r="T213" s="21"/>
    </row>
    <row r="214" spans="1:20" s="103" customFormat="1" x14ac:dyDescent="0.25">
      <c r="A214" s="132" t="s">
        <v>406</v>
      </c>
      <c r="B214" s="133"/>
      <c r="C214" s="133"/>
      <c r="D214" s="133"/>
      <c r="E214" s="133"/>
      <c r="F214" s="133"/>
      <c r="G214" s="133"/>
      <c r="H214" s="134"/>
      <c r="J214" s="36"/>
    </row>
    <row r="215" spans="1:20" s="103" customFormat="1" x14ac:dyDescent="0.25">
      <c r="A215" s="124" t="s">
        <v>410</v>
      </c>
      <c r="B215" s="125"/>
      <c r="C215" s="125"/>
      <c r="D215" s="125"/>
      <c r="E215" s="125"/>
      <c r="F215" s="125"/>
      <c r="G215" s="125"/>
      <c r="H215" s="126"/>
      <c r="J215" s="36"/>
    </row>
    <row r="216" spans="1:20" s="103" customFormat="1" ht="15.6" customHeight="1" x14ac:dyDescent="0.25">
      <c r="A216" s="124" t="s">
        <v>414</v>
      </c>
      <c r="B216" s="125"/>
      <c r="C216" s="125"/>
      <c r="D216" s="125"/>
      <c r="E216" s="125"/>
      <c r="F216" s="125"/>
      <c r="G216" s="125"/>
      <c r="H216" s="126"/>
      <c r="J216" s="36"/>
    </row>
    <row r="217" spans="1:20" s="103" customFormat="1" ht="15.75" customHeight="1" x14ac:dyDescent="0.25">
      <c r="A217" s="120">
        <v>1</v>
      </c>
      <c r="B217" s="121"/>
      <c r="C217" s="104" t="s">
        <v>413</v>
      </c>
      <c r="D217" s="109">
        <f>(37.64)*10.764</f>
        <v>405.15695999999997</v>
      </c>
      <c r="E217" s="104">
        <v>0</v>
      </c>
      <c r="F217" s="104">
        <f>D217+E217</f>
        <v>405.15695999999997</v>
      </c>
      <c r="G217" s="104">
        <v>0</v>
      </c>
      <c r="H217" s="104">
        <f>F217*(($H$165)+1)+(IF(G217&lt;101,G217,IF(G217&lt;201,G217/2,IF(G217&lt;=301,G217/3,G217/4))))</f>
        <v>607.73543999999993</v>
      </c>
      <c r="I217" s="36"/>
      <c r="L217" s="122"/>
      <c r="M217" s="122"/>
      <c r="N217" s="36"/>
    </row>
    <row r="218" spans="1:20" s="103" customFormat="1" ht="15.75" customHeight="1" x14ac:dyDescent="0.25">
      <c r="A218" s="120">
        <f>A217+1</f>
        <v>2</v>
      </c>
      <c r="B218" s="121"/>
      <c r="C218" s="104" t="s">
        <v>413</v>
      </c>
      <c r="D218" s="109">
        <f>(37.64)*10.764</f>
        <v>405.15695999999997</v>
      </c>
      <c r="E218" s="104">
        <v>0</v>
      </c>
      <c r="F218" s="104">
        <f>D218+E218</f>
        <v>405.15695999999997</v>
      </c>
      <c r="G218" s="104">
        <v>0</v>
      </c>
      <c r="H218" s="104">
        <f>F218*(($H$165)+1)+(IF(G218&lt;101,G218,IF(G218&lt;201,G218/2,IF(G218&lt;=301,G218/3,G218/4))))</f>
        <v>607.73543999999993</v>
      </c>
      <c r="I218" s="36"/>
      <c r="L218" s="122"/>
      <c r="M218" s="122"/>
      <c r="N218" s="36"/>
    </row>
    <row r="219" spans="1:20" s="103" customFormat="1" ht="15.75" customHeight="1" x14ac:dyDescent="0.25">
      <c r="A219" s="120">
        <f>A218+1</f>
        <v>3</v>
      </c>
      <c r="B219" s="121"/>
      <c r="C219" s="104" t="s">
        <v>413</v>
      </c>
      <c r="D219" s="109">
        <f>(37.15)*10.764</f>
        <v>399.88259999999997</v>
      </c>
      <c r="E219" s="104">
        <v>0</v>
      </c>
      <c r="F219" s="104">
        <f>D219+E219</f>
        <v>399.88259999999997</v>
      </c>
      <c r="G219" s="104">
        <v>0</v>
      </c>
      <c r="H219" s="104">
        <f>F219*(($H$165)+1)+(IF(G219&lt;101,G219,IF(G219&lt;201,G219/2,IF(G219&lt;=301,G219/3,G219/4))))</f>
        <v>599.82389999999998</v>
      </c>
      <c r="I219" s="36"/>
      <c r="L219" s="122"/>
      <c r="M219" s="122"/>
      <c r="N219" s="36"/>
    </row>
    <row r="220" spans="1:20" s="103" customFormat="1" ht="15.75" customHeight="1" x14ac:dyDescent="0.25">
      <c r="A220" s="120">
        <f>A219+1</f>
        <v>4</v>
      </c>
      <c r="B220" s="121"/>
      <c r="C220" s="104" t="s">
        <v>413</v>
      </c>
      <c r="D220" s="109">
        <f>(37.15)*10.764</f>
        <v>399.88259999999997</v>
      </c>
      <c r="E220" s="104">
        <v>0</v>
      </c>
      <c r="F220" s="104">
        <f>D220+E220</f>
        <v>399.88259999999997</v>
      </c>
      <c r="G220" s="104">
        <v>0</v>
      </c>
      <c r="H220" s="104">
        <f>F220*(($H$165)+1)+(IF(G220&lt;101,G220,IF(G220&lt;201,G220/2,IF(G220&lt;=301,G220/3,G220/4))))</f>
        <v>599.82389999999998</v>
      </c>
      <c r="I220" s="36"/>
      <c r="L220" s="122"/>
      <c r="M220" s="122"/>
      <c r="N220" s="36"/>
      <c r="T220" s="21"/>
    </row>
    <row r="221" spans="1:20" s="103" customFormat="1" ht="15.6" customHeight="1" x14ac:dyDescent="0.25">
      <c r="A221" s="124" t="s">
        <v>415</v>
      </c>
      <c r="B221" s="125"/>
      <c r="C221" s="125"/>
      <c r="D221" s="125"/>
      <c r="E221" s="125"/>
      <c r="F221" s="125"/>
      <c r="G221" s="125"/>
      <c r="H221" s="126"/>
      <c r="J221" s="36"/>
    </row>
    <row r="222" spans="1:20" s="103" customFormat="1" ht="15.75" customHeight="1" x14ac:dyDescent="0.25">
      <c r="A222" s="120">
        <v>1</v>
      </c>
      <c r="B222" s="121"/>
      <c r="C222" s="104" t="s">
        <v>416</v>
      </c>
      <c r="D222" s="120" t="s">
        <v>417</v>
      </c>
      <c r="E222" s="123"/>
      <c r="F222" s="123"/>
      <c r="G222" s="123"/>
      <c r="H222" s="121"/>
      <c r="I222" s="36"/>
      <c r="L222" s="122"/>
      <c r="M222" s="122"/>
      <c r="N222" s="36"/>
    </row>
    <row r="223" spans="1:20" s="103" customFormat="1" ht="15.75" customHeight="1" x14ac:dyDescent="0.25">
      <c r="A223" s="120">
        <f>A222+1</f>
        <v>2</v>
      </c>
      <c r="B223" s="121"/>
      <c r="C223" s="104" t="s">
        <v>413</v>
      </c>
      <c r="D223" s="109">
        <f>(37.64)*10.764</f>
        <v>405.15695999999997</v>
      </c>
      <c r="E223" s="104">
        <v>0</v>
      </c>
      <c r="F223" s="104">
        <f>D223+E223</f>
        <v>405.15695999999997</v>
      </c>
      <c r="G223" s="104">
        <v>0</v>
      </c>
      <c r="H223" s="104">
        <f>F223*(($H$165)+1)+(IF(G223&lt;101,G223,IF(G223&lt;201,G223/2,IF(G223&lt;=301,G223/3,G223/4))))</f>
        <v>607.73543999999993</v>
      </c>
      <c r="I223" s="36"/>
      <c r="L223" s="122"/>
      <c r="M223" s="122"/>
      <c r="N223" s="36"/>
    </row>
    <row r="224" spans="1:20" s="103" customFormat="1" ht="15.75" customHeight="1" x14ac:dyDescent="0.25">
      <c r="A224" s="120">
        <f>A223+1</f>
        <v>3</v>
      </c>
      <c r="B224" s="121"/>
      <c r="C224" s="104" t="s">
        <v>413</v>
      </c>
      <c r="D224" s="109">
        <f>(37.15)*10.764</f>
        <v>399.88259999999997</v>
      </c>
      <c r="E224" s="104">
        <v>0</v>
      </c>
      <c r="F224" s="104">
        <f>D224+E224</f>
        <v>399.88259999999997</v>
      </c>
      <c r="G224" s="104">
        <v>0</v>
      </c>
      <c r="H224" s="104">
        <f>F224*(($H$165)+1)+(IF(G224&lt;101,G224,IF(G224&lt;201,G224/2,IF(G224&lt;=301,G224/3,G224/4))))</f>
        <v>599.82389999999998</v>
      </c>
      <c r="I224" s="36"/>
      <c r="L224" s="122"/>
      <c r="M224" s="122"/>
      <c r="N224" s="36"/>
    </row>
    <row r="225" spans="1:20" s="103" customFormat="1" ht="15.75" customHeight="1" x14ac:dyDescent="0.25">
      <c r="A225" s="120">
        <f>A224+1</f>
        <v>4</v>
      </c>
      <c r="B225" s="121"/>
      <c r="C225" s="104" t="s">
        <v>413</v>
      </c>
      <c r="D225" s="109">
        <f>(37.15)*10.764</f>
        <v>399.88259999999997</v>
      </c>
      <c r="E225" s="104">
        <v>0</v>
      </c>
      <c r="F225" s="104">
        <f>D225+E225</f>
        <v>399.88259999999997</v>
      </c>
      <c r="G225" s="104">
        <v>0</v>
      </c>
      <c r="H225" s="104">
        <f>F225*(($H$165)+1)+(IF(G225&lt;101,G225,IF(G225&lt;201,G225/2,IF(G225&lt;=301,G225/3,G225/4))))</f>
        <v>599.82389999999998</v>
      </c>
      <c r="I225" s="36"/>
      <c r="L225" s="122"/>
      <c r="M225" s="122"/>
      <c r="N225" s="36"/>
      <c r="T225" s="21"/>
    </row>
    <row r="226" spans="1:20" s="108" customFormat="1" ht="15.6" customHeight="1" x14ac:dyDescent="0.25">
      <c r="A226" s="124" t="s">
        <v>418</v>
      </c>
      <c r="B226" s="125"/>
      <c r="C226" s="125"/>
      <c r="D226" s="125"/>
      <c r="E226" s="125"/>
      <c r="F226" s="125"/>
      <c r="G226" s="125"/>
      <c r="H226" s="126"/>
      <c r="J226" s="36"/>
    </row>
    <row r="227" spans="1:20" s="108" customFormat="1" ht="15.75" customHeight="1" x14ac:dyDescent="0.25">
      <c r="A227" s="120">
        <v>1</v>
      </c>
      <c r="B227" s="121"/>
      <c r="C227" s="107" t="s">
        <v>413</v>
      </c>
      <c r="D227" s="109">
        <f>(37.64)*10.764</f>
        <v>405.15695999999997</v>
      </c>
      <c r="E227" s="107">
        <v>0</v>
      </c>
      <c r="F227" s="107">
        <f>D227+E227</f>
        <v>405.15695999999997</v>
      </c>
      <c r="G227" s="107">
        <v>0</v>
      </c>
      <c r="H227" s="107">
        <f>F227*(($H$165)+1)+(IF(G227&lt;101,G227,IF(G227&lt;201,G227/2,IF(G227&lt;=301,G227/3,G227/4))))</f>
        <v>607.73543999999993</v>
      </c>
      <c r="I227" s="36"/>
      <c r="L227" s="122"/>
      <c r="M227" s="122"/>
      <c r="N227" s="36"/>
    </row>
    <row r="228" spans="1:20" s="108" customFormat="1" ht="15.75" customHeight="1" x14ac:dyDescent="0.25">
      <c r="A228" s="120">
        <f>A227+1</f>
        <v>2</v>
      </c>
      <c r="B228" s="121"/>
      <c r="C228" s="107" t="s">
        <v>413</v>
      </c>
      <c r="D228" s="109">
        <f>(37.64)*10.764</f>
        <v>405.15695999999997</v>
      </c>
      <c r="E228" s="107">
        <v>0</v>
      </c>
      <c r="F228" s="107">
        <f>D228+E228</f>
        <v>405.15695999999997</v>
      </c>
      <c r="G228" s="107">
        <v>0</v>
      </c>
      <c r="H228" s="107">
        <f>F228*(($H$165)+1)+(IF(G228&lt;101,G228,IF(G228&lt;201,G228/2,IF(G228&lt;=301,G228/3,G228/4))))</f>
        <v>607.73543999999993</v>
      </c>
      <c r="I228" s="36"/>
      <c r="L228" s="122"/>
      <c r="M228" s="122"/>
      <c r="N228" s="36"/>
    </row>
    <row r="229" spans="1:20" s="108" customFormat="1" ht="15.75" customHeight="1" x14ac:dyDescent="0.25">
      <c r="A229" s="120">
        <f>A228+1</f>
        <v>3</v>
      </c>
      <c r="B229" s="121"/>
      <c r="C229" s="107" t="s">
        <v>413</v>
      </c>
      <c r="D229" s="109">
        <f>(37.15)*10.764</f>
        <v>399.88259999999997</v>
      </c>
      <c r="E229" s="107">
        <v>0</v>
      </c>
      <c r="F229" s="107">
        <f>D229+E229</f>
        <v>399.88259999999997</v>
      </c>
      <c r="G229" s="107">
        <v>0</v>
      </c>
      <c r="H229" s="107">
        <f>F229*(($H$165)+1)+(IF(G229&lt;101,G229,IF(G229&lt;201,G229/2,IF(G229&lt;=301,G229/3,G229/4))))</f>
        <v>599.82389999999998</v>
      </c>
      <c r="I229" s="36"/>
      <c r="L229" s="122"/>
      <c r="M229" s="122"/>
      <c r="N229" s="36"/>
    </row>
    <row r="230" spans="1:20" s="108" customFormat="1" ht="15.75" customHeight="1" x14ac:dyDescent="0.25">
      <c r="A230" s="120">
        <f>A229+1</f>
        <v>4</v>
      </c>
      <c r="B230" s="121"/>
      <c r="C230" s="107" t="s">
        <v>413</v>
      </c>
      <c r="D230" s="109">
        <f>(37.15)*10.764</f>
        <v>399.88259999999997</v>
      </c>
      <c r="E230" s="107">
        <v>0</v>
      </c>
      <c r="F230" s="107">
        <f>D230+E230</f>
        <v>399.88259999999997</v>
      </c>
      <c r="G230" s="107">
        <v>0</v>
      </c>
      <c r="H230" s="107">
        <f>F230*(($H$165)+1)+(IF(G230&lt;101,G230,IF(G230&lt;201,G230/2,IF(G230&lt;=301,G230/3,G230/4))))</f>
        <v>599.82389999999998</v>
      </c>
      <c r="I230" s="36"/>
      <c r="L230" s="122"/>
      <c r="M230" s="122"/>
      <c r="N230" s="36"/>
      <c r="T230" s="21"/>
    </row>
    <row r="231" spans="1:20" s="108" customFormat="1" ht="15.6" customHeight="1" x14ac:dyDescent="0.25">
      <c r="A231" s="124" t="s">
        <v>419</v>
      </c>
      <c r="B231" s="125"/>
      <c r="C231" s="125"/>
      <c r="D231" s="125"/>
      <c r="E231" s="125"/>
      <c r="F231" s="125"/>
      <c r="G231" s="125"/>
      <c r="H231" s="126"/>
      <c r="J231" s="36"/>
    </row>
    <row r="232" spans="1:20" s="108" customFormat="1" ht="15.75" customHeight="1" x14ac:dyDescent="0.25">
      <c r="A232" s="120">
        <v>1</v>
      </c>
      <c r="B232" s="121"/>
      <c r="C232" s="107" t="s">
        <v>416</v>
      </c>
      <c r="D232" s="120" t="s">
        <v>417</v>
      </c>
      <c r="E232" s="123"/>
      <c r="F232" s="123"/>
      <c r="G232" s="123"/>
      <c r="H232" s="121"/>
      <c r="I232" s="36"/>
      <c r="L232" s="122"/>
      <c r="M232" s="122"/>
      <c r="N232" s="36"/>
    </row>
    <row r="233" spans="1:20" s="108" customFormat="1" ht="15.75" customHeight="1" x14ac:dyDescent="0.25">
      <c r="A233" s="120">
        <f>A232+1</f>
        <v>2</v>
      </c>
      <c r="B233" s="121"/>
      <c r="C233" s="107" t="s">
        <v>413</v>
      </c>
      <c r="D233" s="109">
        <f>(37.64)*10.764</f>
        <v>405.15695999999997</v>
      </c>
      <c r="E233" s="107">
        <v>0</v>
      </c>
      <c r="F233" s="107">
        <f>D233+E233</f>
        <v>405.15695999999997</v>
      </c>
      <c r="G233" s="107">
        <v>0</v>
      </c>
      <c r="H233" s="107">
        <f>F233*(($H$165)+1)+(IF(G233&lt;101,G233,IF(G233&lt;201,G233/2,IF(G233&lt;=301,G233/3,G233/4))))</f>
        <v>607.73543999999993</v>
      </c>
      <c r="I233" s="36"/>
      <c r="L233" s="122"/>
      <c r="M233" s="122"/>
      <c r="N233" s="36"/>
    </row>
    <row r="234" spans="1:20" s="108" customFormat="1" ht="15.75" customHeight="1" x14ac:dyDescent="0.25">
      <c r="A234" s="120">
        <f>A233+1</f>
        <v>3</v>
      </c>
      <c r="B234" s="121"/>
      <c r="C234" s="107" t="s">
        <v>413</v>
      </c>
      <c r="D234" s="109">
        <f>(37.15)*10.764</f>
        <v>399.88259999999997</v>
      </c>
      <c r="E234" s="107">
        <v>0</v>
      </c>
      <c r="F234" s="107">
        <f>D234+E234</f>
        <v>399.88259999999997</v>
      </c>
      <c r="G234" s="107">
        <v>0</v>
      </c>
      <c r="H234" s="107">
        <f>F234*(($H$165)+1)+(IF(G234&lt;101,G234,IF(G234&lt;201,G234/2,IF(G234&lt;=301,G234/3,G234/4))))</f>
        <v>599.82389999999998</v>
      </c>
      <c r="I234" s="36"/>
      <c r="L234" s="122"/>
      <c r="M234" s="122"/>
      <c r="N234" s="36"/>
    </row>
    <row r="235" spans="1:20" s="108" customFormat="1" ht="15.75" customHeight="1" x14ac:dyDescent="0.25">
      <c r="A235" s="120">
        <f>A234+1</f>
        <v>4</v>
      </c>
      <c r="B235" s="121"/>
      <c r="C235" s="107" t="s">
        <v>413</v>
      </c>
      <c r="D235" s="109">
        <f>(37.15)*10.764</f>
        <v>399.88259999999997</v>
      </c>
      <c r="E235" s="107">
        <v>0</v>
      </c>
      <c r="F235" s="107">
        <f>D235+E235</f>
        <v>399.88259999999997</v>
      </c>
      <c r="G235" s="107">
        <v>0</v>
      </c>
      <c r="H235" s="107">
        <f>F235*(($H$165)+1)+(IF(G235&lt;101,G235,IF(G235&lt;201,G235/2,IF(G235&lt;=301,G235/3,G235/4))))</f>
        <v>599.82389999999998</v>
      </c>
      <c r="I235" s="36"/>
      <c r="L235" s="122"/>
      <c r="M235" s="122"/>
      <c r="N235" s="36"/>
      <c r="T235" s="21"/>
    </row>
    <row r="236" spans="1:20" s="108" customFormat="1" ht="15.6" customHeight="1" x14ac:dyDescent="0.25">
      <c r="A236" s="124" t="s">
        <v>420</v>
      </c>
      <c r="B236" s="125"/>
      <c r="C236" s="125"/>
      <c r="D236" s="125"/>
      <c r="E236" s="125"/>
      <c r="F236" s="125"/>
      <c r="G236" s="125"/>
      <c r="H236" s="126"/>
      <c r="J236" s="36"/>
    </row>
    <row r="237" spans="1:20" s="108" customFormat="1" ht="15.75" customHeight="1" x14ac:dyDescent="0.25">
      <c r="A237" s="120">
        <v>1</v>
      </c>
      <c r="B237" s="121"/>
      <c r="C237" s="107" t="s">
        <v>413</v>
      </c>
      <c r="D237" s="109">
        <f>(37.64)*10.764</f>
        <v>405.15695999999997</v>
      </c>
      <c r="E237" s="107">
        <v>0</v>
      </c>
      <c r="F237" s="107">
        <f>D237+E237</f>
        <v>405.15695999999997</v>
      </c>
      <c r="G237" s="107">
        <v>0</v>
      </c>
      <c r="H237" s="107">
        <f>F237*(($H$165)+1)+(IF(G237&lt;101,G237,IF(G237&lt;201,G237/2,IF(G237&lt;=301,G237/3,G237/4))))</f>
        <v>607.73543999999993</v>
      </c>
      <c r="I237" s="36"/>
      <c r="L237" s="122"/>
      <c r="M237" s="122"/>
      <c r="N237" s="36"/>
    </row>
    <row r="238" spans="1:20" s="108" customFormat="1" ht="15.75" customHeight="1" x14ac:dyDescent="0.25">
      <c r="A238" s="120">
        <f>A237+1</f>
        <v>2</v>
      </c>
      <c r="B238" s="121"/>
      <c r="C238" s="107" t="s">
        <v>413</v>
      </c>
      <c r="D238" s="109">
        <f>(37.64)*10.764</f>
        <v>405.15695999999997</v>
      </c>
      <c r="E238" s="107">
        <v>0</v>
      </c>
      <c r="F238" s="107">
        <f>D238+E238</f>
        <v>405.15695999999997</v>
      </c>
      <c r="G238" s="107">
        <v>0</v>
      </c>
      <c r="H238" s="107">
        <f>F238*(($H$165)+1)+(IF(G238&lt;101,G238,IF(G238&lt;201,G238/2,IF(G238&lt;=301,G238/3,G238/4))))</f>
        <v>607.73543999999993</v>
      </c>
      <c r="I238" s="36"/>
      <c r="L238" s="122"/>
      <c r="M238" s="122"/>
      <c r="N238" s="36"/>
    </row>
    <row r="239" spans="1:20" s="108" customFormat="1" ht="15.75" customHeight="1" x14ac:dyDescent="0.25">
      <c r="A239" s="120">
        <f>A238+1</f>
        <v>3</v>
      </c>
      <c r="B239" s="121"/>
      <c r="C239" s="107" t="s">
        <v>413</v>
      </c>
      <c r="D239" s="109">
        <f>(37.15)*10.764</f>
        <v>399.88259999999997</v>
      </c>
      <c r="E239" s="107">
        <v>0</v>
      </c>
      <c r="F239" s="107">
        <f>D239+E239</f>
        <v>399.88259999999997</v>
      </c>
      <c r="G239" s="107">
        <v>0</v>
      </c>
      <c r="H239" s="107">
        <f>F239*(($H$165)+1)+(IF(G239&lt;101,G239,IF(G239&lt;201,G239/2,IF(G239&lt;=301,G239/3,G239/4))))</f>
        <v>599.82389999999998</v>
      </c>
      <c r="I239" s="36"/>
      <c r="L239" s="122"/>
      <c r="M239" s="122"/>
      <c r="N239" s="36"/>
    </row>
    <row r="240" spans="1:20" s="108" customFormat="1" ht="15.75" customHeight="1" x14ac:dyDescent="0.25">
      <c r="A240" s="120">
        <f>A239+1</f>
        <v>4</v>
      </c>
      <c r="B240" s="121"/>
      <c r="C240" s="107" t="s">
        <v>413</v>
      </c>
      <c r="D240" s="109">
        <f>(37.15)*10.764</f>
        <v>399.88259999999997</v>
      </c>
      <c r="E240" s="107">
        <v>0</v>
      </c>
      <c r="F240" s="107">
        <f>D240+E240</f>
        <v>399.88259999999997</v>
      </c>
      <c r="G240" s="107">
        <v>0</v>
      </c>
      <c r="H240" s="107">
        <f>F240*(($H$165)+1)+(IF(G240&lt;101,G240,IF(G240&lt;201,G240/2,IF(G240&lt;=301,G240/3,G240/4))))</f>
        <v>599.82389999999998</v>
      </c>
      <c r="I240" s="36"/>
      <c r="L240" s="122"/>
      <c r="M240" s="122"/>
      <c r="N240" s="36"/>
      <c r="T240" s="21"/>
    </row>
    <row r="241" spans="1:20" s="108" customFormat="1" ht="15.6" customHeight="1" x14ac:dyDescent="0.25">
      <c r="A241" s="124" t="s">
        <v>421</v>
      </c>
      <c r="B241" s="125"/>
      <c r="C241" s="125"/>
      <c r="D241" s="125"/>
      <c r="E241" s="125"/>
      <c r="F241" s="125"/>
      <c r="G241" s="125"/>
      <c r="H241" s="126"/>
      <c r="J241" s="36"/>
    </row>
    <row r="242" spans="1:20" s="108" customFormat="1" ht="15.75" customHeight="1" x14ac:dyDescent="0.25">
      <c r="A242" s="120">
        <v>1</v>
      </c>
      <c r="B242" s="121"/>
      <c r="C242" s="107" t="s">
        <v>413</v>
      </c>
      <c r="D242" s="109">
        <f>(37.64)*10.764</f>
        <v>405.15695999999997</v>
      </c>
      <c r="E242" s="107">
        <v>0</v>
      </c>
      <c r="F242" s="107">
        <f>D242+E242</f>
        <v>405.15695999999997</v>
      </c>
      <c r="G242" s="107">
        <v>0</v>
      </c>
      <c r="H242" s="107">
        <f>F242*(($H$165)+1)+(IF(G242&lt;101,G242,IF(G242&lt;201,G242/2,IF(G242&lt;=301,G242/3,G242/4))))</f>
        <v>607.73543999999993</v>
      </c>
      <c r="I242" s="36"/>
      <c r="L242" s="122"/>
      <c r="M242" s="122"/>
      <c r="N242" s="36"/>
    </row>
    <row r="243" spans="1:20" s="108" customFormat="1" ht="15.75" customHeight="1" x14ac:dyDescent="0.25">
      <c r="A243" s="120">
        <f>A242+1</f>
        <v>2</v>
      </c>
      <c r="B243" s="121"/>
      <c r="C243" s="107" t="s">
        <v>413</v>
      </c>
      <c r="D243" s="109">
        <f>(37.64)*10.764</f>
        <v>405.15695999999997</v>
      </c>
      <c r="E243" s="107">
        <v>0</v>
      </c>
      <c r="F243" s="107">
        <f>D243+E243</f>
        <v>405.15695999999997</v>
      </c>
      <c r="G243" s="107">
        <v>0</v>
      </c>
      <c r="H243" s="107">
        <f>F243*(($H$165)+1)+(IF(G243&lt;101,G243,IF(G243&lt;201,G243/2,IF(G243&lt;=301,G243/3,G243/4))))</f>
        <v>607.73543999999993</v>
      </c>
      <c r="I243" s="36"/>
      <c r="L243" s="122"/>
      <c r="M243" s="122"/>
      <c r="N243" s="36"/>
    </row>
    <row r="244" spans="1:20" s="108" customFormat="1" ht="15.75" customHeight="1" x14ac:dyDescent="0.25">
      <c r="A244" s="120">
        <f>A243+1</f>
        <v>3</v>
      </c>
      <c r="B244" s="121"/>
      <c r="C244" s="107" t="s">
        <v>413</v>
      </c>
      <c r="D244" s="109">
        <f>(37.15)*10.764</f>
        <v>399.88259999999997</v>
      </c>
      <c r="E244" s="107">
        <v>0</v>
      </c>
      <c r="F244" s="107">
        <f>D244+E244</f>
        <v>399.88259999999997</v>
      </c>
      <c r="G244" s="107">
        <v>0</v>
      </c>
      <c r="H244" s="107">
        <f>F244*(($H$165)+1)+(IF(G244&lt;101,G244,IF(G244&lt;201,G244/2,IF(G244&lt;=301,G244/3,G244/4))))</f>
        <v>599.82389999999998</v>
      </c>
      <c r="I244" s="36"/>
      <c r="L244" s="122"/>
      <c r="M244" s="122"/>
      <c r="N244" s="36"/>
    </row>
    <row r="245" spans="1:20" s="108" customFormat="1" ht="15.75" customHeight="1" x14ac:dyDescent="0.25">
      <c r="A245" s="120">
        <f>A244+1</f>
        <v>4</v>
      </c>
      <c r="B245" s="121"/>
      <c r="C245" s="107" t="s">
        <v>413</v>
      </c>
      <c r="D245" s="109">
        <f>(37.15)*10.764</f>
        <v>399.88259999999997</v>
      </c>
      <c r="E245" s="107">
        <v>0</v>
      </c>
      <c r="F245" s="107">
        <f>D245+E245</f>
        <v>399.88259999999997</v>
      </c>
      <c r="G245" s="107">
        <v>0</v>
      </c>
      <c r="H245" s="107">
        <f>F245*(($H$165)+1)+(IF(G245&lt;101,G245,IF(G245&lt;201,G245/2,IF(G245&lt;=301,G245/3,G245/4))))</f>
        <v>599.82389999999998</v>
      </c>
      <c r="I245" s="36"/>
      <c r="L245" s="122"/>
      <c r="M245" s="122"/>
      <c r="N245" s="36"/>
      <c r="T245" s="21"/>
    </row>
    <row r="246" spans="1:20" s="108" customFormat="1" ht="15.6" customHeight="1" x14ac:dyDescent="0.25">
      <c r="A246" s="124" t="s">
        <v>422</v>
      </c>
      <c r="B246" s="125"/>
      <c r="C246" s="125"/>
      <c r="D246" s="125"/>
      <c r="E246" s="125"/>
      <c r="F246" s="125"/>
      <c r="G246" s="125"/>
      <c r="H246" s="126"/>
      <c r="J246" s="36"/>
    </row>
    <row r="247" spans="1:20" s="108" customFormat="1" ht="15.75" customHeight="1" x14ac:dyDescent="0.25">
      <c r="A247" s="120">
        <v>1</v>
      </c>
      <c r="B247" s="121"/>
      <c r="C247" s="107" t="s">
        <v>413</v>
      </c>
      <c r="D247" s="109">
        <f>(37.64)*10.764</f>
        <v>405.15695999999997</v>
      </c>
      <c r="E247" s="107">
        <v>0</v>
      </c>
      <c r="F247" s="107">
        <f>D247+E247</f>
        <v>405.15695999999997</v>
      </c>
      <c r="G247" s="107">
        <v>0</v>
      </c>
      <c r="H247" s="107">
        <f>F247*(($H$165)+1)+(IF(G247&lt;101,G247,IF(G247&lt;201,G247/2,IF(G247&lt;=301,G247/3,G247/4))))</f>
        <v>607.73543999999993</v>
      </c>
      <c r="I247" s="36"/>
      <c r="L247" s="122"/>
      <c r="M247" s="122"/>
      <c r="N247" s="36"/>
    </row>
    <row r="248" spans="1:20" s="108" customFormat="1" ht="15.75" customHeight="1" x14ac:dyDescent="0.25">
      <c r="A248" s="120">
        <f>A247+1</f>
        <v>2</v>
      </c>
      <c r="B248" s="121"/>
      <c r="C248" s="107" t="s">
        <v>413</v>
      </c>
      <c r="D248" s="109">
        <f>(37.64)*10.764</f>
        <v>405.15695999999997</v>
      </c>
      <c r="E248" s="107">
        <v>0</v>
      </c>
      <c r="F248" s="107">
        <f>D248+E248</f>
        <v>405.15695999999997</v>
      </c>
      <c r="G248" s="107">
        <v>0</v>
      </c>
      <c r="H248" s="107">
        <f>F248*(($H$165)+1)+(IF(G248&lt;101,G248,IF(G248&lt;201,G248/2,IF(G248&lt;=301,G248/3,G248/4))))</f>
        <v>607.73543999999993</v>
      </c>
      <c r="I248" s="36"/>
      <c r="L248" s="122"/>
      <c r="M248" s="122"/>
      <c r="N248" s="36"/>
    </row>
    <row r="249" spans="1:20" s="108" customFormat="1" ht="15.75" customHeight="1" x14ac:dyDescent="0.25">
      <c r="A249" s="120">
        <f>A248+1</f>
        <v>3</v>
      </c>
      <c r="B249" s="121"/>
      <c r="C249" s="107" t="s">
        <v>413</v>
      </c>
      <c r="D249" s="109">
        <f>(37.15)*10.764</f>
        <v>399.88259999999997</v>
      </c>
      <c r="E249" s="107">
        <v>0</v>
      </c>
      <c r="F249" s="107">
        <f>D249+E249</f>
        <v>399.88259999999997</v>
      </c>
      <c r="G249" s="107">
        <v>0</v>
      </c>
      <c r="H249" s="107">
        <f>F249*(($H$165)+1)+(IF(G249&lt;101,G249,IF(G249&lt;201,G249/2,IF(G249&lt;=301,G249/3,G249/4))))</f>
        <v>599.82389999999998</v>
      </c>
      <c r="I249" s="36"/>
      <c r="L249" s="122"/>
      <c r="M249" s="122"/>
      <c r="N249" s="36"/>
    </row>
    <row r="250" spans="1:20" s="108" customFormat="1" ht="15.75" customHeight="1" x14ac:dyDescent="0.25">
      <c r="A250" s="120">
        <f>A249+1</f>
        <v>4</v>
      </c>
      <c r="B250" s="121"/>
      <c r="C250" s="107" t="s">
        <v>413</v>
      </c>
      <c r="D250" s="109">
        <f>(37.15)*10.764</f>
        <v>399.88259999999997</v>
      </c>
      <c r="E250" s="107">
        <v>0</v>
      </c>
      <c r="F250" s="107">
        <f>D250+E250</f>
        <v>399.88259999999997</v>
      </c>
      <c r="G250" s="107">
        <v>0</v>
      </c>
      <c r="H250" s="107">
        <f>F250*(($H$165)+1)+(IF(G250&lt;101,G250,IF(G250&lt;201,G250/2,IF(G250&lt;=301,G250/3,G250/4))))</f>
        <v>599.82389999999998</v>
      </c>
      <c r="I250" s="36"/>
      <c r="L250" s="122"/>
      <c r="M250" s="122"/>
      <c r="N250" s="36"/>
      <c r="T250" s="21"/>
    </row>
    <row r="251" spans="1:20" s="108" customFormat="1" ht="15.6" customHeight="1" x14ac:dyDescent="0.25">
      <c r="A251" s="124" t="s">
        <v>424</v>
      </c>
      <c r="B251" s="125"/>
      <c r="C251" s="125"/>
      <c r="D251" s="125"/>
      <c r="E251" s="125"/>
      <c r="F251" s="125"/>
      <c r="G251" s="125"/>
      <c r="H251" s="126"/>
      <c r="J251" s="36"/>
    </row>
    <row r="252" spans="1:20" s="108" customFormat="1" ht="15.75" customHeight="1" x14ac:dyDescent="0.25">
      <c r="A252" s="120">
        <v>1</v>
      </c>
      <c r="B252" s="121"/>
      <c r="C252" s="107" t="s">
        <v>413</v>
      </c>
      <c r="D252" s="109">
        <f>(37.64)*10.764</f>
        <v>405.15695999999997</v>
      </c>
      <c r="E252" s="107">
        <v>0</v>
      </c>
      <c r="F252" s="107">
        <f>D252+E252</f>
        <v>405.15695999999997</v>
      </c>
      <c r="G252" s="107">
        <v>0</v>
      </c>
      <c r="H252" s="107">
        <f>F252*(($H$165)+1)+(IF(G252&lt;101,G252,IF(G252&lt;201,G252/2,IF(G252&lt;=301,G252/3,G252/4))))</f>
        <v>607.73543999999993</v>
      </c>
      <c r="I252" s="36"/>
      <c r="L252" s="122"/>
      <c r="M252" s="122"/>
      <c r="N252" s="36"/>
    </row>
    <row r="253" spans="1:20" s="108" customFormat="1" ht="15.75" customHeight="1" x14ac:dyDescent="0.25">
      <c r="A253" s="120">
        <f>A252+1</f>
        <v>2</v>
      </c>
      <c r="B253" s="121"/>
      <c r="C253" s="107" t="s">
        <v>413</v>
      </c>
      <c r="D253" s="109">
        <f>(37.64)*10.764</f>
        <v>405.15695999999997</v>
      </c>
      <c r="E253" s="107">
        <v>0</v>
      </c>
      <c r="F253" s="107">
        <f>D253+E253</f>
        <v>405.15695999999997</v>
      </c>
      <c r="G253" s="107">
        <v>0</v>
      </c>
      <c r="H253" s="107">
        <f>F253*(($H$165)+1)+(IF(G253&lt;101,G253,IF(G253&lt;201,G253/2,IF(G253&lt;=301,G253/3,G253/4))))</f>
        <v>607.73543999999993</v>
      </c>
      <c r="I253" s="36"/>
      <c r="L253" s="122"/>
      <c r="M253" s="122"/>
      <c r="N253" s="36"/>
    </row>
    <row r="254" spans="1:20" s="108" customFormat="1" ht="15.75" customHeight="1" x14ac:dyDescent="0.25">
      <c r="A254" s="120">
        <f>A253+1</f>
        <v>3</v>
      </c>
      <c r="B254" s="121"/>
      <c r="C254" s="107" t="s">
        <v>413</v>
      </c>
      <c r="D254" s="109">
        <f>(37.15)*10.764</f>
        <v>399.88259999999997</v>
      </c>
      <c r="E254" s="107">
        <v>0</v>
      </c>
      <c r="F254" s="107">
        <f>D254+E254</f>
        <v>399.88259999999997</v>
      </c>
      <c r="G254" s="107">
        <v>0</v>
      </c>
      <c r="H254" s="107">
        <f>F254*(($H$165)+1)+(IF(G254&lt;101,G254,IF(G254&lt;201,G254/2,IF(G254&lt;=301,G254/3,G254/4))))</f>
        <v>599.82389999999998</v>
      </c>
      <c r="I254" s="36"/>
      <c r="L254" s="122"/>
      <c r="M254" s="122"/>
      <c r="N254" s="36"/>
    </row>
    <row r="255" spans="1:20" s="108" customFormat="1" ht="15.75" customHeight="1" x14ac:dyDescent="0.25">
      <c r="A255" s="120">
        <f>A254+1</f>
        <v>4</v>
      </c>
      <c r="B255" s="121"/>
      <c r="C255" s="107" t="s">
        <v>413</v>
      </c>
      <c r="D255" s="109">
        <f>(37.15)*10.764</f>
        <v>399.88259999999997</v>
      </c>
      <c r="E255" s="107">
        <v>0</v>
      </c>
      <c r="F255" s="107">
        <f>D255+E255</f>
        <v>399.88259999999997</v>
      </c>
      <c r="G255" s="107">
        <v>0</v>
      </c>
      <c r="H255" s="107">
        <f>F255*(($H$165)+1)+(IF(G255&lt;101,G255,IF(G255&lt;201,G255/2,IF(G255&lt;=301,G255/3,G255/4))))</f>
        <v>599.82389999999998</v>
      </c>
      <c r="I255" s="36"/>
      <c r="L255" s="122"/>
      <c r="M255" s="122"/>
      <c r="N255" s="36"/>
      <c r="T255" s="21"/>
    </row>
    <row r="256" spans="1:20" s="108" customFormat="1" ht="15.6" customHeight="1" x14ac:dyDescent="0.25">
      <c r="A256" s="124" t="s">
        <v>426</v>
      </c>
      <c r="B256" s="125"/>
      <c r="C256" s="125"/>
      <c r="D256" s="125"/>
      <c r="E256" s="125"/>
      <c r="F256" s="125"/>
      <c r="G256" s="125"/>
      <c r="H256" s="126"/>
      <c r="J256" s="36"/>
    </row>
    <row r="257" spans="1:20" s="108" customFormat="1" ht="15.75" customHeight="1" x14ac:dyDescent="0.25">
      <c r="A257" s="120">
        <v>1</v>
      </c>
      <c r="B257" s="121"/>
      <c r="C257" s="107" t="s">
        <v>413</v>
      </c>
      <c r="D257" s="109">
        <f>(37.64)*10.764</f>
        <v>405.15695999999997</v>
      </c>
      <c r="E257" s="107">
        <v>0</v>
      </c>
      <c r="F257" s="107">
        <f>D257+E257</f>
        <v>405.15695999999997</v>
      </c>
      <c r="G257" s="107">
        <v>0</v>
      </c>
      <c r="H257" s="107">
        <f>F257*(($H$165)+1)+(IF(G257&lt;101,G257,IF(G257&lt;201,G257/2,IF(G257&lt;=301,G257/3,G257/4))))</f>
        <v>607.73543999999993</v>
      </c>
      <c r="I257" s="36"/>
      <c r="L257" s="122"/>
      <c r="M257" s="122"/>
      <c r="N257" s="36"/>
    </row>
    <row r="258" spans="1:20" s="108" customFormat="1" ht="15.75" customHeight="1" x14ac:dyDescent="0.25">
      <c r="A258" s="120">
        <f>A257+1</f>
        <v>2</v>
      </c>
      <c r="B258" s="121"/>
      <c r="C258" s="107" t="s">
        <v>413</v>
      </c>
      <c r="D258" s="109">
        <f>(37.64)*10.764</f>
        <v>405.15695999999997</v>
      </c>
      <c r="E258" s="107">
        <v>0</v>
      </c>
      <c r="F258" s="107">
        <f>D258+E258</f>
        <v>405.15695999999997</v>
      </c>
      <c r="G258" s="107">
        <v>0</v>
      </c>
      <c r="H258" s="107">
        <f>F258*(($H$165)+1)+(IF(G258&lt;101,G258,IF(G258&lt;201,G258/2,IF(G258&lt;=301,G258/3,G258/4))))</f>
        <v>607.73543999999993</v>
      </c>
      <c r="I258" s="36"/>
      <c r="L258" s="122"/>
      <c r="M258" s="122"/>
      <c r="N258" s="36"/>
    </row>
    <row r="259" spans="1:20" s="108" customFormat="1" ht="15.75" customHeight="1" x14ac:dyDescent="0.25">
      <c r="A259" s="120">
        <f>A258+1</f>
        <v>3</v>
      </c>
      <c r="B259" s="121"/>
      <c r="C259" s="107" t="s">
        <v>413</v>
      </c>
      <c r="D259" s="109">
        <f>(37.15)*10.764</f>
        <v>399.88259999999997</v>
      </c>
      <c r="E259" s="107">
        <v>0</v>
      </c>
      <c r="F259" s="107">
        <f>D259+E259</f>
        <v>399.88259999999997</v>
      </c>
      <c r="G259" s="107">
        <v>0</v>
      </c>
      <c r="H259" s="107">
        <f>F259*(($H$165)+1)+(IF(G259&lt;101,G259,IF(G259&lt;201,G259/2,IF(G259&lt;=301,G259/3,G259/4))))</f>
        <v>599.82389999999998</v>
      </c>
      <c r="I259" s="36"/>
      <c r="L259" s="122"/>
      <c r="M259" s="122"/>
      <c r="N259" s="36"/>
    </row>
    <row r="260" spans="1:20" s="108" customFormat="1" ht="15.75" customHeight="1" x14ac:dyDescent="0.25">
      <c r="A260" s="120">
        <f>A259+1</f>
        <v>4</v>
      </c>
      <c r="B260" s="121"/>
      <c r="C260" s="107" t="s">
        <v>413</v>
      </c>
      <c r="D260" s="109">
        <f>(37.15)*10.764</f>
        <v>399.88259999999997</v>
      </c>
      <c r="E260" s="107">
        <v>0</v>
      </c>
      <c r="F260" s="107">
        <f>D260+E260</f>
        <v>399.88259999999997</v>
      </c>
      <c r="G260" s="107">
        <v>0</v>
      </c>
      <c r="H260" s="107">
        <f>F260*(($H$165)+1)+(IF(G260&lt;101,G260,IF(G260&lt;201,G260/2,IF(G260&lt;=301,G260/3,G260/4))))</f>
        <v>599.82389999999998</v>
      </c>
      <c r="I260" s="36"/>
      <c r="L260" s="122"/>
      <c r="M260" s="122"/>
      <c r="N260" s="36"/>
      <c r="T260" s="21"/>
    </row>
    <row r="261" spans="1:20" s="103" customFormat="1" x14ac:dyDescent="0.25">
      <c r="A261" s="132" t="s">
        <v>411</v>
      </c>
      <c r="B261" s="133"/>
      <c r="C261" s="133"/>
      <c r="D261" s="133"/>
      <c r="E261" s="133"/>
      <c r="F261" s="133"/>
      <c r="G261" s="133"/>
      <c r="H261" s="134"/>
      <c r="J261" s="36"/>
    </row>
    <row r="262" spans="1:20" s="103" customFormat="1" x14ac:dyDescent="0.25">
      <c r="A262" s="124" t="s">
        <v>438</v>
      </c>
      <c r="B262" s="125"/>
      <c r="C262" s="125"/>
      <c r="D262" s="125"/>
      <c r="E262" s="125"/>
      <c r="F262" s="125"/>
      <c r="G262" s="125"/>
      <c r="H262" s="126"/>
      <c r="J262" s="36"/>
    </row>
    <row r="263" spans="1:20" s="103" customFormat="1" ht="15.6" customHeight="1" x14ac:dyDescent="0.25">
      <c r="A263" s="124" t="s">
        <v>414</v>
      </c>
      <c r="B263" s="125"/>
      <c r="C263" s="125"/>
      <c r="D263" s="125"/>
      <c r="E263" s="125"/>
      <c r="F263" s="125"/>
      <c r="G263" s="125"/>
      <c r="H263" s="126"/>
      <c r="J263" s="36"/>
    </row>
    <row r="264" spans="1:20" s="103" customFormat="1" ht="15.75" customHeight="1" x14ac:dyDescent="0.25">
      <c r="A264" s="120">
        <v>1</v>
      </c>
      <c r="B264" s="121"/>
      <c r="C264" s="104" t="s">
        <v>412</v>
      </c>
      <c r="D264" s="109">
        <f>(57.93)*10.764</f>
        <v>623.55851999999993</v>
      </c>
      <c r="E264" s="104">
        <v>0</v>
      </c>
      <c r="F264" s="104">
        <f>D264+E264</f>
        <v>623.55851999999993</v>
      </c>
      <c r="G264" s="104">
        <v>0</v>
      </c>
      <c r="H264" s="104">
        <f>F264*(($H$165)+1)+(IF(G264&lt;101,G264,IF(G264&lt;201,G264/2,IF(G264&lt;=301,G264/3,G264/4))))</f>
        <v>935.33777999999984</v>
      </c>
      <c r="I264" s="36"/>
      <c r="L264" s="122"/>
      <c r="M264" s="122"/>
      <c r="N264" s="36"/>
    </row>
    <row r="265" spans="1:20" s="103" customFormat="1" ht="15.75" customHeight="1" x14ac:dyDescent="0.25">
      <c r="A265" s="120">
        <f>A264+1</f>
        <v>2</v>
      </c>
      <c r="B265" s="121"/>
      <c r="C265" s="104" t="s">
        <v>412</v>
      </c>
      <c r="D265" s="109">
        <f>(56.76)*10.764</f>
        <v>610.96463999999992</v>
      </c>
      <c r="E265" s="104">
        <v>0</v>
      </c>
      <c r="F265" s="104">
        <f>D265+E265</f>
        <v>610.96463999999992</v>
      </c>
      <c r="G265" s="104">
        <v>0</v>
      </c>
      <c r="H265" s="104">
        <f>F265*(($H$165)+1)+(IF(G265&lt;101,G265,IF(G265&lt;201,G265/2,IF(G265&lt;=301,G265/3,G265/4))))</f>
        <v>916.44695999999988</v>
      </c>
      <c r="I265" s="36"/>
      <c r="L265" s="122"/>
      <c r="M265" s="122"/>
      <c r="N265" s="36"/>
    </row>
    <row r="266" spans="1:20" s="103" customFormat="1" ht="15.75" customHeight="1" x14ac:dyDescent="0.25">
      <c r="A266" s="120">
        <f>A265+1</f>
        <v>3</v>
      </c>
      <c r="B266" s="121"/>
      <c r="C266" s="104" t="s">
        <v>412</v>
      </c>
      <c r="D266" s="109">
        <f>(56.76)*10.764</f>
        <v>610.96463999999992</v>
      </c>
      <c r="E266" s="104">
        <v>0</v>
      </c>
      <c r="F266" s="104">
        <f>D266+E266</f>
        <v>610.96463999999992</v>
      </c>
      <c r="G266" s="104">
        <v>0</v>
      </c>
      <c r="H266" s="104">
        <f>F266*(($H$165)+1)+(IF(G266&lt;101,G266,IF(G266&lt;201,G266/2,IF(G266&lt;=301,G266/3,G266/4))))</f>
        <v>916.44695999999988</v>
      </c>
      <c r="I266" s="36"/>
      <c r="L266" s="122"/>
      <c r="M266" s="122"/>
      <c r="N266" s="36"/>
    </row>
    <row r="267" spans="1:20" s="103" customFormat="1" ht="15.75" customHeight="1" x14ac:dyDescent="0.25">
      <c r="A267" s="120">
        <f>A266+1</f>
        <v>4</v>
      </c>
      <c r="B267" s="121"/>
      <c r="C267" s="104" t="s">
        <v>412</v>
      </c>
      <c r="D267" s="109">
        <f>(57.93)*10.764</f>
        <v>623.55851999999993</v>
      </c>
      <c r="E267" s="104">
        <v>0</v>
      </c>
      <c r="F267" s="104">
        <f>D267+E267</f>
        <v>623.55851999999993</v>
      </c>
      <c r="G267" s="104">
        <v>0</v>
      </c>
      <c r="H267" s="104">
        <f>F267*(($H$165)+1)+(IF(G267&lt;101,G267,IF(G267&lt;201,G267/2,IF(G267&lt;=301,G267/3,G267/4))))</f>
        <v>935.33777999999984</v>
      </c>
      <c r="I267" s="36"/>
      <c r="L267" s="122"/>
      <c r="M267" s="122"/>
      <c r="N267" s="36"/>
      <c r="T267" s="21"/>
    </row>
    <row r="268" spans="1:20" s="103" customFormat="1" ht="15.6" customHeight="1" x14ac:dyDescent="0.25">
      <c r="A268" s="124" t="s">
        <v>415</v>
      </c>
      <c r="B268" s="125"/>
      <c r="C268" s="125"/>
      <c r="D268" s="125"/>
      <c r="E268" s="125"/>
      <c r="F268" s="125"/>
      <c r="G268" s="125"/>
      <c r="H268" s="126"/>
      <c r="J268" s="36"/>
    </row>
    <row r="269" spans="1:20" s="103" customFormat="1" ht="15.75" customHeight="1" x14ac:dyDescent="0.25">
      <c r="A269" s="120">
        <v>1</v>
      </c>
      <c r="B269" s="121"/>
      <c r="C269" s="104" t="s">
        <v>412</v>
      </c>
      <c r="D269" s="109">
        <f>(57.93)*10.764</f>
        <v>623.55851999999993</v>
      </c>
      <c r="E269" s="104">
        <v>0</v>
      </c>
      <c r="F269" s="104">
        <f>D269+E269</f>
        <v>623.55851999999993</v>
      </c>
      <c r="G269" s="104">
        <v>0</v>
      </c>
      <c r="H269" s="104">
        <f>F269*(($H$165)+1)+(IF(G269&lt;101,G269,IF(G269&lt;201,G269/2,IF(G269&lt;=301,G269/3,G269/4))))</f>
        <v>935.33777999999984</v>
      </c>
      <c r="I269" s="36"/>
      <c r="L269" s="122"/>
      <c r="M269" s="122"/>
      <c r="N269" s="36"/>
    </row>
    <row r="270" spans="1:20" s="103" customFormat="1" ht="15.75" customHeight="1" x14ac:dyDescent="0.25">
      <c r="A270" s="120">
        <f>A269+1</f>
        <v>2</v>
      </c>
      <c r="B270" s="121"/>
      <c r="C270" s="104" t="s">
        <v>412</v>
      </c>
      <c r="D270" s="109">
        <f>(56.76)*10.764</f>
        <v>610.96463999999992</v>
      </c>
      <c r="E270" s="104">
        <v>0</v>
      </c>
      <c r="F270" s="104">
        <f>D270+E270</f>
        <v>610.96463999999992</v>
      </c>
      <c r="G270" s="104">
        <v>0</v>
      </c>
      <c r="H270" s="104">
        <f>F270*(($H$165)+1)+(IF(G270&lt;101,G270,IF(G270&lt;201,G270/2,IF(G270&lt;=301,G270/3,G270/4))))</f>
        <v>916.44695999999988</v>
      </c>
      <c r="I270" s="36"/>
      <c r="L270" s="122"/>
      <c r="M270" s="122"/>
      <c r="N270" s="36"/>
    </row>
    <row r="271" spans="1:20" s="103" customFormat="1" ht="15.75" customHeight="1" x14ac:dyDescent="0.25">
      <c r="A271" s="120">
        <f>A270+1</f>
        <v>3</v>
      </c>
      <c r="B271" s="121"/>
      <c r="C271" s="104" t="s">
        <v>412</v>
      </c>
      <c r="D271" s="109">
        <f>(56.76)*10.764</f>
        <v>610.96463999999992</v>
      </c>
      <c r="E271" s="104">
        <v>0</v>
      </c>
      <c r="F271" s="104">
        <f>D271+E271</f>
        <v>610.96463999999992</v>
      </c>
      <c r="G271" s="104">
        <v>0</v>
      </c>
      <c r="H271" s="104">
        <f>F271*(($H$165)+1)+(IF(G271&lt;101,G271,IF(G271&lt;201,G271/2,IF(G271&lt;=301,G271/3,G271/4))))</f>
        <v>916.44695999999988</v>
      </c>
      <c r="I271" s="36"/>
      <c r="L271" s="122"/>
      <c r="M271" s="122"/>
      <c r="N271" s="36"/>
    </row>
    <row r="272" spans="1:20" s="103" customFormat="1" ht="15.75" customHeight="1" x14ac:dyDescent="0.25">
      <c r="A272" s="120">
        <f>A271+1</f>
        <v>4</v>
      </c>
      <c r="B272" s="121"/>
      <c r="C272" s="104" t="s">
        <v>416</v>
      </c>
      <c r="D272" s="120" t="s">
        <v>417</v>
      </c>
      <c r="E272" s="123"/>
      <c r="F272" s="123"/>
      <c r="G272" s="123"/>
      <c r="H272" s="121"/>
      <c r="I272" s="36"/>
      <c r="L272" s="122"/>
      <c r="M272" s="122"/>
      <c r="N272" s="36"/>
      <c r="T272" s="21"/>
    </row>
    <row r="273" spans="1:20" s="108" customFormat="1" ht="15.6" customHeight="1" x14ac:dyDescent="0.25">
      <c r="A273" s="124" t="s">
        <v>418</v>
      </c>
      <c r="B273" s="125"/>
      <c r="C273" s="125"/>
      <c r="D273" s="125"/>
      <c r="E273" s="125"/>
      <c r="F273" s="125"/>
      <c r="G273" s="125"/>
      <c r="H273" s="126"/>
      <c r="J273" s="36"/>
    </row>
    <row r="274" spans="1:20" s="108" customFormat="1" ht="15.75" customHeight="1" x14ac:dyDescent="0.25">
      <c r="A274" s="120">
        <v>1</v>
      </c>
      <c r="B274" s="121"/>
      <c r="C274" s="107" t="s">
        <v>412</v>
      </c>
      <c r="D274" s="109">
        <f>(57.93)*10.764</f>
        <v>623.55851999999993</v>
      </c>
      <c r="E274" s="107">
        <v>0</v>
      </c>
      <c r="F274" s="107">
        <f>D274+E274</f>
        <v>623.55851999999993</v>
      </c>
      <c r="G274" s="107">
        <v>0</v>
      </c>
      <c r="H274" s="107">
        <f>F274*(($H$165)+1)+(IF(G274&lt;101,G274,IF(G274&lt;201,G274/2,IF(G274&lt;=301,G274/3,G274/4))))</f>
        <v>935.33777999999984</v>
      </c>
      <c r="I274" s="36"/>
      <c r="L274" s="122"/>
      <c r="M274" s="122"/>
      <c r="N274" s="36"/>
    </row>
    <row r="275" spans="1:20" s="108" customFormat="1" ht="15.75" customHeight="1" x14ac:dyDescent="0.25">
      <c r="A275" s="120">
        <f>A274+1</f>
        <v>2</v>
      </c>
      <c r="B275" s="121"/>
      <c r="C275" s="107" t="s">
        <v>412</v>
      </c>
      <c r="D275" s="109">
        <f>(56.76)*10.764</f>
        <v>610.96463999999992</v>
      </c>
      <c r="E275" s="107">
        <v>0</v>
      </c>
      <c r="F275" s="107">
        <f>D275+E275</f>
        <v>610.96463999999992</v>
      </c>
      <c r="G275" s="107">
        <v>0</v>
      </c>
      <c r="H275" s="107">
        <f>F275*(($H$165)+1)+(IF(G275&lt;101,G275,IF(G275&lt;201,G275/2,IF(G275&lt;=301,G275/3,G275/4))))</f>
        <v>916.44695999999988</v>
      </c>
      <c r="I275" s="36"/>
      <c r="L275" s="122"/>
      <c r="M275" s="122"/>
      <c r="N275" s="36"/>
    </row>
    <row r="276" spans="1:20" s="108" customFormat="1" ht="15.75" customHeight="1" x14ac:dyDescent="0.25">
      <c r="A276" s="120">
        <f>A275+1</f>
        <v>3</v>
      </c>
      <c r="B276" s="121"/>
      <c r="C276" s="107" t="s">
        <v>412</v>
      </c>
      <c r="D276" s="109">
        <f>(56.76)*10.764</f>
        <v>610.96463999999992</v>
      </c>
      <c r="E276" s="107">
        <v>0</v>
      </c>
      <c r="F276" s="107">
        <f>D276+E276</f>
        <v>610.96463999999992</v>
      </c>
      <c r="G276" s="107">
        <v>0</v>
      </c>
      <c r="H276" s="107">
        <f>F276*(($H$165)+1)+(IF(G276&lt;101,G276,IF(G276&lt;201,G276/2,IF(G276&lt;=301,G276/3,G276/4))))</f>
        <v>916.44695999999988</v>
      </c>
      <c r="I276" s="36"/>
      <c r="L276" s="122"/>
      <c r="M276" s="122"/>
      <c r="N276" s="36"/>
    </row>
    <row r="277" spans="1:20" s="108" customFormat="1" ht="15.75" customHeight="1" x14ac:dyDescent="0.25">
      <c r="A277" s="120">
        <f>A276+1</f>
        <v>4</v>
      </c>
      <c r="B277" s="121"/>
      <c r="C277" s="107" t="s">
        <v>412</v>
      </c>
      <c r="D277" s="109">
        <f>(57.93)*10.764</f>
        <v>623.55851999999993</v>
      </c>
      <c r="E277" s="107">
        <v>0</v>
      </c>
      <c r="F277" s="107">
        <f>D277+E277</f>
        <v>623.55851999999993</v>
      </c>
      <c r="G277" s="107">
        <v>0</v>
      </c>
      <c r="H277" s="107">
        <f>F277*(($H$165)+1)+(IF(G277&lt;101,G277,IF(G277&lt;201,G277/2,IF(G277&lt;=301,G277/3,G277/4))))</f>
        <v>935.33777999999984</v>
      </c>
      <c r="I277" s="36"/>
      <c r="L277" s="122"/>
      <c r="M277" s="122"/>
      <c r="N277" s="36"/>
      <c r="T277" s="21"/>
    </row>
    <row r="278" spans="1:20" s="108" customFormat="1" ht="15.6" customHeight="1" x14ac:dyDescent="0.25">
      <c r="A278" s="124" t="s">
        <v>419</v>
      </c>
      <c r="B278" s="125"/>
      <c r="C278" s="125"/>
      <c r="D278" s="125"/>
      <c r="E278" s="125"/>
      <c r="F278" s="125"/>
      <c r="G278" s="125"/>
      <c r="H278" s="126"/>
      <c r="J278" s="36"/>
    </row>
    <row r="279" spans="1:20" s="108" customFormat="1" ht="15.75" customHeight="1" x14ac:dyDescent="0.25">
      <c r="A279" s="120">
        <v>1</v>
      </c>
      <c r="B279" s="121"/>
      <c r="C279" s="107" t="s">
        <v>412</v>
      </c>
      <c r="D279" s="109">
        <f>(57.93)*10.764</f>
        <v>623.55851999999993</v>
      </c>
      <c r="E279" s="107">
        <v>0</v>
      </c>
      <c r="F279" s="107">
        <f>D279+E279</f>
        <v>623.55851999999993</v>
      </c>
      <c r="G279" s="107">
        <v>0</v>
      </c>
      <c r="H279" s="107">
        <f>F279*(($H$165)+1)+(IF(G279&lt;101,G279,IF(G279&lt;201,G279/2,IF(G279&lt;=301,G279/3,G279/4))))</f>
        <v>935.33777999999984</v>
      </c>
      <c r="I279" s="36"/>
      <c r="L279" s="122"/>
      <c r="M279" s="122"/>
      <c r="N279" s="36"/>
    </row>
    <row r="280" spans="1:20" s="108" customFormat="1" ht="15.75" customHeight="1" x14ac:dyDescent="0.25">
      <c r="A280" s="120">
        <f>A279+1</f>
        <v>2</v>
      </c>
      <c r="B280" s="121"/>
      <c r="C280" s="107" t="s">
        <v>412</v>
      </c>
      <c r="D280" s="109">
        <f>(56.76)*10.764</f>
        <v>610.96463999999992</v>
      </c>
      <c r="E280" s="107">
        <v>0</v>
      </c>
      <c r="F280" s="107">
        <f>D280+E280</f>
        <v>610.96463999999992</v>
      </c>
      <c r="G280" s="107">
        <v>0</v>
      </c>
      <c r="H280" s="107">
        <f>F280*(($H$165)+1)+(IF(G280&lt;101,G280,IF(G280&lt;201,G280/2,IF(G280&lt;=301,G280/3,G280/4))))</f>
        <v>916.44695999999988</v>
      </c>
      <c r="I280" s="36"/>
      <c r="L280" s="122"/>
      <c r="M280" s="122"/>
      <c r="N280" s="36"/>
    </row>
    <row r="281" spans="1:20" s="108" customFormat="1" ht="15.75" customHeight="1" x14ac:dyDescent="0.25">
      <c r="A281" s="120">
        <f>A280+1</f>
        <v>3</v>
      </c>
      <c r="B281" s="121"/>
      <c r="C281" s="107" t="s">
        <v>412</v>
      </c>
      <c r="D281" s="109">
        <f>(56.76)*10.764</f>
        <v>610.96463999999992</v>
      </c>
      <c r="E281" s="107">
        <v>0</v>
      </c>
      <c r="F281" s="107">
        <f>D281+E281</f>
        <v>610.96463999999992</v>
      </c>
      <c r="G281" s="107">
        <v>0</v>
      </c>
      <c r="H281" s="107">
        <f>F281*(($H$165)+1)+(IF(G281&lt;101,G281,IF(G281&lt;201,G281/2,IF(G281&lt;=301,G281/3,G281/4))))</f>
        <v>916.44695999999988</v>
      </c>
      <c r="I281" s="36"/>
      <c r="L281" s="122"/>
      <c r="M281" s="122"/>
      <c r="N281" s="36"/>
    </row>
    <row r="282" spans="1:20" s="108" customFormat="1" ht="15.75" customHeight="1" x14ac:dyDescent="0.25">
      <c r="A282" s="120">
        <f>A281+1</f>
        <v>4</v>
      </c>
      <c r="B282" s="121"/>
      <c r="C282" s="107" t="s">
        <v>416</v>
      </c>
      <c r="D282" s="120" t="s">
        <v>417</v>
      </c>
      <c r="E282" s="123"/>
      <c r="F282" s="123"/>
      <c r="G282" s="123"/>
      <c r="H282" s="121"/>
      <c r="I282" s="36"/>
      <c r="L282" s="122"/>
      <c r="M282" s="122"/>
      <c r="N282" s="36"/>
      <c r="T282" s="21"/>
    </row>
    <row r="283" spans="1:20" s="108" customFormat="1" ht="15.6" customHeight="1" x14ac:dyDescent="0.25">
      <c r="A283" s="124" t="s">
        <v>420</v>
      </c>
      <c r="B283" s="125"/>
      <c r="C283" s="125"/>
      <c r="D283" s="125"/>
      <c r="E283" s="125"/>
      <c r="F283" s="125"/>
      <c r="G283" s="125"/>
      <c r="H283" s="126"/>
      <c r="J283" s="36"/>
    </row>
    <row r="284" spans="1:20" s="108" customFormat="1" ht="15.75" customHeight="1" x14ac:dyDescent="0.25">
      <c r="A284" s="120">
        <v>1</v>
      </c>
      <c r="B284" s="121"/>
      <c r="C284" s="107" t="s">
        <v>412</v>
      </c>
      <c r="D284" s="109">
        <f>(57.93)*10.764</f>
        <v>623.55851999999993</v>
      </c>
      <c r="E284" s="107">
        <v>0</v>
      </c>
      <c r="F284" s="107">
        <f>D284+E284</f>
        <v>623.55851999999993</v>
      </c>
      <c r="G284" s="107">
        <v>0</v>
      </c>
      <c r="H284" s="107">
        <f>F284*(($H$165)+1)+(IF(G284&lt;101,G284,IF(G284&lt;201,G284/2,IF(G284&lt;=301,G284/3,G284/4))))</f>
        <v>935.33777999999984</v>
      </c>
      <c r="I284" s="36"/>
      <c r="L284" s="122"/>
      <c r="M284" s="122"/>
      <c r="N284" s="36"/>
    </row>
    <row r="285" spans="1:20" s="108" customFormat="1" ht="15.75" customHeight="1" x14ac:dyDescent="0.25">
      <c r="A285" s="120">
        <f>A284+1</f>
        <v>2</v>
      </c>
      <c r="B285" s="121"/>
      <c r="C285" s="107" t="s">
        <v>412</v>
      </c>
      <c r="D285" s="109">
        <f>(56.76)*10.764</f>
        <v>610.96463999999992</v>
      </c>
      <c r="E285" s="107">
        <v>0</v>
      </c>
      <c r="F285" s="107">
        <f>D285+E285</f>
        <v>610.96463999999992</v>
      </c>
      <c r="G285" s="107">
        <v>0</v>
      </c>
      <c r="H285" s="107">
        <f>F285*(($H$165)+1)+(IF(G285&lt;101,G285,IF(G285&lt;201,G285/2,IF(G285&lt;=301,G285/3,G285/4))))</f>
        <v>916.44695999999988</v>
      </c>
      <c r="I285" s="36"/>
      <c r="L285" s="122"/>
      <c r="M285" s="122"/>
      <c r="N285" s="36"/>
    </row>
    <row r="286" spans="1:20" s="108" customFormat="1" ht="15.75" customHeight="1" x14ac:dyDescent="0.25">
      <c r="A286" s="120">
        <f>A285+1</f>
        <v>3</v>
      </c>
      <c r="B286" s="121"/>
      <c r="C286" s="107" t="s">
        <v>412</v>
      </c>
      <c r="D286" s="109">
        <f>(56.76)*10.764</f>
        <v>610.96463999999992</v>
      </c>
      <c r="E286" s="107">
        <v>0</v>
      </c>
      <c r="F286" s="107">
        <f>D286+E286</f>
        <v>610.96463999999992</v>
      </c>
      <c r="G286" s="107">
        <v>0</v>
      </c>
      <c r="H286" s="107">
        <f>F286*(($H$165)+1)+(IF(G286&lt;101,G286,IF(G286&lt;201,G286/2,IF(G286&lt;=301,G286/3,G286/4))))</f>
        <v>916.44695999999988</v>
      </c>
      <c r="I286" s="36"/>
      <c r="L286" s="122"/>
      <c r="M286" s="122"/>
      <c r="N286" s="36"/>
    </row>
    <row r="287" spans="1:20" s="108" customFormat="1" ht="15.75" customHeight="1" x14ac:dyDescent="0.25">
      <c r="A287" s="120">
        <f>A286+1</f>
        <v>4</v>
      </c>
      <c r="B287" s="121"/>
      <c r="C287" s="107" t="s">
        <v>412</v>
      </c>
      <c r="D287" s="109">
        <f>(57.93)*10.764</f>
        <v>623.55851999999993</v>
      </c>
      <c r="E287" s="107">
        <v>0</v>
      </c>
      <c r="F287" s="107">
        <f>D287+E287</f>
        <v>623.55851999999993</v>
      </c>
      <c r="G287" s="107">
        <v>0</v>
      </c>
      <c r="H287" s="107">
        <f>F287*(($H$165)+1)+(IF(G287&lt;101,G287,IF(G287&lt;201,G287/2,IF(G287&lt;=301,G287/3,G287/4))))</f>
        <v>935.33777999999984</v>
      </c>
      <c r="I287" s="36"/>
      <c r="L287" s="122"/>
      <c r="M287" s="122"/>
      <c r="N287" s="36"/>
      <c r="T287" s="21"/>
    </row>
    <row r="288" spans="1:20" s="108" customFormat="1" ht="15.6" customHeight="1" x14ac:dyDescent="0.25">
      <c r="A288" s="124" t="s">
        <v>421</v>
      </c>
      <c r="B288" s="125"/>
      <c r="C288" s="125"/>
      <c r="D288" s="125"/>
      <c r="E288" s="125"/>
      <c r="F288" s="125"/>
      <c r="G288" s="125"/>
      <c r="H288" s="126"/>
      <c r="J288" s="36"/>
    </row>
    <row r="289" spans="1:20" s="108" customFormat="1" ht="15.75" customHeight="1" x14ac:dyDescent="0.25">
      <c r="A289" s="120">
        <v>1</v>
      </c>
      <c r="B289" s="121"/>
      <c r="C289" s="107" t="s">
        <v>412</v>
      </c>
      <c r="D289" s="109">
        <f>(57.93)*10.764</f>
        <v>623.55851999999993</v>
      </c>
      <c r="E289" s="107">
        <v>0</v>
      </c>
      <c r="F289" s="107">
        <f>D289+E289</f>
        <v>623.55851999999993</v>
      </c>
      <c r="G289" s="107">
        <v>0</v>
      </c>
      <c r="H289" s="107">
        <f>F289*(($H$165)+1)+(IF(G289&lt;101,G289,IF(G289&lt;201,G289/2,IF(G289&lt;=301,G289/3,G289/4))))</f>
        <v>935.33777999999984</v>
      </c>
      <c r="I289" s="36">
        <f>4.95*3.05+2.35*1.7+2.3*2.4+3.2*3.05+1*2.2+1*1.85+3.6*3.05+1.2*2.4+1.2*2.4+0.75*2.3</f>
        <v>56.88750000000001</v>
      </c>
      <c r="L289" s="122"/>
      <c r="M289" s="122"/>
      <c r="N289" s="36"/>
    </row>
    <row r="290" spans="1:20" s="108" customFormat="1" ht="15.75" customHeight="1" x14ac:dyDescent="0.25">
      <c r="A290" s="120">
        <f>A289+1</f>
        <v>2</v>
      </c>
      <c r="B290" s="121"/>
      <c r="C290" s="107" t="s">
        <v>412</v>
      </c>
      <c r="D290" s="109">
        <f>(56.76)*10.764</f>
        <v>610.96463999999992</v>
      </c>
      <c r="E290" s="107">
        <v>0</v>
      </c>
      <c r="F290" s="107">
        <f>D290+E290</f>
        <v>610.96463999999992</v>
      </c>
      <c r="G290" s="107">
        <v>0</v>
      </c>
      <c r="H290" s="107">
        <f>F290*(($H$165)+1)+(IF(G290&lt;101,G290,IF(G290&lt;201,G290/2,IF(G290&lt;=301,G290/3,G290/4))))</f>
        <v>916.44695999999988</v>
      </c>
      <c r="I290" s="36"/>
      <c r="L290" s="122"/>
      <c r="M290" s="122"/>
      <c r="N290" s="36"/>
    </row>
    <row r="291" spans="1:20" s="108" customFormat="1" ht="15.75" customHeight="1" x14ac:dyDescent="0.25">
      <c r="A291" s="120">
        <f>A290+1</f>
        <v>3</v>
      </c>
      <c r="B291" s="121"/>
      <c r="C291" s="107" t="s">
        <v>412</v>
      </c>
      <c r="D291" s="109">
        <f>(56.76)*10.764</f>
        <v>610.96463999999992</v>
      </c>
      <c r="E291" s="107">
        <v>0</v>
      </c>
      <c r="F291" s="107">
        <f>D291+E291</f>
        <v>610.96463999999992</v>
      </c>
      <c r="G291" s="107">
        <v>0</v>
      </c>
      <c r="H291" s="107">
        <f>F291*(($H$165)+1)+(IF(G291&lt;101,G291,IF(G291&lt;201,G291/2,IF(G291&lt;=301,G291/3,G291/4))))</f>
        <v>916.44695999999988</v>
      </c>
      <c r="I291" s="36"/>
      <c r="L291" s="122"/>
      <c r="M291" s="122"/>
      <c r="N291" s="36"/>
    </row>
    <row r="292" spans="1:20" s="108" customFormat="1" ht="15.75" customHeight="1" x14ac:dyDescent="0.25">
      <c r="A292" s="120">
        <f>A291+1</f>
        <v>4</v>
      </c>
      <c r="B292" s="121"/>
      <c r="C292" s="107" t="s">
        <v>412</v>
      </c>
      <c r="D292" s="109">
        <f>(57.93)*10.764</f>
        <v>623.55851999999993</v>
      </c>
      <c r="E292" s="107">
        <v>0</v>
      </c>
      <c r="F292" s="107">
        <f>D292+E292</f>
        <v>623.55851999999993</v>
      </c>
      <c r="G292" s="107">
        <v>0</v>
      </c>
      <c r="H292" s="107">
        <f>F292*(($H$165)+1)+(IF(G292&lt;101,G292,IF(G292&lt;201,G292/2,IF(G292&lt;=301,G292/3,G292/4))))</f>
        <v>935.33777999999984</v>
      </c>
      <c r="I292" s="36"/>
      <c r="L292" s="122"/>
      <c r="M292" s="122"/>
      <c r="N292" s="36"/>
      <c r="T292" s="21"/>
    </row>
    <row r="293" spans="1:20" s="108" customFormat="1" ht="15.6" customHeight="1" x14ac:dyDescent="0.25">
      <c r="A293" s="124" t="s">
        <v>422</v>
      </c>
      <c r="B293" s="125"/>
      <c r="C293" s="125"/>
      <c r="D293" s="125"/>
      <c r="E293" s="125"/>
      <c r="F293" s="125"/>
      <c r="G293" s="125"/>
      <c r="H293" s="126"/>
      <c r="J293" s="36"/>
    </row>
    <row r="294" spans="1:20" s="108" customFormat="1" ht="15.75" customHeight="1" x14ac:dyDescent="0.25">
      <c r="A294" s="120">
        <v>1</v>
      </c>
      <c r="B294" s="121"/>
      <c r="C294" s="107" t="s">
        <v>412</v>
      </c>
      <c r="D294" s="109">
        <f>(67.64)*10.764</f>
        <v>728.07695999999999</v>
      </c>
      <c r="E294" s="107">
        <v>0</v>
      </c>
      <c r="F294" s="107">
        <f>D294+E294</f>
        <v>728.07695999999999</v>
      </c>
      <c r="G294" s="107">
        <v>0</v>
      </c>
      <c r="H294" s="107">
        <f>F294*(($H$165)+1)+(IF(G294&lt;101,G294,IF(G294&lt;201,G294/2,IF(G294&lt;=301,G294/3,G294/4))))</f>
        <v>1092.11544</v>
      </c>
      <c r="I294" s="36">
        <f>5.8*3.05+1.35*1.7+4.2*2.4+3.95*3.05+4.35*3.05+1.2*(2.4+2.4)+1*3.35+0.75*2.4</f>
        <v>66.289999999999992</v>
      </c>
      <c r="L294" s="122"/>
      <c r="M294" s="122"/>
      <c r="N294" s="36"/>
    </row>
    <row r="295" spans="1:20" s="108" customFormat="1" ht="15.75" customHeight="1" x14ac:dyDescent="0.25">
      <c r="A295" s="120">
        <f>A294+1</f>
        <v>2</v>
      </c>
      <c r="B295" s="121"/>
      <c r="C295" s="107" t="s">
        <v>412</v>
      </c>
      <c r="D295" s="109">
        <f>(65.59)*10.764</f>
        <v>706.01076</v>
      </c>
      <c r="E295" s="107">
        <v>0</v>
      </c>
      <c r="F295" s="107">
        <f>D295+E295</f>
        <v>706.01076</v>
      </c>
      <c r="G295" s="107">
        <v>0</v>
      </c>
      <c r="H295" s="107">
        <f>F295*(($H$165)+1)+(IF(G295&lt;101,G295,IF(G295&lt;201,G295/2,IF(G295&lt;=301,G295/3,G295/4))))</f>
        <v>1059.01614</v>
      </c>
      <c r="I295" s="36"/>
      <c r="L295" s="122"/>
      <c r="M295" s="122"/>
      <c r="N295" s="36"/>
    </row>
    <row r="296" spans="1:20" s="108" customFormat="1" ht="47.1" customHeight="1" x14ac:dyDescent="0.25">
      <c r="A296" s="120" t="s">
        <v>446</v>
      </c>
      <c r="B296" s="121"/>
      <c r="C296" s="107" t="s">
        <v>423</v>
      </c>
      <c r="D296" s="109">
        <f>(136.27+69.96)*10.764</f>
        <v>2219.8597199999999</v>
      </c>
      <c r="E296" s="107">
        <v>0</v>
      </c>
      <c r="F296" s="107">
        <f>D296+E296</f>
        <v>2219.8597199999999</v>
      </c>
      <c r="G296" s="107">
        <v>0</v>
      </c>
      <c r="H296" s="107">
        <f>F296*(($H$165)+1)+(IF(G296&lt;101,G296,IF(G296&lt;201,G296/2,IF(G296&lt;=301,G296/3,G296/4))))</f>
        <v>3329.7895799999997</v>
      </c>
      <c r="I296" s="36">
        <v>206.23</v>
      </c>
      <c r="L296" s="122"/>
      <c r="M296" s="122"/>
      <c r="N296" s="36"/>
    </row>
    <row r="297" spans="1:20" s="108" customFormat="1" ht="15.6" customHeight="1" x14ac:dyDescent="0.25">
      <c r="A297" s="124" t="s">
        <v>424</v>
      </c>
      <c r="B297" s="125"/>
      <c r="C297" s="125"/>
      <c r="D297" s="125"/>
      <c r="E297" s="125"/>
      <c r="F297" s="125"/>
      <c r="G297" s="125"/>
      <c r="H297" s="126"/>
      <c r="J297" s="36"/>
    </row>
    <row r="298" spans="1:20" s="108" customFormat="1" ht="15.75" customHeight="1" x14ac:dyDescent="0.25">
      <c r="A298" s="120">
        <v>1</v>
      </c>
      <c r="B298" s="121"/>
      <c r="C298" s="107" t="s">
        <v>412</v>
      </c>
      <c r="D298" s="109">
        <f>(67.64)*10.764</f>
        <v>728.07695999999999</v>
      </c>
      <c r="E298" s="107">
        <v>0</v>
      </c>
      <c r="F298" s="107">
        <f>D298+E298</f>
        <v>728.07695999999999</v>
      </c>
      <c r="G298" s="107">
        <v>0</v>
      </c>
      <c r="H298" s="107">
        <f>F298*(($H$165)+1)+(IF(G298&lt;101,G298,IF(G298&lt;201,G298/2,IF(G298&lt;=301,G298/3,G298/4))))</f>
        <v>1092.11544</v>
      </c>
      <c r="I298" s="36"/>
      <c r="L298" s="122"/>
      <c r="M298" s="122"/>
      <c r="N298" s="36"/>
    </row>
    <row r="299" spans="1:20" s="108" customFormat="1" ht="48.95" customHeight="1" x14ac:dyDescent="0.25">
      <c r="A299" s="120">
        <f>A298+1</f>
        <v>2</v>
      </c>
      <c r="B299" s="121"/>
      <c r="C299" s="107" t="s">
        <v>427</v>
      </c>
      <c r="D299" s="109">
        <f>(67.92+136.37)*10.764</f>
        <v>2198.9775600000003</v>
      </c>
      <c r="E299" s="107">
        <v>0</v>
      </c>
      <c r="F299" s="107">
        <f>D299+E299</f>
        <v>2198.9775600000003</v>
      </c>
      <c r="G299" s="107">
        <v>0</v>
      </c>
      <c r="H299" s="107">
        <f>F299*(($H$165)+1)+(IF(G299&lt;101,G299,IF(G299&lt;201,G299/2,IF(G299&lt;=301,G299/3,G299/4))))</f>
        <v>3298.4663400000004</v>
      </c>
      <c r="I299" s="36">
        <f>39900000/H299</f>
        <v>12096.53089866001</v>
      </c>
      <c r="L299" s="122"/>
      <c r="M299" s="122"/>
      <c r="N299" s="36"/>
    </row>
    <row r="300" spans="1:20" s="108" customFormat="1" ht="51.95" customHeight="1" x14ac:dyDescent="0.25">
      <c r="A300" s="120">
        <f>A299+1</f>
        <v>3</v>
      </c>
      <c r="B300" s="121"/>
      <c r="C300" s="107" t="s">
        <v>428</v>
      </c>
      <c r="D300" s="109">
        <f>(204.19)*10.764</f>
        <v>2197.9011599999999</v>
      </c>
      <c r="E300" s="107">
        <v>0</v>
      </c>
      <c r="F300" s="107">
        <f>D300+E300</f>
        <v>2197.9011599999999</v>
      </c>
      <c r="G300" s="107">
        <v>0</v>
      </c>
      <c r="H300" s="107">
        <f>F300*(($H$165)+1)+(IF(G300&lt;101,G300,IF(G300&lt;201,G300/2,IF(G300&lt;=301,G300/3,G300/4))))</f>
        <v>3296.8517400000001</v>
      </c>
      <c r="I300" s="36">
        <f>39900000/H300</f>
        <v>12102.455053074362</v>
      </c>
      <c r="K300" s="108">
        <f>4*20</f>
        <v>80</v>
      </c>
      <c r="L300" s="122"/>
      <c r="M300" s="122"/>
      <c r="N300" s="36"/>
    </row>
    <row r="301" spans="1:20" s="108" customFormat="1" ht="15.75" customHeight="1" x14ac:dyDescent="0.25">
      <c r="A301" s="120">
        <f>A300+1</f>
        <v>4</v>
      </c>
      <c r="B301" s="121"/>
      <c r="C301" s="107" t="s">
        <v>416</v>
      </c>
      <c r="D301" s="120" t="s">
        <v>425</v>
      </c>
      <c r="E301" s="123"/>
      <c r="F301" s="123"/>
      <c r="G301" s="123"/>
      <c r="H301" s="121"/>
      <c r="I301" s="36"/>
      <c r="L301" s="122"/>
      <c r="M301" s="122"/>
      <c r="N301" s="36"/>
      <c r="T301" s="21"/>
    </row>
    <row r="302" spans="1:20" s="108" customFormat="1" ht="15.6" customHeight="1" x14ac:dyDescent="0.25">
      <c r="A302" s="124" t="s">
        <v>426</v>
      </c>
      <c r="B302" s="125"/>
      <c r="C302" s="125"/>
      <c r="D302" s="125"/>
      <c r="E302" s="125"/>
      <c r="F302" s="125"/>
      <c r="G302" s="125"/>
      <c r="H302" s="126"/>
      <c r="J302" s="36"/>
    </row>
    <row r="303" spans="1:20" s="108" customFormat="1" ht="15.75" customHeight="1" x14ac:dyDescent="0.25">
      <c r="A303" s="120">
        <v>1</v>
      </c>
      <c r="B303" s="121"/>
      <c r="C303" s="287" t="s">
        <v>416</v>
      </c>
      <c r="D303" s="289" t="s">
        <v>429</v>
      </c>
      <c r="E303" s="290"/>
      <c r="F303" s="290"/>
      <c r="G303" s="290"/>
      <c r="H303" s="291"/>
      <c r="I303" s="36"/>
      <c r="L303" s="122"/>
      <c r="M303" s="122"/>
      <c r="N303" s="36"/>
    </row>
    <row r="304" spans="1:20" s="108" customFormat="1" ht="15.75" customHeight="1" x14ac:dyDescent="0.25">
      <c r="A304" s="120">
        <f>A303+1</f>
        <v>2</v>
      </c>
      <c r="B304" s="121"/>
      <c r="C304" s="288"/>
      <c r="D304" s="292"/>
      <c r="E304" s="293"/>
      <c r="F304" s="293"/>
      <c r="G304" s="293"/>
      <c r="H304" s="294"/>
      <c r="I304" s="36"/>
      <c r="L304" s="122"/>
      <c r="M304" s="122"/>
      <c r="N304" s="36"/>
    </row>
    <row r="305" spans="1:20" s="108" customFormat="1" ht="15.75" customHeight="1" x14ac:dyDescent="0.25">
      <c r="A305" s="120">
        <f>A304+1</f>
        <v>3</v>
      </c>
      <c r="B305" s="121"/>
      <c r="C305" s="287" t="s">
        <v>416</v>
      </c>
      <c r="D305" s="289" t="s">
        <v>429</v>
      </c>
      <c r="E305" s="290"/>
      <c r="F305" s="290"/>
      <c r="G305" s="290"/>
      <c r="H305" s="291"/>
      <c r="I305" s="36"/>
      <c r="L305" s="122"/>
      <c r="M305" s="122"/>
      <c r="N305" s="36"/>
    </row>
    <row r="306" spans="1:20" s="108" customFormat="1" ht="15.75" customHeight="1" x14ac:dyDescent="0.25">
      <c r="A306" s="120">
        <f>A305+1</f>
        <v>4</v>
      </c>
      <c r="B306" s="121"/>
      <c r="C306" s="288"/>
      <c r="D306" s="292"/>
      <c r="E306" s="293"/>
      <c r="F306" s="293"/>
      <c r="G306" s="293"/>
      <c r="H306" s="294"/>
      <c r="I306" s="36"/>
      <c r="L306" s="122"/>
      <c r="M306" s="122"/>
      <c r="N306" s="36"/>
      <c r="T306" s="21"/>
    </row>
    <row r="307" spans="1:20" s="35" customFormat="1" x14ac:dyDescent="0.25">
      <c r="A307" s="278" t="s">
        <v>64</v>
      </c>
      <c r="B307" s="278"/>
      <c r="C307" s="278"/>
      <c r="D307" s="278"/>
      <c r="E307" s="278"/>
      <c r="F307" s="278"/>
      <c r="G307" s="278"/>
      <c r="H307" s="278"/>
      <c r="T307" s="37"/>
    </row>
    <row r="308" spans="1:20" s="35" customFormat="1" x14ac:dyDescent="0.25">
      <c r="A308" s="44" t="s">
        <v>146</v>
      </c>
      <c r="B308" s="147" t="s">
        <v>430</v>
      </c>
      <c r="C308" s="148"/>
      <c r="D308" s="148"/>
      <c r="E308" s="148"/>
      <c r="F308" s="148"/>
      <c r="G308" s="148"/>
      <c r="H308" s="149"/>
      <c r="T308" s="37"/>
    </row>
    <row r="309" spans="1:20" s="35" customFormat="1" x14ac:dyDescent="0.25">
      <c r="A309" s="119" t="s">
        <v>146</v>
      </c>
      <c r="B309" s="147" t="str">
        <f>(IF(H164="Saleable area Loading :","We have considered Saleable area of Flats as per our Calculation.","We considered Saleable area of Flat as per Builder area Sheet."))</f>
        <v>We have considered Saleable area of Flats as per our Calculation.</v>
      </c>
      <c r="C309" s="148"/>
      <c r="D309" s="148"/>
      <c r="E309" s="148"/>
      <c r="F309" s="148"/>
      <c r="G309" s="148"/>
      <c r="H309" s="149"/>
      <c r="T309" s="37"/>
    </row>
    <row r="310" spans="1:20" s="35" customFormat="1" x14ac:dyDescent="0.25">
      <c r="A310" s="119" t="s">
        <v>146</v>
      </c>
      <c r="B310" s="147" t="str">
        <f>(IF(H147="Saleable area Loading :","We have considered Saleable area of Commercial as per our Calculation.","We considered Saleable area of Commercial as per Builder area Sheet."))</f>
        <v>We have considered Saleable area of Commercial as per our Calculation.</v>
      </c>
      <c r="C310" s="148"/>
      <c r="D310" s="148"/>
      <c r="E310" s="148"/>
      <c r="F310" s="148"/>
      <c r="G310" s="148"/>
      <c r="H310" s="149"/>
      <c r="T310" s="37"/>
    </row>
    <row r="311" spans="1:20" s="35" customFormat="1" x14ac:dyDescent="0.25">
      <c r="A311" s="119" t="s">
        <v>146</v>
      </c>
      <c r="B311" s="147" t="s">
        <v>116</v>
      </c>
      <c r="C311" s="148"/>
      <c r="D311" s="148"/>
      <c r="E311" s="148"/>
      <c r="F311" s="148"/>
      <c r="G311" s="148"/>
      <c r="H311" s="149"/>
      <c r="T311" s="37"/>
    </row>
    <row r="312" spans="1:20" s="35" customFormat="1" x14ac:dyDescent="0.25">
      <c r="A312" s="119" t="s">
        <v>146</v>
      </c>
      <c r="B312" s="147" t="s">
        <v>436</v>
      </c>
      <c r="C312" s="148"/>
      <c r="D312" s="148"/>
      <c r="E312" s="148"/>
      <c r="F312" s="148"/>
      <c r="G312" s="148"/>
      <c r="H312" s="149"/>
      <c r="T312" s="37"/>
    </row>
    <row r="313" spans="1:20" s="35" customFormat="1" x14ac:dyDescent="0.25">
      <c r="A313" s="119" t="s">
        <v>146</v>
      </c>
      <c r="B313" s="147" t="s">
        <v>145</v>
      </c>
      <c r="C313" s="148"/>
      <c r="D313" s="148"/>
      <c r="E313" s="148"/>
      <c r="F313" s="148"/>
      <c r="G313" s="148"/>
      <c r="H313" s="149"/>
    </row>
    <row r="314" spans="1:20" s="35" customFormat="1" x14ac:dyDescent="0.25">
      <c r="A314" s="119" t="s">
        <v>146</v>
      </c>
      <c r="B314" s="147" t="s">
        <v>117</v>
      </c>
      <c r="C314" s="148"/>
      <c r="D314" s="148"/>
      <c r="E314" s="148"/>
      <c r="F314" s="148"/>
      <c r="G314" s="148"/>
      <c r="H314" s="149"/>
    </row>
    <row r="315" spans="1:20" s="35" customFormat="1" ht="31.5" customHeight="1" x14ac:dyDescent="0.25">
      <c r="A315" s="119" t="s">
        <v>146</v>
      </c>
      <c r="B315" s="147" t="s">
        <v>147</v>
      </c>
      <c r="C315" s="148"/>
      <c r="D315" s="148"/>
      <c r="E315" s="148"/>
      <c r="F315" s="148"/>
      <c r="G315" s="148"/>
      <c r="H315" s="149"/>
    </row>
    <row r="316" spans="1:20" s="35" customFormat="1" x14ac:dyDescent="0.25">
      <c r="A316" s="44" t="s">
        <v>146</v>
      </c>
      <c r="B316" s="144" t="s">
        <v>118</v>
      </c>
      <c r="C316" s="145"/>
      <c r="D316" s="145"/>
      <c r="E316" s="145"/>
      <c r="F316" s="145"/>
      <c r="G316" s="145"/>
      <c r="H316" s="146"/>
    </row>
    <row r="317" spans="1:20" s="35" customFormat="1" ht="32.25" hidden="1" customHeight="1" x14ac:dyDescent="0.25">
      <c r="A317" s="51" t="s">
        <v>146</v>
      </c>
      <c r="B317" s="152" t="s">
        <v>173</v>
      </c>
      <c r="C317" s="153"/>
      <c r="D317" s="153"/>
      <c r="E317" s="153"/>
      <c r="F317" s="153"/>
      <c r="G317" s="153"/>
      <c r="H317" s="154"/>
    </row>
    <row r="318" spans="1:20" s="35" customFormat="1" x14ac:dyDescent="0.25">
      <c r="A318" s="55" t="s">
        <v>146</v>
      </c>
      <c r="B318" s="147" t="s">
        <v>431</v>
      </c>
      <c r="C318" s="148"/>
      <c r="D318" s="148"/>
      <c r="E318" s="148"/>
      <c r="F318" s="148"/>
      <c r="G318" s="148"/>
      <c r="H318" s="149"/>
    </row>
    <row r="319" spans="1:20" s="35" customFormat="1" hidden="1" x14ac:dyDescent="0.25">
      <c r="A319" s="84" t="s">
        <v>146</v>
      </c>
      <c r="B319" s="152" t="s">
        <v>347</v>
      </c>
      <c r="C319" s="153"/>
      <c r="D319" s="153"/>
      <c r="E319" s="153"/>
      <c r="F319" s="153"/>
      <c r="G319" s="153"/>
      <c r="H319" s="154"/>
    </row>
    <row r="320" spans="1:20" s="35" customFormat="1" hidden="1" x14ac:dyDescent="0.25">
      <c r="A320" s="84" t="s">
        <v>146</v>
      </c>
      <c r="B320" s="152" t="str">
        <f ca="1">IF(G52&gt;EDATE(E3,-48),"NO REMARK FOR CC","REMARK FOR CC")</f>
        <v>NO REMARK FOR CC</v>
      </c>
      <c r="C320" s="153"/>
      <c r="D320" s="153"/>
      <c r="E320" s="153"/>
      <c r="F320" s="153"/>
      <c r="G320" s="153"/>
      <c r="H320" s="154"/>
    </row>
    <row r="321" spans="1:20" s="35" customFormat="1" ht="81.75" hidden="1" customHeight="1" x14ac:dyDescent="0.25">
      <c r="A321" s="85" t="s">
        <v>146</v>
      </c>
      <c r="B321" s="152" t="s">
        <v>348</v>
      </c>
      <c r="C321" s="153"/>
      <c r="D321" s="153"/>
      <c r="E321" s="153"/>
      <c r="F321" s="153"/>
      <c r="G321" s="153"/>
      <c r="H321" s="154"/>
    </row>
    <row r="322" spans="1:20" s="35" customFormat="1" x14ac:dyDescent="0.25">
      <c r="A322" s="106" t="s">
        <v>146</v>
      </c>
      <c r="B322" s="147" t="s">
        <v>443</v>
      </c>
      <c r="C322" s="148"/>
      <c r="D322" s="148"/>
      <c r="E322" s="148"/>
      <c r="F322" s="148"/>
      <c r="G322" s="148"/>
      <c r="H322" s="149"/>
    </row>
    <row r="323" spans="1:20" s="35" customFormat="1" ht="33" customHeight="1" x14ac:dyDescent="0.25">
      <c r="A323" s="106" t="s">
        <v>146</v>
      </c>
      <c r="B323" s="147" t="s">
        <v>442</v>
      </c>
      <c r="C323" s="148"/>
      <c r="D323" s="148"/>
      <c r="E323" s="148"/>
      <c r="F323" s="148"/>
      <c r="G323" s="148"/>
      <c r="H323" s="149"/>
    </row>
    <row r="324" spans="1:20" x14ac:dyDescent="0.25">
      <c r="A324" s="234" t="s">
        <v>57</v>
      </c>
      <c r="B324" s="234"/>
      <c r="C324" s="234"/>
      <c r="D324" s="234"/>
      <c r="E324" s="234"/>
      <c r="F324" s="234"/>
      <c r="G324" s="234"/>
      <c r="H324" s="234"/>
      <c r="T324" s="35"/>
    </row>
    <row r="325" spans="1:20" x14ac:dyDescent="0.25">
      <c r="A325" s="199" t="s">
        <v>58</v>
      </c>
      <c r="B325" s="199"/>
      <c r="C325" s="199"/>
      <c r="D325" s="199"/>
      <c r="E325" s="199"/>
      <c r="F325" s="199"/>
      <c r="G325" s="199"/>
      <c r="H325" s="199"/>
      <c r="T325" s="35"/>
    </row>
    <row r="326" spans="1:20" ht="15.75" customHeight="1" x14ac:dyDescent="0.25">
      <c r="A326" s="271" t="s">
        <v>59</v>
      </c>
      <c r="B326" s="271"/>
      <c r="C326" s="271"/>
      <c r="D326" s="271"/>
      <c r="E326" s="271"/>
      <c r="F326" s="271"/>
      <c r="G326" s="271"/>
      <c r="H326" s="271"/>
      <c r="T326" s="35"/>
    </row>
    <row r="327" spans="1:20" x14ac:dyDescent="0.25">
      <c r="A327" s="199" t="s">
        <v>60</v>
      </c>
      <c r="B327" s="199"/>
      <c r="C327" s="199"/>
      <c r="D327" s="199"/>
      <c r="E327" s="199"/>
      <c r="F327" s="199"/>
      <c r="G327" s="199"/>
      <c r="H327" s="199"/>
      <c r="T327" s="35"/>
    </row>
    <row r="328" spans="1:20" x14ac:dyDescent="0.25">
      <c r="A328" s="199" t="s">
        <v>61</v>
      </c>
      <c r="B328" s="199"/>
      <c r="C328" s="199"/>
      <c r="D328" s="199"/>
      <c r="E328" s="199"/>
      <c r="F328" s="199"/>
      <c r="G328" s="199"/>
      <c r="H328" s="199"/>
      <c r="T328" s="35"/>
    </row>
    <row r="329" spans="1:20" x14ac:dyDescent="0.25">
      <c r="A329" s="199" t="s">
        <v>119</v>
      </c>
      <c r="B329" s="199"/>
      <c r="C329" s="199"/>
      <c r="D329" s="199"/>
      <c r="E329" s="199"/>
      <c r="F329" s="199"/>
      <c r="G329" s="199"/>
      <c r="H329" s="199"/>
      <c r="T329" s="35"/>
    </row>
    <row r="330" spans="1:20" ht="33.950000000000003" customHeight="1" x14ac:dyDescent="0.25">
      <c r="A330" s="235" t="s">
        <v>120</v>
      </c>
      <c r="B330" s="235"/>
      <c r="C330" s="235"/>
      <c r="D330" s="235"/>
      <c r="E330" s="235"/>
      <c r="F330" s="235"/>
      <c r="G330" s="235"/>
      <c r="H330" s="235"/>
    </row>
    <row r="331" spans="1:20" x14ac:dyDescent="0.25">
      <c r="A331" s="260" t="s">
        <v>73</v>
      </c>
      <c r="B331" s="260"/>
      <c r="C331" s="260" t="s">
        <v>402</v>
      </c>
      <c r="D331" s="260"/>
      <c r="E331" s="260" t="s">
        <v>101</v>
      </c>
      <c r="F331" s="260"/>
      <c r="G331" s="260" t="s">
        <v>401</v>
      </c>
      <c r="H331" s="260"/>
    </row>
    <row r="332" spans="1:20" x14ac:dyDescent="0.25">
      <c r="A332" s="259" t="s">
        <v>75</v>
      </c>
      <c r="B332" s="259"/>
      <c r="C332" s="259"/>
      <c r="D332" s="259"/>
      <c r="E332" s="259"/>
      <c r="F332" s="259"/>
      <c r="G332" s="259"/>
      <c r="H332" s="259"/>
    </row>
    <row r="333" spans="1:20" x14ac:dyDescent="0.25">
      <c r="A333" s="259"/>
      <c r="B333" s="259"/>
      <c r="C333" s="259"/>
      <c r="D333" s="259"/>
      <c r="E333" s="259"/>
      <c r="F333" s="259"/>
      <c r="G333" s="259"/>
      <c r="H333" s="259"/>
    </row>
    <row r="334" spans="1:20" x14ac:dyDescent="0.25">
      <c r="A334" s="259"/>
      <c r="B334" s="259"/>
      <c r="C334" s="259"/>
      <c r="D334" s="259"/>
      <c r="E334" s="259"/>
      <c r="F334" s="259"/>
      <c r="G334" s="259"/>
      <c r="H334" s="259"/>
    </row>
    <row r="335" spans="1:20" x14ac:dyDescent="0.25">
      <c r="A335" s="259"/>
      <c r="B335" s="259"/>
      <c r="C335" s="259"/>
      <c r="D335" s="259"/>
      <c r="E335" s="259"/>
      <c r="F335" s="259"/>
      <c r="G335" s="259"/>
      <c r="H335" s="259"/>
    </row>
    <row r="336" spans="1:20" x14ac:dyDescent="0.25">
      <c r="A336" s="38" t="s">
        <v>62</v>
      </c>
      <c r="B336" s="39"/>
      <c r="C336" s="39"/>
      <c r="D336" s="38" t="str">
        <f>E9</f>
        <v>Celestial</v>
      </c>
      <c r="F336" s="39"/>
      <c r="G336" s="39"/>
      <c r="H336" s="39"/>
    </row>
    <row r="337" spans="1:8" x14ac:dyDescent="0.25">
      <c r="A337" s="39"/>
      <c r="B337" s="39"/>
      <c r="C337" s="39"/>
      <c r="D337" s="39"/>
      <c r="E337" s="39"/>
      <c r="F337" s="39"/>
      <c r="G337" s="39"/>
      <c r="H337" s="39"/>
    </row>
    <row r="338" spans="1:8" x14ac:dyDescent="0.25">
      <c r="A338" s="39"/>
      <c r="B338" s="39"/>
      <c r="C338" s="39"/>
      <c r="D338" s="39"/>
      <c r="E338" s="39"/>
      <c r="F338" s="39"/>
      <c r="G338" s="39"/>
      <c r="H338" s="39"/>
    </row>
    <row r="339" spans="1:8" ht="15" customHeight="1" x14ac:dyDescent="0.25"/>
    <row r="379" spans="1:1" x14ac:dyDescent="0.25">
      <c r="A379" s="41" t="s">
        <v>157</v>
      </c>
    </row>
    <row r="422" spans="1:1" x14ac:dyDescent="0.25">
      <c r="A422" s="41" t="s">
        <v>63</v>
      </c>
    </row>
  </sheetData>
  <mergeCells count="616">
    <mergeCell ref="A142:B142"/>
    <mergeCell ref="C142:D142"/>
    <mergeCell ref="E142:F142"/>
    <mergeCell ref="G142:H142"/>
    <mergeCell ref="B322:H322"/>
    <mergeCell ref="B323:H323"/>
    <mergeCell ref="A302:H302"/>
    <mergeCell ref="A303:B303"/>
    <mergeCell ref="L303:M303"/>
    <mergeCell ref="A304:B304"/>
    <mergeCell ref="L304:M304"/>
    <mergeCell ref="A305:B305"/>
    <mergeCell ref="L305:M305"/>
    <mergeCell ref="A306:B306"/>
    <mergeCell ref="L306:M306"/>
    <mergeCell ref="C303:C304"/>
    <mergeCell ref="D303:H304"/>
    <mergeCell ref="C305:C306"/>
    <mergeCell ref="D305:H306"/>
    <mergeCell ref="A209:H209"/>
    <mergeCell ref="A210:B210"/>
    <mergeCell ref="L210:M210"/>
    <mergeCell ref="A211:B211"/>
    <mergeCell ref="L211:M211"/>
    <mergeCell ref="A212:B212"/>
    <mergeCell ref="L212:M212"/>
    <mergeCell ref="A213:B213"/>
    <mergeCell ref="L213:M213"/>
    <mergeCell ref="A256:H256"/>
    <mergeCell ref="A257:B257"/>
    <mergeCell ref="L257:M257"/>
    <mergeCell ref="A258:B258"/>
    <mergeCell ref="L258:M258"/>
    <mergeCell ref="A246:H246"/>
    <mergeCell ref="A247:B247"/>
    <mergeCell ref="L247:M247"/>
    <mergeCell ref="A248:B248"/>
    <mergeCell ref="L248:M248"/>
    <mergeCell ref="A249:B249"/>
    <mergeCell ref="L249:M249"/>
    <mergeCell ref="A250:B250"/>
    <mergeCell ref="L250:M250"/>
    <mergeCell ref="A241:H241"/>
    <mergeCell ref="A242:B242"/>
    <mergeCell ref="L242:M242"/>
    <mergeCell ref="A243:B243"/>
    <mergeCell ref="L243:M243"/>
    <mergeCell ref="A244:B244"/>
    <mergeCell ref="A283:H283"/>
    <mergeCell ref="A284:B284"/>
    <mergeCell ref="L284:M284"/>
    <mergeCell ref="A285:B285"/>
    <mergeCell ref="L285:M285"/>
    <mergeCell ref="A286:B286"/>
    <mergeCell ref="L286:M286"/>
    <mergeCell ref="A287:B287"/>
    <mergeCell ref="L287:M287"/>
    <mergeCell ref="A297:H297"/>
    <mergeCell ref="A298:B298"/>
    <mergeCell ref="L298:M298"/>
    <mergeCell ref="A299:B299"/>
    <mergeCell ref="L299:M299"/>
    <mergeCell ref="A290:B290"/>
    <mergeCell ref="L290:M290"/>
    <mergeCell ref="A291:B291"/>
    <mergeCell ref="L291:M291"/>
    <mergeCell ref="A292:B292"/>
    <mergeCell ref="L292:M292"/>
    <mergeCell ref="A300:B300"/>
    <mergeCell ref="L300:M300"/>
    <mergeCell ref="A301:B301"/>
    <mergeCell ref="L301:M301"/>
    <mergeCell ref="D301:H301"/>
    <mergeCell ref="A251:H251"/>
    <mergeCell ref="A252:B252"/>
    <mergeCell ref="L252:M252"/>
    <mergeCell ref="A253:B253"/>
    <mergeCell ref="L253:M253"/>
    <mergeCell ref="A254:B254"/>
    <mergeCell ref="L254:M254"/>
    <mergeCell ref="A255:B255"/>
    <mergeCell ref="L255:M255"/>
    <mergeCell ref="A293:H293"/>
    <mergeCell ref="A294:B294"/>
    <mergeCell ref="L294:M294"/>
    <mergeCell ref="A295:B295"/>
    <mergeCell ref="L295:M295"/>
    <mergeCell ref="A296:B296"/>
    <mergeCell ref="L296:M296"/>
    <mergeCell ref="A288:H288"/>
    <mergeCell ref="A289:B289"/>
    <mergeCell ref="L289:M289"/>
    <mergeCell ref="A204:H204"/>
    <mergeCell ref="A205:B205"/>
    <mergeCell ref="L205:M205"/>
    <mergeCell ref="A206:B206"/>
    <mergeCell ref="L206:M206"/>
    <mergeCell ref="A207:B207"/>
    <mergeCell ref="L207:M207"/>
    <mergeCell ref="A208:B208"/>
    <mergeCell ref="L208:M208"/>
    <mergeCell ref="A199:H199"/>
    <mergeCell ref="A200:B200"/>
    <mergeCell ref="L200:M200"/>
    <mergeCell ref="A201:B201"/>
    <mergeCell ref="L201:M201"/>
    <mergeCell ref="A202:B202"/>
    <mergeCell ref="L202:M202"/>
    <mergeCell ref="A203:B203"/>
    <mergeCell ref="L203:M203"/>
    <mergeCell ref="A192:B192"/>
    <mergeCell ref="L192:M192"/>
    <mergeCell ref="A193:B193"/>
    <mergeCell ref="L193:M193"/>
    <mergeCell ref="L244:M244"/>
    <mergeCell ref="A245:B245"/>
    <mergeCell ref="L245:M245"/>
    <mergeCell ref="A194:H194"/>
    <mergeCell ref="A195:B195"/>
    <mergeCell ref="L195:M195"/>
    <mergeCell ref="A196:B196"/>
    <mergeCell ref="L196:M196"/>
    <mergeCell ref="A197:B197"/>
    <mergeCell ref="L197:M197"/>
    <mergeCell ref="A198:B198"/>
    <mergeCell ref="L198:M198"/>
    <mergeCell ref="A236:H236"/>
    <mergeCell ref="A237:B237"/>
    <mergeCell ref="L237:M237"/>
    <mergeCell ref="A238:B238"/>
    <mergeCell ref="L238:M238"/>
    <mergeCell ref="A239:B239"/>
    <mergeCell ref="L239:M239"/>
    <mergeCell ref="A240:B240"/>
    <mergeCell ref="A278:H278"/>
    <mergeCell ref="A279:B279"/>
    <mergeCell ref="L279:M279"/>
    <mergeCell ref="A280:B280"/>
    <mergeCell ref="L280:M280"/>
    <mergeCell ref="A281:B281"/>
    <mergeCell ref="L281:M281"/>
    <mergeCell ref="A282:B282"/>
    <mergeCell ref="D282:H282"/>
    <mergeCell ref="L282:M282"/>
    <mergeCell ref="A273:H273"/>
    <mergeCell ref="A274:B274"/>
    <mergeCell ref="L274:M274"/>
    <mergeCell ref="A275:B275"/>
    <mergeCell ref="L275:M275"/>
    <mergeCell ref="A276:B276"/>
    <mergeCell ref="L276:M276"/>
    <mergeCell ref="A277:B277"/>
    <mergeCell ref="L277:M277"/>
    <mergeCell ref="L218:M218"/>
    <mergeCell ref="A219:B219"/>
    <mergeCell ref="L219:M219"/>
    <mergeCell ref="A220:B220"/>
    <mergeCell ref="L220:M220"/>
    <mergeCell ref="A221:H221"/>
    <mergeCell ref="A222:B222"/>
    <mergeCell ref="L222:M222"/>
    <mergeCell ref="A223:B223"/>
    <mergeCell ref="L223:M223"/>
    <mergeCell ref="L180:M180"/>
    <mergeCell ref="A181:B181"/>
    <mergeCell ref="L181:M181"/>
    <mergeCell ref="A182:B182"/>
    <mergeCell ref="L182:M182"/>
    <mergeCell ref="A183:B183"/>
    <mergeCell ref="L183:M183"/>
    <mergeCell ref="A217:B217"/>
    <mergeCell ref="L217:M217"/>
    <mergeCell ref="A184:H184"/>
    <mergeCell ref="A185:B185"/>
    <mergeCell ref="L185:M185"/>
    <mergeCell ref="A186:B186"/>
    <mergeCell ref="L186:M186"/>
    <mergeCell ref="A187:B187"/>
    <mergeCell ref="L187:M187"/>
    <mergeCell ref="A188:B188"/>
    <mergeCell ref="L188:M188"/>
    <mergeCell ref="D185:H185"/>
    <mergeCell ref="A189:H189"/>
    <mergeCell ref="A190:B190"/>
    <mergeCell ref="L190:M190"/>
    <mergeCell ref="A191:B191"/>
    <mergeCell ref="L191:M191"/>
    <mergeCell ref="A87:B87"/>
    <mergeCell ref="A50:B50"/>
    <mergeCell ref="D70:H70"/>
    <mergeCell ref="A307:H307"/>
    <mergeCell ref="A75:C75"/>
    <mergeCell ref="D76:H76"/>
    <mergeCell ref="A82:B82"/>
    <mergeCell ref="G81:H81"/>
    <mergeCell ref="A90:B90"/>
    <mergeCell ref="A91:B91"/>
    <mergeCell ref="A86:B86"/>
    <mergeCell ref="A85:B85"/>
    <mergeCell ref="E81:F81"/>
    <mergeCell ref="A83:B83"/>
    <mergeCell ref="E139:F139"/>
    <mergeCell ref="A145:H145"/>
    <mergeCell ref="A164:A165"/>
    <mergeCell ref="F164:F165"/>
    <mergeCell ref="A120:E120"/>
    <mergeCell ref="F124:H124"/>
    <mergeCell ref="A124:E124"/>
    <mergeCell ref="A173:B173"/>
    <mergeCell ref="A59:B61"/>
    <mergeCell ref="C61:H61"/>
    <mergeCell ref="A325:H325"/>
    <mergeCell ref="A126:E126"/>
    <mergeCell ref="A88:B88"/>
    <mergeCell ref="I15:P15"/>
    <mergeCell ref="F130:H130"/>
    <mergeCell ref="F128:H128"/>
    <mergeCell ref="A146:H146"/>
    <mergeCell ref="G134:H134"/>
    <mergeCell ref="A129:E129"/>
    <mergeCell ref="A152:B152"/>
    <mergeCell ref="A62:B62"/>
    <mergeCell ref="C62:E62"/>
    <mergeCell ref="D65:H65"/>
    <mergeCell ref="F129:H129"/>
    <mergeCell ref="E134:F134"/>
    <mergeCell ref="A134:B134"/>
    <mergeCell ref="A136:B136"/>
    <mergeCell ref="C139:D139"/>
    <mergeCell ref="D75:H75"/>
    <mergeCell ref="D66:H66"/>
    <mergeCell ref="G62:H62"/>
    <mergeCell ref="A55:B56"/>
    <mergeCell ref="A163:H163"/>
    <mergeCell ref="A123:E123"/>
    <mergeCell ref="A329:H329"/>
    <mergeCell ref="A326:H326"/>
    <mergeCell ref="A139:B139"/>
    <mergeCell ref="D164:D165"/>
    <mergeCell ref="E164:E165"/>
    <mergeCell ref="A100:B100"/>
    <mergeCell ref="A102:B102"/>
    <mergeCell ref="F121:H121"/>
    <mergeCell ref="G135:H135"/>
    <mergeCell ref="A105:B105"/>
    <mergeCell ref="F127:H127"/>
    <mergeCell ref="C134:D134"/>
    <mergeCell ref="C143:D143"/>
    <mergeCell ref="A169:H169"/>
    <mergeCell ref="B312:H312"/>
    <mergeCell ref="B320:H320"/>
    <mergeCell ref="B319:H319"/>
    <mergeCell ref="F123:H123"/>
    <mergeCell ref="A127:E127"/>
    <mergeCell ref="D147:D148"/>
    <mergeCell ref="G141:H141"/>
    <mergeCell ref="B317:H317"/>
    <mergeCell ref="A144:B144"/>
    <mergeCell ref="A104:B104"/>
    <mergeCell ref="B311:H311"/>
    <mergeCell ref="F120:H120"/>
    <mergeCell ref="F125:H125"/>
    <mergeCell ref="A170:B170"/>
    <mergeCell ref="A154:B154"/>
    <mergeCell ref="A153:B153"/>
    <mergeCell ref="F126:H126"/>
    <mergeCell ref="A128:E128"/>
    <mergeCell ref="G136:H136"/>
    <mergeCell ref="A137:B137"/>
    <mergeCell ref="C137:D137"/>
    <mergeCell ref="E137:F137"/>
    <mergeCell ref="G137:H137"/>
    <mergeCell ref="A141:B141"/>
    <mergeCell ref="C141:D141"/>
    <mergeCell ref="E141:F141"/>
    <mergeCell ref="A215:H215"/>
    <mergeCell ref="A261:H261"/>
    <mergeCell ref="A262:H262"/>
    <mergeCell ref="A216:H216"/>
    <mergeCell ref="A230:B230"/>
    <mergeCell ref="A179:H179"/>
    <mergeCell ref="A180:B180"/>
    <mergeCell ref="A218:B218"/>
    <mergeCell ref="A332:H335"/>
    <mergeCell ref="A331:B331"/>
    <mergeCell ref="E331:F331"/>
    <mergeCell ref="C331:D331"/>
    <mergeCell ref="G331:H331"/>
    <mergeCell ref="A133:H133"/>
    <mergeCell ref="A131:E131"/>
    <mergeCell ref="F131:H131"/>
    <mergeCell ref="A132:E132"/>
    <mergeCell ref="F132:H132"/>
    <mergeCell ref="A140:B140"/>
    <mergeCell ref="A135:B135"/>
    <mergeCell ref="A327:H327"/>
    <mergeCell ref="A138:H138"/>
    <mergeCell ref="A330:H330"/>
    <mergeCell ref="A328:H328"/>
    <mergeCell ref="A324:H324"/>
    <mergeCell ref="G139:H139"/>
    <mergeCell ref="B313:H313"/>
    <mergeCell ref="C144:D144"/>
    <mergeCell ref="B318:H318"/>
    <mergeCell ref="G143:H143"/>
    <mergeCell ref="C136:D136"/>
    <mergeCell ref="E136:F13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A40:B40"/>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64:H64"/>
    <mergeCell ref="A80:B80"/>
    <mergeCell ref="A65:C65"/>
    <mergeCell ref="A78:B78"/>
    <mergeCell ref="C78:H78"/>
    <mergeCell ref="A73:C73"/>
    <mergeCell ref="D73:H73"/>
    <mergeCell ref="C80:H80"/>
    <mergeCell ref="A74:C74"/>
    <mergeCell ref="D74:H74"/>
    <mergeCell ref="A77:C77"/>
    <mergeCell ref="D77:H77"/>
    <mergeCell ref="A76:C76"/>
    <mergeCell ref="G60:H60"/>
    <mergeCell ref="E42:H42"/>
    <mergeCell ref="A38:H38"/>
    <mergeCell ref="A81:B81"/>
    <mergeCell ref="A46:D46"/>
    <mergeCell ref="A47:D47"/>
    <mergeCell ref="D72:H72"/>
    <mergeCell ref="A44:D44"/>
    <mergeCell ref="E44:H44"/>
    <mergeCell ref="E45:H45"/>
    <mergeCell ref="E46:H46"/>
    <mergeCell ref="E47:H47"/>
    <mergeCell ref="C58:H58"/>
    <mergeCell ref="A48:H48"/>
    <mergeCell ref="D67:H67"/>
    <mergeCell ref="A67:C67"/>
    <mergeCell ref="A45:D45"/>
    <mergeCell ref="A49:B49"/>
    <mergeCell ref="C49:H49"/>
    <mergeCell ref="A68:C70"/>
    <mergeCell ref="D68:H68"/>
    <mergeCell ref="D69:H69"/>
    <mergeCell ref="G53:H53"/>
    <mergeCell ref="G52:H52"/>
    <mergeCell ref="F37:H37"/>
    <mergeCell ref="C51:E51"/>
    <mergeCell ref="C50:E50"/>
    <mergeCell ref="G50:H50"/>
    <mergeCell ref="A51:B51"/>
    <mergeCell ref="G57:H57"/>
    <mergeCell ref="G59:H59"/>
    <mergeCell ref="G51:H51"/>
    <mergeCell ref="A39:B39"/>
    <mergeCell ref="C39:H39"/>
    <mergeCell ref="C56:H56"/>
    <mergeCell ref="A52:B54"/>
    <mergeCell ref="C55:E55"/>
    <mergeCell ref="C52:E53"/>
    <mergeCell ref="C57:E57"/>
    <mergeCell ref="G55:H55"/>
    <mergeCell ref="A57:B58"/>
    <mergeCell ref="C59:E60"/>
    <mergeCell ref="E43:H43"/>
    <mergeCell ref="A43:D43"/>
    <mergeCell ref="A37:B37"/>
    <mergeCell ref="C37:E37"/>
    <mergeCell ref="A42:D42"/>
    <mergeCell ref="A41:H41"/>
    <mergeCell ref="C40:H40"/>
    <mergeCell ref="F147:F148"/>
    <mergeCell ref="C135:D135"/>
    <mergeCell ref="E135:F135"/>
    <mergeCell ref="B147:B148"/>
    <mergeCell ref="A147:A148"/>
    <mergeCell ref="C164:C165"/>
    <mergeCell ref="G164:G165"/>
    <mergeCell ref="L173:M173"/>
    <mergeCell ref="L170:M170"/>
    <mergeCell ref="A171:B171"/>
    <mergeCell ref="G144:H144"/>
    <mergeCell ref="L171:M171"/>
    <mergeCell ref="A172:B172"/>
    <mergeCell ref="L172:M172"/>
    <mergeCell ref="A114:B114"/>
    <mergeCell ref="A117:B117"/>
    <mergeCell ref="C54:H54"/>
    <mergeCell ref="A84:B84"/>
    <mergeCell ref="E82:F91"/>
    <mergeCell ref="G82:H91"/>
    <mergeCell ref="A125:E125"/>
    <mergeCell ref="A143:B143"/>
    <mergeCell ref="E143:F143"/>
    <mergeCell ref="B321:H321"/>
    <mergeCell ref="A119:B119"/>
    <mergeCell ref="C147:C148"/>
    <mergeCell ref="B164:B165"/>
    <mergeCell ref="B310:H310"/>
    <mergeCell ref="A95:B95"/>
    <mergeCell ref="E95:F95"/>
    <mergeCell ref="E96:F105"/>
    <mergeCell ref="A106:B106"/>
    <mergeCell ref="C106:H106"/>
    <mergeCell ref="A108:B108"/>
    <mergeCell ref="C108:H108"/>
    <mergeCell ref="A109:B109"/>
    <mergeCell ref="E109:F109"/>
    <mergeCell ref="G109:H109"/>
    <mergeCell ref="A110:B110"/>
    <mergeCell ref="E110:F119"/>
    <mergeCell ref="G110:H119"/>
    <mergeCell ref="A111:B111"/>
    <mergeCell ref="C140:D140"/>
    <mergeCell ref="E140:F140"/>
    <mergeCell ref="G140:H140"/>
    <mergeCell ref="A121:E121"/>
    <mergeCell ref="A150:H150"/>
    <mergeCell ref="A166:H166"/>
    <mergeCell ref="A167:H167"/>
    <mergeCell ref="A149:H149"/>
    <mergeCell ref="A155:B155"/>
    <mergeCell ref="A160:B160"/>
    <mergeCell ref="A101:B101"/>
    <mergeCell ref="G95:H95"/>
    <mergeCell ref="B316:H316"/>
    <mergeCell ref="B314:H314"/>
    <mergeCell ref="A151:B151"/>
    <mergeCell ref="E147:E148"/>
    <mergeCell ref="A96:B96"/>
    <mergeCell ref="A97:B97"/>
    <mergeCell ref="A98:B98"/>
    <mergeCell ref="G96:H105"/>
    <mergeCell ref="A99:B99"/>
    <mergeCell ref="F122:H122"/>
    <mergeCell ref="A122:E122"/>
    <mergeCell ref="E144:F144"/>
    <mergeCell ref="A130:E130"/>
    <mergeCell ref="B315:H315"/>
    <mergeCell ref="G147:G148"/>
    <mergeCell ref="B308:H308"/>
    <mergeCell ref="B309:H309"/>
    <mergeCell ref="A158:B158"/>
    <mergeCell ref="L158:M158"/>
    <mergeCell ref="A159:B159"/>
    <mergeCell ref="L159:M159"/>
    <mergeCell ref="A112:B112"/>
    <mergeCell ref="A113:B113"/>
    <mergeCell ref="A115:B115"/>
    <mergeCell ref="A116:B116"/>
    <mergeCell ref="A63:B63"/>
    <mergeCell ref="C63:E63"/>
    <mergeCell ref="G63:H63"/>
    <mergeCell ref="L154:M154"/>
    <mergeCell ref="L153:M153"/>
    <mergeCell ref="L152:M152"/>
    <mergeCell ref="L151:M151"/>
    <mergeCell ref="A89:B89"/>
    <mergeCell ref="A92:B92"/>
    <mergeCell ref="C92:H92"/>
    <mergeCell ref="C94:H94"/>
    <mergeCell ref="A94:B94"/>
    <mergeCell ref="A71:C71"/>
    <mergeCell ref="A72:C72"/>
    <mergeCell ref="D71:H71"/>
    <mergeCell ref="A66:C66"/>
    <mergeCell ref="L160:M160"/>
    <mergeCell ref="A161:B161"/>
    <mergeCell ref="L161:M161"/>
    <mergeCell ref="A162:B162"/>
    <mergeCell ref="L162:M162"/>
    <mergeCell ref="A103:B103"/>
    <mergeCell ref="A118:B118"/>
    <mergeCell ref="A168:H168"/>
    <mergeCell ref="A214:H214"/>
    <mergeCell ref="A174:H174"/>
    <mergeCell ref="A175:B175"/>
    <mergeCell ref="L175:M175"/>
    <mergeCell ref="A176:B176"/>
    <mergeCell ref="L176:M176"/>
    <mergeCell ref="A177:B177"/>
    <mergeCell ref="L177:M177"/>
    <mergeCell ref="A178:B178"/>
    <mergeCell ref="L178:M178"/>
    <mergeCell ref="D175:H175"/>
    <mergeCell ref="L155:M155"/>
    <mergeCell ref="A156:B156"/>
    <mergeCell ref="L156:M156"/>
    <mergeCell ref="A157:B157"/>
    <mergeCell ref="L157:M157"/>
    <mergeCell ref="D222:H222"/>
    <mergeCell ref="A268:H268"/>
    <mergeCell ref="A269:B269"/>
    <mergeCell ref="L269:M269"/>
    <mergeCell ref="A270:B270"/>
    <mergeCell ref="L270:M270"/>
    <mergeCell ref="A263:H263"/>
    <mergeCell ref="A264:B264"/>
    <mergeCell ref="L264:M264"/>
    <mergeCell ref="A265:B265"/>
    <mergeCell ref="L265:M265"/>
    <mergeCell ref="A266:B266"/>
    <mergeCell ref="L266:M266"/>
    <mergeCell ref="A267:B267"/>
    <mergeCell ref="L267:M267"/>
    <mergeCell ref="L230:M230"/>
    <mergeCell ref="L232:M232"/>
    <mergeCell ref="A233:B233"/>
    <mergeCell ref="L233:M233"/>
    <mergeCell ref="A234:B234"/>
    <mergeCell ref="L234:M234"/>
    <mergeCell ref="A235:B235"/>
    <mergeCell ref="L235:M235"/>
    <mergeCell ref="A226:H226"/>
    <mergeCell ref="A271:B271"/>
    <mergeCell ref="L271:M271"/>
    <mergeCell ref="A272:B272"/>
    <mergeCell ref="L272:M272"/>
    <mergeCell ref="D272:H272"/>
    <mergeCell ref="A224:B224"/>
    <mergeCell ref="L224:M224"/>
    <mergeCell ref="A225:B225"/>
    <mergeCell ref="L225:M225"/>
    <mergeCell ref="A227:B227"/>
    <mergeCell ref="L227:M227"/>
    <mergeCell ref="A228:B228"/>
    <mergeCell ref="L228:M228"/>
    <mergeCell ref="A229:B229"/>
    <mergeCell ref="L229:M229"/>
    <mergeCell ref="L240:M240"/>
    <mergeCell ref="A231:H231"/>
    <mergeCell ref="A232:B232"/>
    <mergeCell ref="D232:H232"/>
    <mergeCell ref="A259:B259"/>
    <mergeCell ref="L259:M259"/>
    <mergeCell ref="A260:B260"/>
    <mergeCell ref="L260:M260"/>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7:E148">
      <formula1>"Attached Loft area,Attached Otla area,Attached Mezzanine area"</formula1>
    </dataValidation>
    <dataValidation type="list" allowBlank="1" showInputMessage="1" showErrorMessage="1" sqref="G331:H331">
      <formula1>"Kunal Kadam,Pranita Mhatre,Shruti Fule,Pooja Kawale,Gaurav Panchal,Shruti Tathare, Dipti Gothawade,Saurav Panse, Sachin Sawant"</formula1>
    </dataValidation>
    <dataValidation type="list" allowBlank="1" showInputMessage="1" showErrorMessage="1" sqref="F120:H120">
      <formula1>"On Saleable Area,On Builtup Area,On Carpet Area,On Plot Area"</formula1>
    </dataValidation>
    <dataValidation type="list" allowBlank="1" showInputMessage="1" showErrorMessage="1" sqref="F131:H131">
      <formula1>OFFSET($S$120,1,MATCH($G20,$S$120:$W$120,0)-1,15,1)</formula1>
    </dataValidation>
    <dataValidation type="list" allowBlank="1" showInputMessage="1" showErrorMessage="1" sqref="B147:B148">
      <formula1>"Shop No. (Sale Plan),Sale / Rehab,Sale / Mhada"</formula1>
    </dataValidation>
    <dataValidation type="list" allowBlank="1" showInputMessage="1" showErrorMessage="1" sqref="B164:B165">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64:E165">
      <formula1>"Fungible area,Balcony Area,Chajja Area,Cornice Area,AP Area,WS Area"</formula1>
    </dataValidation>
    <dataValidation type="list" allowBlank="1" showInputMessage="1" showErrorMessage="1" sqref="H165 H148">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7 H164">
      <formula1>"Saleable area Loading :,Builder Saleable Area"</formula1>
    </dataValidation>
    <dataValidation type="list" allowBlank="1" showInputMessage="1" showErrorMessage="1" sqref="D164:D165 D147:D148">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335" max="16383" man="1"/>
    <brk id="378" max="16383" man="1"/>
    <brk id="421"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95" t="s">
        <v>102</v>
      </c>
      <c r="C3" s="295"/>
      <c r="D3" s="295"/>
      <c r="E3" s="295"/>
      <c r="F3" s="295"/>
      <c r="G3" s="295"/>
      <c r="H3" s="295"/>
    </row>
    <row r="4" spans="1:9" x14ac:dyDescent="0.25">
      <c r="A4" s="2"/>
      <c r="B4" s="3" t="s">
        <v>103</v>
      </c>
      <c r="C4" s="3" t="s">
        <v>104</v>
      </c>
      <c r="D4" s="3" t="s">
        <v>65</v>
      </c>
      <c r="E4" s="3" t="s">
        <v>105</v>
      </c>
      <c r="F4" s="3" t="s">
        <v>111</v>
      </c>
      <c r="G4" s="3" t="s">
        <v>112</v>
      </c>
      <c r="H4" s="3" t="s">
        <v>106</v>
      </c>
    </row>
    <row r="5" spans="1:9" ht="15" customHeight="1" x14ac:dyDescent="0.25">
      <c r="A5" s="2"/>
      <c r="B5" s="5" t="s">
        <v>107</v>
      </c>
      <c r="C5" s="6"/>
      <c r="D5" s="5"/>
      <c r="E5" s="5"/>
      <c r="F5" s="7">
        <f>E5*1.6</f>
        <v>0</v>
      </c>
      <c r="G5" s="7" t="e">
        <f>H5/F5</f>
        <v>#DIV/0!</v>
      </c>
      <c r="H5" s="8"/>
    </row>
    <row r="6" spans="1:9" x14ac:dyDescent="0.25">
      <c r="A6" s="2"/>
      <c r="B6" s="5" t="s">
        <v>107</v>
      </c>
      <c r="C6" s="9"/>
      <c r="D6" s="5"/>
      <c r="E6" s="5"/>
      <c r="F6" s="7">
        <f t="shared" ref="F6:F11" si="0">E6*1.6</f>
        <v>0</v>
      </c>
      <c r="G6" s="7" t="e">
        <f t="shared" ref="G6:G11" si="1">H6/F6</f>
        <v>#DIV/0!</v>
      </c>
      <c r="H6" s="8"/>
    </row>
    <row r="7" spans="1:9" ht="15" customHeight="1" x14ac:dyDescent="0.25">
      <c r="A7" s="2"/>
      <c r="B7" s="5" t="s">
        <v>107</v>
      </c>
      <c r="C7" s="6"/>
      <c r="D7" s="5"/>
      <c r="E7" s="5"/>
      <c r="F7" s="7">
        <f t="shared" si="0"/>
        <v>0</v>
      </c>
      <c r="G7" s="7" t="e">
        <f t="shared" si="1"/>
        <v>#DIV/0!</v>
      </c>
      <c r="H7" s="8"/>
    </row>
    <row r="8" spans="1:9" x14ac:dyDescent="0.25">
      <c r="A8" s="2"/>
      <c r="B8" s="5" t="s">
        <v>107</v>
      </c>
      <c r="C8" s="9"/>
      <c r="D8" s="5"/>
      <c r="E8" s="5"/>
      <c r="F8" s="7">
        <f t="shared" si="0"/>
        <v>0</v>
      </c>
      <c r="G8" s="7" t="e">
        <f t="shared" si="1"/>
        <v>#DIV/0!</v>
      </c>
      <c r="H8" s="8"/>
    </row>
    <row r="9" spans="1:9" ht="15" customHeight="1" x14ac:dyDescent="0.25">
      <c r="A9" s="2"/>
      <c r="B9" s="5" t="s">
        <v>107</v>
      </c>
      <c r="C9" s="9"/>
      <c r="D9" s="5"/>
      <c r="E9" s="5"/>
      <c r="F9" s="7">
        <f t="shared" si="0"/>
        <v>0</v>
      </c>
      <c r="G9" s="7" t="e">
        <f t="shared" si="1"/>
        <v>#DIV/0!</v>
      </c>
      <c r="H9" s="8"/>
    </row>
    <row r="10" spans="1:9" ht="15" customHeight="1" x14ac:dyDescent="0.25">
      <c r="A10" s="2"/>
      <c r="B10" s="5" t="s">
        <v>108</v>
      </c>
      <c r="C10" s="6"/>
      <c r="D10" s="5"/>
      <c r="E10" s="5"/>
      <c r="F10" s="7">
        <f t="shared" si="0"/>
        <v>0</v>
      </c>
      <c r="G10" s="7" t="e">
        <f t="shared" si="1"/>
        <v>#DIV/0!</v>
      </c>
      <c r="H10" s="8"/>
    </row>
    <row r="11" spans="1:9" ht="15" customHeight="1" x14ac:dyDescent="0.25">
      <c r="A11" s="2"/>
      <c r="B11" s="5" t="s">
        <v>108</v>
      </c>
      <c r="C11" s="6"/>
      <c r="D11" s="5"/>
      <c r="E11" s="5"/>
      <c r="F11" s="7">
        <f t="shared" si="0"/>
        <v>0</v>
      </c>
      <c r="G11" s="7" t="e">
        <f t="shared" si="1"/>
        <v>#DIV/0!</v>
      </c>
      <c r="H11" s="8"/>
    </row>
    <row r="12" spans="1:9" ht="15" customHeight="1" x14ac:dyDescent="0.25">
      <c r="A12" s="2"/>
      <c r="B12" s="10" t="s">
        <v>109</v>
      </c>
      <c r="C12" s="5"/>
      <c r="D12" s="5"/>
      <c r="E12" s="5"/>
      <c r="F12" s="5"/>
      <c r="G12" s="11" t="e">
        <f>AVERAGE(G5:G11)</f>
        <v>#DIV/0!</v>
      </c>
      <c r="H12" s="5"/>
    </row>
    <row r="13" spans="1:9" ht="15" customHeight="1" x14ac:dyDescent="0.25">
      <c r="B13" s="10" t="s">
        <v>110</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2"/>
      <c r="C4" s="52" t="s">
        <v>11</v>
      </c>
      <c r="D4" s="53" t="s">
        <v>174</v>
      </c>
      <c r="E4" s="53" t="s">
        <v>184</v>
      </c>
      <c r="F4" s="53" t="s">
        <v>167</v>
      </c>
      <c r="G4" s="53" t="s">
        <v>189</v>
      </c>
      <c r="H4" s="53" t="s">
        <v>207</v>
      </c>
      <c r="J4" t="s">
        <v>189</v>
      </c>
      <c r="K4" t="s">
        <v>205</v>
      </c>
    </row>
    <row r="5" spans="2:11" x14ac:dyDescent="0.25">
      <c r="B5" s="52"/>
      <c r="C5" s="52"/>
      <c r="D5" s="53" t="s">
        <v>175</v>
      </c>
      <c r="E5" s="53" t="s">
        <v>182</v>
      </c>
      <c r="F5" s="53" t="s">
        <v>204</v>
      </c>
      <c r="G5" s="53" t="s">
        <v>190</v>
      </c>
      <c r="H5" s="53" t="s">
        <v>208</v>
      </c>
    </row>
    <row r="6" spans="2:11" x14ac:dyDescent="0.25">
      <c r="B6" s="52"/>
      <c r="C6" s="52"/>
      <c r="D6" s="53" t="s">
        <v>176</v>
      </c>
      <c r="E6" s="53" t="s">
        <v>183</v>
      </c>
      <c r="F6" s="53" t="s">
        <v>205</v>
      </c>
      <c r="G6" s="53" t="s">
        <v>191</v>
      </c>
      <c r="H6" s="53" t="s">
        <v>221</v>
      </c>
    </row>
    <row r="7" spans="2:11" x14ac:dyDescent="0.25">
      <c r="B7" s="52"/>
      <c r="C7" s="52"/>
      <c r="D7" s="53" t="s">
        <v>177</v>
      </c>
      <c r="E7" s="53" t="s">
        <v>185</v>
      </c>
      <c r="F7" s="53" t="s">
        <v>206</v>
      </c>
      <c r="G7" s="53" t="s">
        <v>192</v>
      </c>
      <c r="H7" s="53" t="s">
        <v>209</v>
      </c>
    </row>
    <row r="8" spans="2:11" x14ac:dyDescent="0.25">
      <c r="B8" s="52"/>
      <c r="C8" s="52"/>
      <c r="D8" s="53" t="s">
        <v>178</v>
      </c>
      <c r="E8" s="53" t="s">
        <v>186</v>
      </c>
      <c r="F8" s="53"/>
      <c r="G8" s="53" t="s">
        <v>193</v>
      </c>
      <c r="H8" s="53" t="s">
        <v>210</v>
      </c>
    </row>
    <row r="9" spans="2:11" x14ac:dyDescent="0.25">
      <c r="B9" s="52"/>
      <c r="C9" s="52"/>
      <c r="D9" s="53" t="s">
        <v>179</v>
      </c>
      <c r="E9" s="53" t="s">
        <v>184</v>
      </c>
      <c r="F9" s="53"/>
      <c r="G9" s="53" t="s">
        <v>194</v>
      </c>
      <c r="H9" s="53" t="s">
        <v>211</v>
      </c>
    </row>
    <row r="10" spans="2:11" x14ac:dyDescent="0.25">
      <c r="B10" s="52"/>
      <c r="C10" s="52"/>
      <c r="D10" s="53" t="s">
        <v>180</v>
      </c>
      <c r="E10" s="53" t="s">
        <v>187</v>
      </c>
      <c r="F10" s="53"/>
      <c r="G10" s="53" t="s">
        <v>195</v>
      </c>
      <c r="H10" s="53" t="s">
        <v>212</v>
      </c>
    </row>
    <row r="11" spans="2:11" x14ac:dyDescent="0.25">
      <c r="B11" s="52"/>
      <c r="C11" s="52"/>
      <c r="D11" s="53" t="s">
        <v>181</v>
      </c>
      <c r="E11" s="53" t="s">
        <v>188</v>
      </c>
      <c r="F11" s="53"/>
      <c r="G11" s="53" t="s">
        <v>196</v>
      </c>
      <c r="H11" s="53" t="s">
        <v>213</v>
      </c>
    </row>
    <row r="12" spans="2:11" x14ac:dyDescent="0.25">
      <c r="B12" s="52"/>
      <c r="C12" s="52"/>
      <c r="D12" s="53"/>
      <c r="E12" s="53"/>
      <c r="F12" s="53"/>
      <c r="G12" s="53" t="s">
        <v>197</v>
      </c>
      <c r="H12" s="53" t="s">
        <v>214</v>
      </c>
    </row>
    <row r="13" spans="2:11" x14ac:dyDescent="0.25">
      <c r="B13" s="52"/>
      <c r="C13" s="52"/>
      <c r="D13" s="53"/>
      <c r="E13" s="53"/>
      <c r="F13" s="53"/>
      <c r="G13" s="53" t="s">
        <v>198</v>
      </c>
      <c r="H13" s="53" t="s">
        <v>215</v>
      </c>
    </row>
    <row r="14" spans="2:11" x14ac:dyDescent="0.25">
      <c r="B14" s="52"/>
      <c r="C14" s="52"/>
      <c r="D14" s="53"/>
      <c r="E14" s="53"/>
      <c r="F14" s="53"/>
      <c r="G14" s="53" t="s">
        <v>199</v>
      </c>
      <c r="H14" s="53" t="s">
        <v>216</v>
      </c>
    </row>
    <row r="15" spans="2:11" x14ac:dyDescent="0.25">
      <c r="B15" s="52"/>
      <c r="C15" s="52"/>
      <c r="D15" s="53"/>
      <c r="E15" s="53"/>
      <c r="F15" s="53"/>
      <c r="G15" s="53" t="s">
        <v>200</v>
      </c>
      <c r="H15" s="53" t="s">
        <v>217</v>
      </c>
    </row>
    <row r="16" spans="2:11" x14ac:dyDescent="0.25">
      <c r="B16" s="52"/>
      <c r="C16" s="52"/>
      <c r="D16" s="53"/>
      <c r="E16" s="53"/>
      <c r="F16" s="53"/>
      <c r="G16" s="53" t="s">
        <v>201</v>
      </c>
      <c r="H16" s="53" t="s">
        <v>218</v>
      </c>
    </row>
    <row r="17" spans="2:8" x14ac:dyDescent="0.25">
      <c r="B17" s="52"/>
      <c r="C17" s="52"/>
      <c r="D17" s="53"/>
      <c r="E17" s="53"/>
      <c r="F17" s="53"/>
      <c r="G17" s="53" t="s">
        <v>202</v>
      </c>
      <c r="H17" s="53" t="s">
        <v>219</v>
      </c>
    </row>
    <row r="18" spans="2:8" x14ac:dyDescent="0.25">
      <c r="B18" s="52"/>
      <c r="C18" s="52"/>
      <c r="D18" s="53"/>
      <c r="E18" s="53"/>
      <c r="F18" s="53"/>
      <c r="G18" s="53" t="s">
        <v>203</v>
      </c>
      <c r="H18" s="53" t="s">
        <v>220</v>
      </c>
    </row>
    <row r="24" spans="2:8" x14ac:dyDescent="0.25">
      <c r="C24" t="s">
        <v>164</v>
      </c>
    </row>
    <row r="25" spans="2:8" x14ac:dyDescent="0.25">
      <c r="C25" t="s">
        <v>222</v>
      </c>
    </row>
    <row r="26" spans="2:8" x14ac:dyDescent="0.25">
      <c r="C26" t="s">
        <v>223</v>
      </c>
    </row>
    <row r="27" spans="2:8" x14ac:dyDescent="0.25">
      <c r="C27" t="s">
        <v>224</v>
      </c>
    </row>
    <row r="28" spans="2:8" x14ac:dyDescent="0.25">
      <c r="C28" t="s">
        <v>225</v>
      </c>
    </row>
    <row r="29" spans="2:8" x14ac:dyDescent="0.25">
      <c r="C29" t="s">
        <v>226</v>
      </c>
    </row>
    <row r="30" spans="2:8" x14ac:dyDescent="0.25">
      <c r="C30" t="s">
        <v>164</v>
      </c>
    </row>
    <row r="33" spans="3:11" x14ac:dyDescent="0.25">
      <c r="J33">
        <v>1</v>
      </c>
      <c r="K33">
        <v>2</v>
      </c>
    </row>
    <row r="34" spans="3:11" x14ac:dyDescent="0.25">
      <c r="C34" s="56" t="s">
        <v>232</v>
      </c>
      <c r="D34" s="53" t="s">
        <v>230</v>
      </c>
      <c r="E34" s="53" t="s">
        <v>235</v>
      </c>
      <c r="F34" s="53" t="s">
        <v>233</v>
      </c>
      <c r="G34" s="53" t="s">
        <v>234</v>
      </c>
      <c r="H34" s="53" t="s">
        <v>236</v>
      </c>
      <c r="J34" t="s">
        <v>189</v>
      </c>
      <c r="K34" t="s">
        <v>205</v>
      </c>
    </row>
    <row r="35" spans="3:11" x14ac:dyDescent="0.25">
      <c r="C35" s="52" t="s">
        <v>231</v>
      </c>
      <c r="D35" s="53" t="s">
        <v>165</v>
      </c>
      <c r="E35" s="53" t="s">
        <v>240</v>
      </c>
      <c r="F35" s="53" t="s">
        <v>242</v>
      </c>
      <c r="G35" s="53" t="s">
        <v>244</v>
      </c>
      <c r="H35" s="53"/>
    </row>
    <row r="36" spans="3:11" x14ac:dyDescent="0.25">
      <c r="C36" s="52"/>
      <c r="D36" s="53" t="s">
        <v>237</v>
      </c>
      <c r="E36" s="53" t="s">
        <v>241</v>
      </c>
      <c r="F36" s="53" t="s">
        <v>243</v>
      </c>
      <c r="G36" s="53" t="s">
        <v>245</v>
      </c>
      <c r="H36" s="53"/>
    </row>
    <row r="37" spans="3:11" x14ac:dyDescent="0.25">
      <c r="C37" s="52"/>
      <c r="D37" s="53" t="s">
        <v>238</v>
      </c>
      <c r="E37" s="53"/>
      <c r="F37" s="53"/>
      <c r="G37" s="53" t="s">
        <v>246</v>
      </c>
      <c r="H37" s="53"/>
    </row>
    <row r="38" spans="3:11" x14ac:dyDescent="0.25">
      <c r="C38" s="52"/>
      <c r="D38" s="53" t="s">
        <v>239</v>
      </c>
      <c r="E38" s="53"/>
      <c r="F38" s="53"/>
      <c r="G38" s="53" t="s">
        <v>246</v>
      </c>
      <c r="H38" s="53"/>
    </row>
    <row r="39" spans="3:11" x14ac:dyDescent="0.25">
      <c r="C39" s="52"/>
      <c r="D39" s="53"/>
      <c r="E39" s="53"/>
      <c r="F39" s="53"/>
      <c r="G39" s="53" t="s">
        <v>247</v>
      </c>
      <c r="H39" s="53"/>
    </row>
    <row r="40" spans="3:11" x14ac:dyDescent="0.25">
      <c r="C40" s="52"/>
      <c r="D40" s="53"/>
      <c r="E40" s="53"/>
      <c r="F40" s="53"/>
      <c r="G40" s="53" t="s">
        <v>248</v>
      </c>
      <c r="H40" s="53"/>
    </row>
    <row r="41" spans="3:11" x14ac:dyDescent="0.25">
      <c r="C41" s="52"/>
      <c r="D41" s="53"/>
      <c r="E41" s="53"/>
      <c r="F41" s="53"/>
      <c r="G41" s="53"/>
      <c r="H41" s="53"/>
    </row>
    <row r="43" spans="3:11" x14ac:dyDescent="0.25">
      <c r="C43" t="s">
        <v>249</v>
      </c>
    </row>
    <row r="44" spans="3:11" x14ac:dyDescent="0.25">
      <c r="C44" t="s">
        <v>167</v>
      </c>
      <c r="D44" t="s">
        <v>250</v>
      </c>
    </row>
    <row r="45" spans="3:11" x14ac:dyDescent="0.25">
      <c r="D45" t="s">
        <v>251</v>
      </c>
    </row>
    <row r="46" spans="3:11" x14ac:dyDescent="0.25">
      <c r="D46" t="s">
        <v>252</v>
      </c>
    </row>
    <row r="47" spans="3:11" x14ac:dyDescent="0.25">
      <c r="D47" t="s">
        <v>253</v>
      </c>
    </row>
    <row r="48" spans="3:11" x14ac:dyDescent="0.25">
      <c r="D48" t="s">
        <v>254</v>
      </c>
    </row>
    <row r="49" spans="3:4" x14ac:dyDescent="0.25">
      <c r="C49" t="s">
        <v>174</v>
      </c>
      <c r="D49" t="s">
        <v>255</v>
      </c>
    </row>
    <row r="50" spans="3:4" x14ac:dyDescent="0.25">
      <c r="D50" t="s">
        <v>256</v>
      </c>
    </row>
    <row r="51" spans="3:4" x14ac:dyDescent="0.25">
      <c r="D51" t="s">
        <v>257</v>
      </c>
    </row>
    <row r="52" spans="3:4" x14ac:dyDescent="0.25">
      <c r="D52" t="s">
        <v>260</v>
      </c>
    </row>
    <row r="53" spans="3:4" x14ac:dyDescent="0.25">
      <c r="D53" t="s">
        <v>258</v>
      </c>
    </row>
    <row r="54" spans="3:4" x14ac:dyDescent="0.25">
      <c r="D54" t="s">
        <v>259</v>
      </c>
    </row>
    <row r="55" spans="3:4" x14ac:dyDescent="0.25">
      <c r="D55" t="s">
        <v>261</v>
      </c>
    </row>
    <row r="56" spans="3:4" x14ac:dyDescent="0.25">
      <c r="D56" t="s">
        <v>262</v>
      </c>
    </row>
    <row r="57" spans="3:4" x14ac:dyDescent="0.25">
      <c r="D57" t="s">
        <v>263</v>
      </c>
    </row>
    <row r="58" spans="3:4" x14ac:dyDescent="0.25">
      <c r="D58" t="s">
        <v>265</v>
      </c>
    </row>
    <row r="59" spans="3:4" x14ac:dyDescent="0.25">
      <c r="D59" t="s">
        <v>274</v>
      </c>
    </row>
    <row r="60" spans="3:4" x14ac:dyDescent="0.25">
      <c r="C60" t="s">
        <v>189</v>
      </c>
      <c r="D60" t="s">
        <v>266</v>
      </c>
    </row>
    <row r="61" spans="3:4" x14ac:dyDescent="0.25">
      <c r="D61" t="s">
        <v>264</v>
      </c>
    </row>
    <row r="62" spans="3:4" x14ac:dyDescent="0.25">
      <c r="D62" t="s">
        <v>254</v>
      </c>
    </row>
    <row r="63" spans="3:4" x14ac:dyDescent="0.25">
      <c r="D63" t="s">
        <v>267</v>
      </c>
    </row>
    <row r="64" spans="3:4" x14ac:dyDescent="0.25">
      <c r="D64" t="s">
        <v>268</v>
      </c>
    </row>
    <row r="65" spans="3:4" x14ac:dyDescent="0.25">
      <c r="D65" t="s">
        <v>269</v>
      </c>
    </row>
    <row r="66" spans="3:4" x14ac:dyDescent="0.25">
      <c r="D66" t="s">
        <v>270</v>
      </c>
    </row>
    <row r="67" spans="3:4" x14ac:dyDescent="0.25">
      <c r="C67" t="s">
        <v>184</v>
      </c>
      <c r="D67" t="s">
        <v>271</v>
      </c>
    </row>
    <row r="68" spans="3:4" x14ac:dyDescent="0.25">
      <c r="D68" t="s">
        <v>272</v>
      </c>
    </row>
    <row r="69" spans="3:4" x14ac:dyDescent="0.25">
      <c r="D69" t="s">
        <v>273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1"/>
  <sheetViews>
    <sheetView topLeftCell="A44" zoomScale="85" zoomScaleNormal="85" workbookViewId="0">
      <selection activeCell="C55" sqref="C55"/>
    </sheetView>
  </sheetViews>
  <sheetFormatPr defaultRowHeight="15" x14ac:dyDescent="0.25"/>
  <cols>
    <col min="2" max="2" width="3" bestFit="1" customWidth="1"/>
    <col min="3" max="3" width="155.28515625" customWidth="1"/>
  </cols>
  <sheetData>
    <row r="2" spans="2:3" ht="15" customHeight="1" x14ac:dyDescent="0.25">
      <c r="B2" s="57">
        <v>1</v>
      </c>
      <c r="C2" s="60" t="s">
        <v>279</v>
      </c>
    </row>
    <row r="3" spans="2:3" x14ac:dyDescent="0.25">
      <c r="B3" s="57">
        <v>2</v>
      </c>
      <c r="C3" s="58" t="s">
        <v>280</v>
      </c>
    </row>
    <row r="4" spans="2:3" x14ac:dyDescent="0.25">
      <c r="B4" s="57">
        <v>3</v>
      </c>
      <c r="C4" s="59" t="s">
        <v>281</v>
      </c>
    </row>
    <row r="5" spans="2:3" x14ac:dyDescent="0.25">
      <c r="B5" s="57">
        <v>4</v>
      </c>
      <c r="C5" s="58" t="s">
        <v>282</v>
      </c>
    </row>
    <row r="6" spans="2:3" x14ac:dyDescent="0.25">
      <c r="B6" s="57">
        <v>5</v>
      </c>
      <c r="C6" s="59" t="s">
        <v>283</v>
      </c>
    </row>
    <row r="7" spans="2:3" ht="30" x14ac:dyDescent="0.25">
      <c r="B7" s="57">
        <v>6</v>
      </c>
      <c r="C7" s="58" t="s">
        <v>284</v>
      </c>
    </row>
    <row r="8" spans="2:3" ht="75" x14ac:dyDescent="0.25">
      <c r="B8" s="57">
        <v>7</v>
      </c>
      <c r="C8" s="58" t="s">
        <v>285</v>
      </c>
    </row>
    <row r="9" spans="2:3" x14ac:dyDescent="0.25">
      <c r="B9" s="57">
        <v>8</v>
      </c>
      <c r="C9" s="59" t="s">
        <v>286</v>
      </c>
    </row>
    <row r="10" spans="2:3" x14ac:dyDescent="0.25">
      <c r="B10" s="57">
        <v>9</v>
      </c>
      <c r="C10" s="59" t="s">
        <v>287</v>
      </c>
    </row>
    <row r="11" spans="2:3" x14ac:dyDescent="0.25">
      <c r="B11" s="57">
        <v>10</v>
      </c>
      <c r="C11" s="59" t="s">
        <v>288</v>
      </c>
    </row>
    <row r="12" spans="2:3" x14ac:dyDescent="0.25">
      <c r="B12" s="57">
        <v>11</v>
      </c>
      <c r="C12" s="59" t="s">
        <v>289</v>
      </c>
    </row>
    <row r="13" spans="2:3" x14ac:dyDescent="0.25">
      <c r="B13" s="57">
        <v>12</v>
      </c>
      <c r="C13" s="59" t="s">
        <v>290</v>
      </c>
    </row>
    <row r="14" spans="2:3" x14ac:dyDescent="0.25">
      <c r="B14" s="57">
        <v>13</v>
      </c>
      <c r="C14" s="59" t="s">
        <v>291</v>
      </c>
    </row>
    <row r="15" spans="2:3" x14ac:dyDescent="0.25">
      <c r="B15" s="57">
        <v>14</v>
      </c>
      <c r="C15" s="59" t="s">
        <v>281</v>
      </c>
    </row>
    <row r="16" spans="2:3" x14ac:dyDescent="0.25">
      <c r="B16" s="57">
        <v>15</v>
      </c>
      <c r="C16" s="59" t="s">
        <v>294</v>
      </c>
    </row>
    <row r="17" spans="2:3" x14ac:dyDescent="0.25">
      <c r="B17" s="82">
        <v>16</v>
      </c>
      <c r="C17" s="65" t="s">
        <v>295</v>
      </c>
    </row>
    <row r="18" spans="2:3" x14ac:dyDescent="0.25">
      <c r="B18" s="64">
        <v>17</v>
      </c>
      <c r="C18" s="65" t="s">
        <v>296</v>
      </c>
    </row>
    <row r="19" spans="2:3" x14ac:dyDescent="0.25">
      <c r="B19" s="63">
        <v>18</v>
      </c>
      <c r="C19" s="57" t="s">
        <v>297</v>
      </c>
    </row>
    <row r="20" spans="2:3" x14ac:dyDescent="0.25">
      <c r="B20" s="64">
        <v>19</v>
      </c>
      <c r="C20" s="57" t="s">
        <v>333</v>
      </c>
    </row>
    <row r="21" spans="2:3" x14ac:dyDescent="0.25">
      <c r="B21" s="66">
        <v>20</v>
      </c>
      <c r="C21" s="57" t="s">
        <v>298</v>
      </c>
    </row>
    <row r="22" spans="2:3" x14ac:dyDescent="0.25">
      <c r="B22" s="64">
        <v>21</v>
      </c>
      <c r="C22" s="57" t="s">
        <v>297</v>
      </c>
    </row>
    <row r="23" spans="2:3" s="74" customFormat="1" ht="29.25" customHeight="1" x14ac:dyDescent="0.25">
      <c r="B23" s="73">
        <v>22</v>
      </c>
      <c r="C23" s="60" t="s">
        <v>325</v>
      </c>
    </row>
    <row r="24" spans="2:3" s="74" customFormat="1" ht="30.75" customHeight="1" x14ac:dyDescent="0.25">
      <c r="B24" s="75">
        <v>23</v>
      </c>
      <c r="C24" s="60" t="s">
        <v>326</v>
      </c>
    </row>
    <row r="25" spans="2:3" x14ac:dyDescent="0.25">
      <c r="B25" s="66">
        <v>24</v>
      </c>
      <c r="C25" s="57" t="s">
        <v>329</v>
      </c>
    </row>
    <row r="26" spans="2:3" x14ac:dyDescent="0.25">
      <c r="B26" s="64">
        <v>25</v>
      </c>
      <c r="C26" s="57" t="s">
        <v>327</v>
      </c>
    </row>
    <row r="27" spans="2:3" x14ac:dyDescent="0.25">
      <c r="B27" s="75">
        <v>26</v>
      </c>
      <c r="C27" s="66" t="s">
        <v>328</v>
      </c>
    </row>
    <row r="28" spans="2:3" x14ac:dyDescent="0.25">
      <c r="B28" s="76">
        <v>27</v>
      </c>
      <c r="C28" s="57" t="s">
        <v>330</v>
      </c>
    </row>
    <row r="29" spans="2:3" ht="60" x14ac:dyDescent="0.25">
      <c r="B29" s="81">
        <v>28</v>
      </c>
      <c r="C29" s="58" t="s">
        <v>331</v>
      </c>
    </row>
    <row r="30" spans="2:3" x14ac:dyDescent="0.25">
      <c r="B30" s="75">
        <v>29</v>
      </c>
      <c r="C30" s="57" t="s">
        <v>332</v>
      </c>
    </row>
    <row r="31" spans="2:3" ht="30" x14ac:dyDescent="0.25">
      <c r="B31" s="83">
        <v>30</v>
      </c>
      <c r="C31" s="58" t="s">
        <v>334</v>
      </c>
    </row>
    <row r="32" spans="2:3" x14ac:dyDescent="0.25">
      <c r="B32" s="75">
        <v>31</v>
      </c>
      <c r="C32" s="57" t="s">
        <v>335</v>
      </c>
    </row>
    <row r="33" spans="2:4" x14ac:dyDescent="0.25">
      <c r="B33" s="75">
        <v>32</v>
      </c>
      <c r="C33" s="57" t="s">
        <v>336</v>
      </c>
    </row>
    <row r="34" spans="2:4" ht="36.75" customHeight="1" x14ac:dyDescent="0.25">
      <c r="B34" s="83">
        <v>33</v>
      </c>
      <c r="C34" s="65" t="s">
        <v>337</v>
      </c>
    </row>
    <row r="35" spans="2:4" x14ac:dyDescent="0.25">
      <c r="B35" s="88">
        <v>34</v>
      </c>
      <c r="C35" s="57" t="s">
        <v>345</v>
      </c>
    </row>
    <row r="36" spans="2:4" ht="60" x14ac:dyDescent="0.25">
      <c r="B36" s="73">
        <v>35</v>
      </c>
      <c r="C36" s="58" t="s">
        <v>348</v>
      </c>
    </row>
    <row r="37" spans="2:4" x14ac:dyDescent="0.25">
      <c r="B37" s="57">
        <v>36</v>
      </c>
      <c r="C37" s="58" t="s">
        <v>359</v>
      </c>
    </row>
    <row r="38" spans="2:4" x14ac:dyDescent="0.25">
      <c r="B38" s="57">
        <f t="shared" ref="B38:B44" si="0">B37+1</f>
        <v>37</v>
      </c>
      <c r="C38" s="57" t="s">
        <v>355</v>
      </c>
    </row>
    <row r="39" spans="2:4" x14ac:dyDescent="0.25">
      <c r="B39" s="57">
        <f t="shared" si="0"/>
        <v>38</v>
      </c>
      <c r="C39" s="57" t="s">
        <v>356</v>
      </c>
    </row>
    <row r="40" spans="2:4" x14ac:dyDescent="0.25">
      <c r="B40" s="57">
        <f t="shared" si="0"/>
        <v>39</v>
      </c>
      <c r="C40" s="57" t="s">
        <v>357</v>
      </c>
    </row>
    <row r="41" spans="2:4" x14ac:dyDescent="0.25">
      <c r="B41" s="57">
        <f t="shared" si="0"/>
        <v>40</v>
      </c>
      <c r="C41" s="57" t="s">
        <v>358</v>
      </c>
    </row>
    <row r="42" spans="2:4" ht="30.75" thickBot="1" x14ac:dyDescent="0.3">
      <c r="B42" s="89">
        <f t="shared" si="0"/>
        <v>41</v>
      </c>
      <c r="C42" s="90" t="s">
        <v>360</v>
      </c>
    </row>
    <row r="43" spans="2:4" ht="30" x14ac:dyDescent="0.25">
      <c r="B43" s="93">
        <f t="shared" si="0"/>
        <v>42</v>
      </c>
      <c r="C43" s="98" t="s">
        <v>365</v>
      </c>
      <c r="D43" t="s">
        <v>366</v>
      </c>
    </row>
    <row r="44" spans="2:4" ht="15.75" thickBot="1" x14ac:dyDescent="0.3">
      <c r="B44" s="95">
        <f t="shared" si="0"/>
        <v>43</v>
      </c>
      <c r="C44" s="97" t="s">
        <v>361</v>
      </c>
    </row>
    <row r="45" spans="2:4" ht="15.75" thickBot="1" x14ac:dyDescent="0.3">
      <c r="B45" s="91">
        <f t="shared" ref="B45:B51" si="1">B44+1</f>
        <v>44</v>
      </c>
      <c r="C45" s="92" t="s">
        <v>362</v>
      </c>
    </row>
    <row r="46" spans="2:4" ht="30" x14ac:dyDescent="0.25">
      <c r="B46" s="93">
        <f t="shared" si="1"/>
        <v>45</v>
      </c>
      <c r="C46" s="94" t="s">
        <v>363</v>
      </c>
    </row>
    <row r="47" spans="2:4" ht="15.75" thickBot="1" x14ac:dyDescent="0.3">
      <c r="B47" s="95">
        <f t="shared" si="1"/>
        <v>46</v>
      </c>
      <c r="C47" s="96" t="s">
        <v>364</v>
      </c>
    </row>
    <row r="48" spans="2:4" x14ac:dyDescent="0.25">
      <c r="B48" s="99">
        <f t="shared" si="1"/>
        <v>47</v>
      </c>
      <c r="C48" s="100" t="s">
        <v>367</v>
      </c>
    </row>
    <row r="49" spans="2:4" x14ac:dyDescent="0.25">
      <c r="B49" s="99">
        <f t="shared" si="1"/>
        <v>48</v>
      </c>
      <c r="C49" s="100" t="s">
        <v>368</v>
      </c>
    </row>
    <row r="50" spans="2:4" x14ac:dyDescent="0.25">
      <c r="B50" s="99">
        <f t="shared" si="1"/>
        <v>49</v>
      </c>
      <c r="C50" s="100" t="s">
        <v>370</v>
      </c>
      <c r="D50" t="s">
        <v>369</v>
      </c>
    </row>
    <row r="51" spans="2:4" ht="30" x14ac:dyDescent="0.25">
      <c r="B51" s="101">
        <f t="shared" si="1"/>
        <v>50</v>
      </c>
      <c r="C51" s="102" t="s">
        <v>371</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2"/>
    <col min="2" max="2" width="12.28515625" style="52" customWidth="1"/>
    <col min="3" max="16384" width="9.140625" style="52"/>
  </cols>
  <sheetData>
    <row r="2" spans="1:12" x14ac:dyDescent="0.25">
      <c r="B2" s="67" t="s">
        <v>299</v>
      </c>
      <c r="C2" s="296"/>
      <c r="D2" s="296"/>
    </row>
    <row r="3" spans="1:12" x14ac:dyDescent="0.25">
      <c r="D3" s="68"/>
      <c r="E3" s="68"/>
      <c r="F3" s="68"/>
      <c r="G3" s="68"/>
      <c r="H3" s="68"/>
      <c r="I3" s="68"/>
    </row>
    <row r="4" spans="1:12" x14ac:dyDescent="0.25">
      <c r="A4" s="67" t="s">
        <v>65</v>
      </c>
      <c r="B4" s="69" t="s">
        <v>300</v>
      </c>
      <c r="C4" s="297" t="s">
        <v>301</v>
      </c>
      <c r="D4" s="297"/>
      <c r="E4" s="297"/>
      <c r="F4" s="69"/>
      <c r="G4" s="298" t="s">
        <v>302</v>
      </c>
      <c r="H4" s="298"/>
      <c r="I4" s="298"/>
      <c r="J4" s="299" t="s">
        <v>303</v>
      </c>
      <c r="K4" s="299"/>
      <c r="L4" s="299"/>
    </row>
    <row r="5" spans="1:12" x14ac:dyDescent="0.25">
      <c r="A5" s="67"/>
      <c r="B5" s="69"/>
      <c r="C5" s="69" t="s">
        <v>304</v>
      </c>
      <c r="D5" s="69" t="s">
        <v>305</v>
      </c>
      <c r="E5" s="69" t="s">
        <v>306</v>
      </c>
      <c r="F5" s="69"/>
      <c r="G5" s="69" t="s">
        <v>304</v>
      </c>
      <c r="H5" s="69" t="s">
        <v>305</v>
      </c>
      <c r="I5" s="69" t="s">
        <v>306</v>
      </c>
      <c r="J5" s="69" t="s">
        <v>304</v>
      </c>
      <c r="K5" s="69" t="s">
        <v>305</v>
      </c>
      <c r="L5" s="69" t="s">
        <v>306</v>
      </c>
    </row>
    <row r="6" spans="1:12" x14ac:dyDescent="0.25">
      <c r="B6" s="53" t="s">
        <v>307</v>
      </c>
      <c r="C6" s="53"/>
      <c r="D6" s="53"/>
      <c r="E6" s="53">
        <f>C6*D6</f>
        <v>0</v>
      </c>
      <c r="F6" s="53" t="s">
        <v>324</v>
      </c>
      <c r="G6" s="53"/>
      <c r="H6" s="53"/>
      <c r="I6" s="53">
        <f>G6*H6</f>
        <v>0</v>
      </c>
      <c r="J6" s="53"/>
      <c r="K6" s="53"/>
      <c r="L6" s="53">
        <f>J6*K6</f>
        <v>0</v>
      </c>
    </row>
    <row r="7" spans="1:12" x14ac:dyDescent="0.25">
      <c r="B7" s="53"/>
      <c r="C7" s="53"/>
      <c r="D7" s="53"/>
      <c r="E7" s="53">
        <f t="shared" ref="E7:E41" si="0">C7*D7</f>
        <v>0</v>
      </c>
      <c r="F7" s="53" t="s">
        <v>324</v>
      </c>
      <c r="G7" s="53"/>
      <c r="H7" s="53"/>
      <c r="I7" s="53">
        <f t="shared" ref="I7:I35" si="1">G7*H7</f>
        <v>0</v>
      </c>
      <c r="J7" s="53"/>
      <c r="K7" s="53"/>
      <c r="L7" s="53">
        <f t="shared" ref="L7:L35" si="2">J7*K7</f>
        <v>0</v>
      </c>
    </row>
    <row r="8" spans="1:12" x14ac:dyDescent="0.25">
      <c r="B8" s="53"/>
      <c r="C8" s="53"/>
      <c r="D8" s="53"/>
      <c r="E8" s="53">
        <f t="shared" si="0"/>
        <v>0</v>
      </c>
      <c r="F8" s="53"/>
      <c r="G8" s="53"/>
      <c r="H8" s="53"/>
      <c r="I8" s="53">
        <f t="shared" si="1"/>
        <v>0</v>
      </c>
      <c r="J8" s="53"/>
      <c r="K8" s="53"/>
      <c r="L8" s="53">
        <f t="shared" si="2"/>
        <v>0</v>
      </c>
    </row>
    <row r="9" spans="1:12" x14ac:dyDescent="0.25">
      <c r="B9" s="53"/>
      <c r="C9" s="53"/>
      <c r="D9" s="53"/>
      <c r="E9" s="53">
        <f t="shared" si="0"/>
        <v>0</v>
      </c>
      <c r="F9" s="53" t="s">
        <v>308</v>
      </c>
      <c r="G9" s="53"/>
      <c r="H9" s="53"/>
      <c r="I9" s="53">
        <f t="shared" si="1"/>
        <v>0</v>
      </c>
      <c r="J9" s="53"/>
      <c r="K9" s="53"/>
      <c r="L9" s="53">
        <f t="shared" si="2"/>
        <v>0</v>
      </c>
    </row>
    <row r="10" spans="1:12" x14ac:dyDescent="0.25">
      <c r="B10" s="53" t="s">
        <v>309</v>
      </c>
      <c r="C10" s="53"/>
      <c r="D10" s="53"/>
      <c r="E10" s="53">
        <f t="shared" si="0"/>
        <v>0</v>
      </c>
      <c r="F10" s="53" t="s">
        <v>308</v>
      </c>
      <c r="G10" s="53"/>
      <c r="H10" s="53"/>
      <c r="I10" s="53">
        <f t="shared" si="1"/>
        <v>0</v>
      </c>
      <c r="J10" s="53"/>
      <c r="K10" s="53"/>
      <c r="L10" s="53">
        <f t="shared" si="2"/>
        <v>0</v>
      </c>
    </row>
    <row r="11" spans="1:12" x14ac:dyDescent="0.25">
      <c r="B11" s="53"/>
      <c r="C11" s="53"/>
      <c r="D11" s="53"/>
      <c r="E11" s="53">
        <f t="shared" si="0"/>
        <v>0</v>
      </c>
      <c r="F11" s="53" t="s">
        <v>310</v>
      </c>
      <c r="G11" s="53"/>
      <c r="H11" s="53"/>
      <c r="I11" s="53">
        <f t="shared" si="1"/>
        <v>0</v>
      </c>
      <c r="J11" s="53"/>
      <c r="K11" s="53"/>
      <c r="L11" s="53">
        <f t="shared" si="2"/>
        <v>0</v>
      </c>
    </row>
    <row r="12" spans="1:12" x14ac:dyDescent="0.25">
      <c r="B12" s="53"/>
      <c r="C12" s="53"/>
      <c r="D12" s="53"/>
      <c r="E12" s="53">
        <f t="shared" si="0"/>
        <v>0</v>
      </c>
      <c r="F12" s="53"/>
      <c r="G12" s="53"/>
      <c r="H12" s="53"/>
      <c r="I12" s="53">
        <f t="shared" si="1"/>
        <v>0</v>
      </c>
      <c r="J12" s="53"/>
      <c r="K12" s="53"/>
      <c r="L12" s="53">
        <f t="shared" si="2"/>
        <v>0</v>
      </c>
    </row>
    <row r="13" spans="1:12" x14ac:dyDescent="0.25">
      <c r="B13" s="53"/>
      <c r="C13" s="53"/>
      <c r="D13" s="53"/>
      <c r="E13" s="53">
        <f t="shared" si="0"/>
        <v>0</v>
      </c>
      <c r="F13" s="53"/>
      <c r="G13" s="53"/>
      <c r="H13" s="53"/>
      <c r="I13" s="53">
        <f t="shared" si="1"/>
        <v>0</v>
      </c>
      <c r="J13" s="53"/>
      <c r="K13" s="53"/>
      <c r="L13" s="53">
        <f t="shared" si="2"/>
        <v>0</v>
      </c>
    </row>
    <row r="14" spans="1:12" x14ac:dyDescent="0.25">
      <c r="B14" s="53" t="s">
        <v>311</v>
      </c>
      <c r="C14" s="53"/>
      <c r="D14" s="53"/>
      <c r="E14" s="53">
        <f t="shared" si="0"/>
        <v>0</v>
      </c>
      <c r="F14" s="53" t="s">
        <v>308</v>
      </c>
      <c r="G14" s="53"/>
      <c r="H14" s="53"/>
      <c r="I14" s="53">
        <f t="shared" si="1"/>
        <v>0</v>
      </c>
      <c r="J14" s="53"/>
      <c r="K14" s="53"/>
      <c r="L14" s="53">
        <f t="shared" si="2"/>
        <v>0</v>
      </c>
    </row>
    <row r="15" spans="1:12" x14ac:dyDescent="0.25">
      <c r="B15" s="53"/>
      <c r="C15" s="53"/>
      <c r="D15" s="53"/>
      <c r="E15" s="53">
        <f t="shared" si="0"/>
        <v>0</v>
      </c>
      <c r="F15" s="53" t="s">
        <v>310</v>
      </c>
      <c r="G15" s="53"/>
      <c r="H15" s="53"/>
      <c r="I15" s="53">
        <f t="shared" si="1"/>
        <v>0</v>
      </c>
      <c r="J15" s="53"/>
      <c r="K15" s="53"/>
      <c r="L15" s="53">
        <f t="shared" si="2"/>
        <v>0</v>
      </c>
    </row>
    <row r="16" spans="1:12" x14ac:dyDescent="0.25">
      <c r="B16" s="53"/>
      <c r="C16" s="53"/>
      <c r="D16" s="53"/>
      <c r="E16" s="53">
        <f t="shared" si="0"/>
        <v>0</v>
      </c>
      <c r="F16" s="53"/>
      <c r="G16" s="53"/>
      <c r="H16" s="53"/>
      <c r="I16" s="53">
        <f t="shared" si="1"/>
        <v>0</v>
      </c>
      <c r="J16" s="53"/>
      <c r="K16" s="53"/>
      <c r="L16" s="53">
        <f t="shared" si="2"/>
        <v>0</v>
      </c>
    </row>
    <row r="17" spans="2:12" x14ac:dyDescent="0.25">
      <c r="B17" s="53"/>
      <c r="C17" s="53"/>
      <c r="D17" s="53"/>
      <c r="E17" s="53">
        <f t="shared" si="0"/>
        <v>0</v>
      </c>
      <c r="F17" s="53"/>
      <c r="G17" s="53"/>
      <c r="H17" s="53"/>
      <c r="I17" s="53">
        <f t="shared" si="1"/>
        <v>0</v>
      </c>
      <c r="J17" s="53"/>
      <c r="K17" s="53"/>
      <c r="L17" s="53">
        <f t="shared" si="2"/>
        <v>0</v>
      </c>
    </row>
    <row r="18" spans="2:12" x14ac:dyDescent="0.25">
      <c r="B18" s="53" t="s">
        <v>312</v>
      </c>
      <c r="C18" s="53"/>
      <c r="D18" s="53"/>
      <c r="E18" s="53">
        <f t="shared" si="0"/>
        <v>0</v>
      </c>
      <c r="F18" s="53" t="s">
        <v>308</v>
      </c>
      <c r="G18" s="53"/>
      <c r="H18" s="53"/>
      <c r="I18" s="53">
        <f t="shared" si="1"/>
        <v>0</v>
      </c>
      <c r="J18" s="53"/>
      <c r="K18" s="53"/>
      <c r="L18" s="53">
        <f t="shared" si="2"/>
        <v>0</v>
      </c>
    </row>
    <row r="19" spans="2:12" x14ac:dyDescent="0.25">
      <c r="B19" s="53"/>
      <c r="C19" s="53"/>
      <c r="D19" s="53"/>
      <c r="E19" s="53">
        <f t="shared" si="0"/>
        <v>0</v>
      </c>
      <c r="F19" s="53" t="s">
        <v>310</v>
      </c>
      <c r="G19" s="53"/>
      <c r="H19" s="53"/>
      <c r="I19" s="53">
        <f t="shared" si="1"/>
        <v>0</v>
      </c>
      <c r="J19" s="53"/>
      <c r="K19" s="53"/>
      <c r="L19" s="53">
        <f t="shared" si="2"/>
        <v>0</v>
      </c>
    </row>
    <row r="20" spans="2:12" x14ac:dyDescent="0.25">
      <c r="B20" s="53"/>
      <c r="C20" s="53"/>
      <c r="D20" s="53"/>
      <c r="E20" s="53">
        <f t="shared" si="0"/>
        <v>0</v>
      </c>
      <c r="F20" s="53"/>
      <c r="G20" s="53"/>
      <c r="H20" s="53"/>
      <c r="I20" s="53">
        <f t="shared" si="1"/>
        <v>0</v>
      </c>
      <c r="J20" s="53"/>
      <c r="K20" s="53"/>
      <c r="L20" s="53">
        <f t="shared" si="2"/>
        <v>0</v>
      </c>
    </row>
    <row r="21" spans="2:12" x14ac:dyDescent="0.25">
      <c r="B21" s="53" t="s">
        <v>313</v>
      </c>
      <c r="C21" s="53"/>
      <c r="D21" s="53"/>
      <c r="E21" s="53">
        <f t="shared" si="0"/>
        <v>0</v>
      </c>
      <c r="F21" s="53" t="s">
        <v>308</v>
      </c>
      <c r="G21" s="53"/>
      <c r="H21" s="53"/>
      <c r="I21" s="53">
        <f t="shared" si="1"/>
        <v>0</v>
      </c>
      <c r="J21" s="53"/>
      <c r="K21" s="53"/>
      <c r="L21" s="53">
        <f t="shared" si="2"/>
        <v>0</v>
      </c>
    </row>
    <row r="22" spans="2:12" x14ac:dyDescent="0.25">
      <c r="B22" s="53"/>
      <c r="C22" s="53"/>
      <c r="D22" s="53"/>
      <c r="E22" s="53">
        <f t="shared" si="0"/>
        <v>0</v>
      </c>
      <c r="F22" s="53" t="s">
        <v>310</v>
      </c>
      <c r="G22" s="53"/>
      <c r="H22" s="53"/>
      <c r="I22" s="53">
        <f t="shared" si="1"/>
        <v>0</v>
      </c>
      <c r="J22" s="53"/>
      <c r="K22" s="53"/>
      <c r="L22" s="53">
        <f t="shared" si="2"/>
        <v>0</v>
      </c>
    </row>
    <row r="23" spans="2:12" x14ac:dyDescent="0.25">
      <c r="B23" s="53"/>
      <c r="C23" s="53"/>
      <c r="D23" s="53"/>
      <c r="E23" s="53">
        <f t="shared" si="0"/>
        <v>0</v>
      </c>
      <c r="F23" s="53"/>
      <c r="G23" s="53"/>
      <c r="H23" s="53"/>
      <c r="I23" s="53">
        <f t="shared" si="1"/>
        <v>0</v>
      </c>
      <c r="J23" s="53"/>
      <c r="K23" s="53"/>
      <c r="L23" s="53">
        <f t="shared" si="2"/>
        <v>0</v>
      </c>
    </row>
    <row r="24" spans="2:12" x14ac:dyDescent="0.25">
      <c r="B24" s="53" t="s">
        <v>314</v>
      </c>
      <c r="C24" s="53"/>
      <c r="D24" s="53"/>
      <c r="E24" s="53">
        <f t="shared" si="0"/>
        <v>0</v>
      </c>
      <c r="F24" s="53" t="s">
        <v>315</v>
      </c>
      <c r="G24" s="53"/>
      <c r="H24" s="53"/>
      <c r="I24" s="53">
        <f t="shared" si="1"/>
        <v>0</v>
      </c>
      <c r="J24" s="53"/>
      <c r="K24" s="53"/>
      <c r="L24" s="53">
        <f t="shared" si="2"/>
        <v>0</v>
      </c>
    </row>
    <row r="25" spans="2:12" x14ac:dyDescent="0.25">
      <c r="B25" s="53"/>
      <c r="C25" s="53"/>
      <c r="D25" s="53"/>
      <c r="E25" s="53">
        <f>C25*D25</f>
        <v>0</v>
      </c>
      <c r="F25" s="53" t="s">
        <v>315</v>
      </c>
      <c r="G25" s="53"/>
      <c r="H25" s="53"/>
      <c r="I25" s="53">
        <f>G25*H25</f>
        <v>0</v>
      </c>
      <c r="J25" s="53"/>
      <c r="K25" s="53"/>
      <c r="L25" s="53">
        <f>J25*K25</f>
        <v>0</v>
      </c>
    </row>
    <row r="26" spans="2:12" x14ac:dyDescent="0.25">
      <c r="B26" s="53"/>
      <c r="C26" s="53"/>
      <c r="D26" s="53"/>
      <c r="E26" s="53">
        <f>C26*D26</f>
        <v>0</v>
      </c>
      <c r="F26" s="53" t="s">
        <v>315</v>
      </c>
      <c r="G26" s="53"/>
      <c r="H26" s="53"/>
      <c r="I26" s="53">
        <f>G26*H26</f>
        <v>0</v>
      </c>
      <c r="J26" s="53"/>
      <c r="K26" s="53"/>
      <c r="L26" s="53">
        <f>J26*K26</f>
        <v>0</v>
      </c>
    </row>
    <row r="27" spans="2:12" x14ac:dyDescent="0.25">
      <c r="B27" s="53"/>
      <c r="C27" s="53"/>
      <c r="D27" s="53"/>
      <c r="E27" s="53">
        <f>C27*D27</f>
        <v>0</v>
      </c>
      <c r="F27" s="53" t="s">
        <v>315</v>
      </c>
      <c r="G27" s="53"/>
      <c r="H27" s="53"/>
      <c r="I27" s="53">
        <f>G27*H27</f>
        <v>0</v>
      </c>
      <c r="J27" s="53"/>
      <c r="K27" s="53"/>
      <c r="L27" s="53">
        <f>J27*K27</f>
        <v>0</v>
      </c>
    </row>
    <row r="28" spans="2:12" x14ac:dyDescent="0.25">
      <c r="B28" s="53" t="s">
        <v>316</v>
      </c>
      <c r="C28" s="53"/>
      <c r="D28" s="53"/>
      <c r="E28" s="53">
        <f t="shared" si="0"/>
        <v>0</v>
      </c>
      <c r="F28" s="53" t="s">
        <v>315</v>
      </c>
      <c r="G28" s="53"/>
      <c r="H28" s="53"/>
      <c r="I28" s="53">
        <f t="shared" si="1"/>
        <v>0</v>
      </c>
      <c r="J28" s="53"/>
      <c r="K28" s="53"/>
      <c r="L28" s="53">
        <f t="shared" si="2"/>
        <v>0</v>
      </c>
    </row>
    <row r="29" spans="2:12" x14ac:dyDescent="0.25">
      <c r="B29" s="53" t="s">
        <v>317</v>
      </c>
      <c r="C29" s="53"/>
      <c r="D29" s="53"/>
      <c r="E29" s="53">
        <f t="shared" si="0"/>
        <v>0</v>
      </c>
      <c r="F29" s="53" t="s">
        <v>315</v>
      </c>
      <c r="G29" s="53"/>
      <c r="H29" s="53"/>
      <c r="I29" s="53">
        <f t="shared" si="1"/>
        <v>0</v>
      </c>
      <c r="J29" s="53"/>
      <c r="K29" s="53"/>
      <c r="L29" s="53">
        <f t="shared" si="2"/>
        <v>0</v>
      </c>
    </row>
    <row r="30" spans="2:12" x14ac:dyDescent="0.25">
      <c r="B30" s="53" t="s">
        <v>321</v>
      </c>
      <c r="C30" s="53"/>
      <c r="D30" s="53"/>
      <c r="E30" s="53">
        <f t="shared" si="0"/>
        <v>0</v>
      </c>
      <c r="F30" s="53"/>
      <c r="G30" s="53"/>
      <c r="H30" s="53"/>
      <c r="I30" s="53">
        <f t="shared" si="1"/>
        <v>0</v>
      </c>
      <c r="J30" s="53"/>
      <c r="K30" s="53"/>
      <c r="L30" s="53">
        <f t="shared" si="2"/>
        <v>0</v>
      </c>
    </row>
    <row r="31" spans="2:12" x14ac:dyDescent="0.25">
      <c r="B31" s="53"/>
      <c r="C31" s="53"/>
      <c r="D31" s="53"/>
      <c r="E31" s="53">
        <f>C31*D31</f>
        <v>0</v>
      </c>
      <c r="F31" s="53"/>
      <c r="G31" s="53"/>
      <c r="H31" s="53"/>
      <c r="I31" s="53">
        <f>G31*H31</f>
        <v>0</v>
      </c>
      <c r="J31" s="53"/>
      <c r="K31" s="53"/>
      <c r="L31" s="53">
        <f>J31*K31</f>
        <v>0</v>
      </c>
    </row>
    <row r="32" spans="2:12" x14ac:dyDescent="0.25">
      <c r="B32" s="53"/>
      <c r="C32" s="53"/>
      <c r="D32" s="53"/>
      <c r="E32" s="53">
        <f>C32*D32</f>
        <v>0</v>
      </c>
      <c r="F32" s="53"/>
      <c r="G32" s="53"/>
      <c r="H32" s="53"/>
      <c r="I32" s="53">
        <f>G32*H32</f>
        <v>0</v>
      </c>
      <c r="J32" s="53"/>
      <c r="K32" s="53"/>
      <c r="L32" s="53">
        <f>J32*K32</f>
        <v>0</v>
      </c>
    </row>
    <row r="33" spans="2:12" x14ac:dyDescent="0.25">
      <c r="B33" s="53" t="s">
        <v>318</v>
      </c>
      <c r="C33" s="53"/>
      <c r="D33" s="53"/>
      <c r="E33" s="53">
        <f t="shared" si="0"/>
        <v>0</v>
      </c>
      <c r="F33" s="53"/>
      <c r="G33" s="53"/>
      <c r="H33" s="53"/>
      <c r="I33" s="53">
        <f t="shared" si="1"/>
        <v>0</v>
      </c>
      <c r="J33" s="53"/>
      <c r="K33" s="53"/>
      <c r="L33" s="53">
        <f t="shared" si="2"/>
        <v>0</v>
      </c>
    </row>
    <row r="34" spans="2:12" x14ac:dyDescent="0.25">
      <c r="B34" s="53" t="s">
        <v>322</v>
      </c>
      <c r="C34" s="53"/>
      <c r="D34" s="53"/>
      <c r="E34" s="53">
        <f t="shared" si="0"/>
        <v>0</v>
      </c>
      <c r="F34" s="53"/>
      <c r="G34" s="53"/>
      <c r="H34" s="53"/>
      <c r="I34" s="53">
        <f t="shared" si="1"/>
        <v>0</v>
      </c>
      <c r="J34" s="53"/>
      <c r="K34" s="53"/>
      <c r="L34" s="53">
        <f t="shared" si="2"/>
        <v>0</v>
      </c>
    </row>
    <row r="35" spans="2:12" x14ac:dyDescent="0.25">
      <c r="B35" s="53" t="s">
        <v>319</v>
      </c>
      <c r="C35" s="53"/>
      <c r="D35" s="53"/>
      <c r="E35" s="53">
        <f t="shared" si="0"/>
        <v>0</v>
      </c>
      <c r="F35" s="53"/>
      <c r="G35" s="53"/>
      <c r="H35" s="53"/>
      <c r="I35" s="53">
        <f t="shared" si="1"/>
        <v>0</v>
      </c>
      <c r="J35" s="53"/>
      <c r="K35" s="53"/>
      <c r="L35" s="53">
        <f t="shared" si="2"/>
        <v>0</v>
      </c>
    </row>
    <row r="36" spans="2:12" x14ac:dyDescent="0.25">
      <c r="B36" s="53" t="s">
        <v>320</v>
      </c>
      <c r="C36" s="53"/>
      <c r="D36" s="53"/>
      <c r="E36" s="53">
        <f t="shared" si="0"/>
        <v>0</v>
      </c>
      <c r="F36" s="53"/>
      <c r="G36" s="53"/>
      <c r="H36" s="53"/>
      <c r="I36" s="53">
        <f t="shared" ref="I36:I41" si="3">G36*H36</f>
        <v>0</v>
      </c>
      <c r="J36" s="53"/>
      <c r="K36" s="53"/>
      <c r="L36" s="53">
        <f t="shared" ref="L36:L41" si="4">J36*K36</f>
        <v>0</v>
      </c>
    </row>
    <row r="37" spans="2:12" x14ac:dyDescent="0.25">
      <c r="B37" s="53"/>
      <c r="C37" s="53"/>
      <c r="D37" s="53"/>
      <c r="E37" s="53">
        <f>C37*D37</f>
        <v>0</v>
      </c>
      <c r="F37" s="53"/>
      <c r="G37" s="53"/>
      <c r="H37" s="53"/>
      <c r="I37" s="53">
        <f t="shared" si="3"/>
        <v>0</v>
      </c>
      <c r="J37" s="53"/>
      <c r="K37" s="53"/>
      <c r="L37" s="53">
        <f t="shared" si="4"/>
        <v>0</v>
      </c>
    </row>
    <row r="38" spans="2:12" x14ac:dyDescent="0.25">
      <c r="B38" s="53" t="s">
        <v>323</v>
      </c>
      <c r="C38" s="53"/>
      <c r="D38" s="53"/>
      <c r="E38" s="53">
        <f>C38*D38</f>
        <v>0</v>
      </c>
      <c r="F38" s="53"/>
      <c r="G38" s="53"/>
      <c r="H38" s="53"/>
      <c r="I38" s="53">
        <f t="shared" si="3"/>
        <v>0</v>
      </c>
      <c r="J38" s="53"/>
      <c r="K38" s="53"/>
      <c r="L38" s="53">
        <f t="shared" si="4"/>
        <v>0</v>
      </c>
    </row>
    <row r="39" spans="2:12" x14ac:dyDescent="0.25">
      <c r="B39" s="53"/>
      <c r="C39" s="53"/>
      <c r="D39" s="53"/>
      <c r="E39" s="53">
        <f t="shared" si="0"/>
        <v>0</v>
      </c>
      <c r="F39" s="53"/>
      <c r="G39" s="53"/>
      <c r="H39" s="53"/>
      <c r="I39" s="53">
        <f t="shared" si="3"/>
        <v>0</v>
      </c>
      <c r="J39" s="53"/>
      <c r="K39" s="53"/>
      <c r="L39" s="53">
        <f t="shared" si="4"/>
        <v>0</v>
      </c>
    </row>
    <row r="40" spans="2:12" x14ac:dyDescent="0.25">
      <c r="B40" s="53"/>
      <c r="C40" s="53"/>
      <c r="D40" s="53"/>
      <c r="E40" s="53">
        <f t="shared" si="0"/>
        <v>0</v>
      </c>
      <c r="F40" s="53"/>
      <c r="G40" s="53"/>
      <c r="H40" s="53"/>
      <c r="I40" s="53">
        <f t="shared" si="3"/>
        <v>0</v>
      </c>
      <c r="J40" s="53"/>
      <c r="K40" s="53"/>
      <c r="L40" s="53">
        <f t="shared" si="4"/>
        <v>0</v>
      </c>
    </row>
    <row r="41" spans="2:12" x14ac:dyDescent="0.25">
      <c r="B41" s="53"/>
      <c r="C41" s="53"/>
      <c r="D41" s="53"/>
      <c r="E41" s="53">
        <f t="shared" si="0"/>
        <v>0</v>
      </c>
      <c r="F41" s="53"/>
      <c r="G41" s="53"/>
      <c r="H41" s="53"/>
      <c r="I41" s="53">
        <f t="shared" si="3"/>
        <v>0</v>
      </c>
      <c r="J41" s="53"/>
      <c r="K41" s="53"/>
      <c r="L41" s="53">
        <f t="shared" si="4"/>
        <v>0</v>
      </c>
    </row>
    <row r="42" spans="2:12" x14ac:dyDescent="0.25">
      <c r="B42" s="53" t="s">
        <v>143</v>
      </c>
      <c r="C42" s="53"/>
      <c r="D42" s="53">
        <f>E42*10.764</f>
        <v>0</v>
      </c>
      <c r="E42" s="72">
        <f>SUM(E6:E41)</f>
        <v>0</v>
      </c>
      <c r="F42" s="53"/>
      <c r="G42" s="53"/>
      <c r="H42" s="53">
        <f>I42*10.764</f>
        <v>0</v>
      </c>
      <c r="I42" s="71">
        <f>SUM(I6:I41)</f>
        <v>0</v>
      </c>
      <c r="J42" s="53"/>
      <c r="K42" s="53">
        <f>L42*10.764</f>
        <v>0</v>
      </c>
      <c r="L42" s="70">
        <f>SUM(L6:L41)</f>
        <v>0</v>
      </c>
    </row>
    <row r="44" spans="2:12" x14ac:dyDescent="0.2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2025-09-02T11:48:26Z</cp:lastPrinted>
  <dcterms:created xsi:type="dcterms:W3CDTF">2019-07-16T09:29:46Z</dcterms:created>
  <dcterms:modified xsi:type="dcterms:W3CDTF">2025-09-02T12:06:35Z</dcterms:modified>
</cp:coreProperties>
</file>