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August 2025\22-08-2025\"/>
    </mc:Choice>
  </mc:AlternateContent>
  <bookViews>
    <workbookView xWindow="0" yWindow="0" windowWidth="19200" windowHeight="6640" tabRatio="690"/>
  </bookViews>
  <sheets>
    <sheet name="Report" sheetId="1" r:id="rId1"/>
    <sheet name="valuation" sheetId="5" r:id="rId2"/>
    <sheet name="Research" sheetId="4" r:id="rId3"/>
    <sheet name="Remarks" sheetId="6" r:id="rId4"/>
    <sheet name="Area Calculation" sheetId="7" r:id="rId5"/>
  </sheets>
  <definedNames>
    <definedName name="_xlnm.Print_Area" localSheetId="0">Report!$A$1:$H$413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99" i="1" l="1"/>
  <c r="D62" i="1" l="1"/>
  <c r="E43" i="1" l="1"/>
  <c r="E226" i="1" l="1"/>
  <c r="D226" i="1"/>
  <c r="E225" i="1"/>
  <c r="D225" i="1"/>
  <c r="E224" i="1"/>
  <c r="D224" i="1"/>
  <c r="E223" i="1"/>
  <c r="D223" i="1"/>
  <c r="E222" i="1"/>
  <c r="F222" i="1" s="1"/>
  <c r="H222" i="1" s="1"/>
  <c r="D222" i="1"/>
  <c r="E221" i="1"/>
  <c r="D221" i="1"/>
  <c r="E220" i="1"/>
  <c r="D220" i="1"/>
  <c r="E219" i="1"/>
  <c r="D219" i="1"/>
  <c r="E218" i="1"/>
  <c r="D218" i="1"/>
  <c r="E217" i="1"/>
  <c r="D217" i="1"/>
  <c r="E216" i="1"/>
  <c r="D216" i="1"/>
  <c r="E215" i="1"/>
  <c r="D215" i="1"/>
  <c r="E214" i="1"/>
  <c r="F214" i="1" s="1"/>
  <c r="H214" i="1" s="1"/>
  <c r="D214" i="1"/>
  <c r="E213" i="1"/>
  <c r="D213" i="1"/>
  <c r="E212" i="1"/>
  <c r="D212" i="1"/>
  <c r="E211" i="1"/>
  <c r="D211" i="1"/>
  <c r="E210" i="1"/>
  <c r="D210" i="1"/>
  <c r="E209" i="1"/>
  <c r="D209" i="1"/>
  <c r="E208" i="1"/>
  <c r="D208" i="1"/>
  <c r="E207" i="1"/>
  <c r="D207" i="1"/>
  <c r="E206" i="1"/>
  <c r="D206" i="1"/>
  <c r="E205" i="1"/>
  <c r="D205" i="1"/>
  <c r="E204" i="1"/>
  <c r="D204" i="1"/>
  <c r="E203" i="1"/>
  <c r="D203" i="1"/>
  <c r="E202" i="1"/>
  <c r="D202" i="1"/>
  <c r="E200" i="1"/>
  <c r="D200" i="1"/>
  <c r="E199" i="1"/>
  <c r="D199" i="1"/>
  <c r="E198" i="1"/>
  <c r="D198" i="1"/>
  <c r="E197" i="1"/>
  <c r="D197" i="1"/>
  <c r="E196" i="1"/>
  <c r="D196" i="1"/>
  <c r="E195" i="1"/>
  <c r="D195" i="1"/>
  <c r="E194" i="1"/>
  <c r="D194" i="1"/>
  <c r="E193" i="1"/>
  <c r="D193" i="1"/>
  <c r="E192" i="1"/>
  <c r="D192" i="1"/>
  <c r="E191" i="1"/>
  <c r="D191" i="1"/>
  <c r="E190" i="1"/>
  <c r="D190" i="1"/>
  <c r="E189" i="1"/>
  <c r="F189" i="1" s="1"/>
  <c r="H189" i="1" s="1"/>
  <c r="J189" i="1" s="1"/>
  <c r="D189" i="1"/>
  <c r="E188" i="1"/>
  <c r="D188" i="1"/>
  <c r="E187" i="1"/>
  <c r="D187" i="1"/>
  <c r="E186" i="1"/>
  <c r="D186" i="1"/>
  <c r="E185" i="1"/>
  <c r="D185" i="1"/>
  <c r="E184" i="1"/>
  <c r="D184" i="1"/>
  <c r="E183" i="1"/>
  <c r="D183" i="1"/>
  <c r="E182" i="1"/>
  <c r="D182" i="1"/>
  <c r="E181" i="1"/>
  <c r="D181" i="1"/>
  <c r="E180" i="1"/>
  <c r="D180" i="1"/>
  <c r="E179" i="1"/>
  <c r="D179" i="1"/>
  <c r="E178" i="1"/>
  <c r="D178" i="1"/>
  <c r="E177" i="1"/>
  <c r="D177" i="1"/>
  <c r="E175" i="1"/>
  <c r="D175" i="1"/>
  <c r="E174" i="1"/>
  <c r="D174" i="1"/>
  <c r="E173" i="1"/>
  <c r="D173" i="1"/>
  <c r="E172" i="1"/>
  <c r="D172" i="1"/>
  <c r="E171" i="1"/>
  <c r="D171" i="1"/>
  <c r="E170" i="1"/>
  <c r="D170" i="1"/>
  <c r="E169" i="1"/>
  <c r="D169" i="1"/>
  <c r="E168" i="1"/>
  <c r="D168" i="1"/>
  <c r="E167" i="1"/>
  <c r="D167" i="1"/>
  <c r="E166" i="1"/>
  <c r="D166" i="1"/>
  <c r="E165" i="1"/>
  <c r="D165" i="1"/>
  <c r="E164" i="1"/>
  <c r="D164" i="1"/>
  <c r="E163" i="1"/>
  <c r="D163" i="1"/>
  <c r="E162" i="1"/>
  <c r="D162" i="1"/>
  <c r="E161" i="1"/>
  <c r="D161" i="1"/>
  <c r="E160" i="1"/>
  <c r="D160" i="1"/>
  <c r="E159" i="1"/>
  <c r="D159" i="1"/>
  <c r="E158" i="1"/>
  <c r="D158" i="1"/>
  <c r="E157" i="1"/>
  <c r="D157" i="1"/>
  <c r="E156" i="1"/>
  <c r="D156" i="1"/>
  <c r="E155" i="1"/>
  <c r="D155" i="1"/>
  <c r="E154" i="1"/>
  <c r="D154" i="1"/>
  <c r="E153" i="1"/>
  <c r="D153" i="1"/>
  <c r="E152" i="1"/>
  <c r="D152"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A223" i="1"/>
  <c r="A224" i="1" s="1"/>
  <c r="A225" i="1" s="1"/>
  <c r="A226" i="1" s="1"/>
  <c r="A219" i="1"/>
  <c r="A220" i="1" s="1"/>
  <c r="A221" i="1" s="1"/>
  <c r="A215" i="1"/>
  <c r="A216" i="1" s="1"/>
  <c r="A217" i="1" s="1"/>
  <c r="A211" i="1"/>
  <c r="A212" i="1" s="1"/>
  <c r="A213" i="1" s="1"/>
  <c r="A207" i="1"/>
  <c r="A208" i="1" s="1"/>
  <c r="A209" i="1" s="1"/>
  <c r="A203" i="1"/>
  <c r="A204" i="1" s="1"/>
  <c r="A205" i="1" s="1"/>
  <c r="A198" i="1"/>
  <c r="A199" i="1" s="1"/>
  <c r="A200" i="1" s="1"/>
  <c r="A194" i="1"/>
  <c r="A195" i="1" s="1"/>
  <c r="A196" i="1" s="1"/>
  <c r="A190" i="1"/>
  <c r="A191" i="1" s="1"/>
  <c r="A192" i="1" s="1"/>
  <c r="A186" i="1"/>
  <c r="A187" i="1" s="1"/>
  <c r="A188" i="1" s="1"/>
  <c r="A182" i="1"/>
  <c r="A183" i="1" s="1"/>
  <c r="A184" i="1" s="1"/>
  <c r="A178" i="1"/>
  <c r="A179" i="1" s="1"/>
  <c r="A180" i="1" s="1"/>
  <c r="A173" i="1"/>
  <c r="A174" i="1" s="1"/>
  <c r="A175" i="1" s="1"/>
  <c r="A169" i="1"/>
  <c r="A170" i="1" s="1"/>
  <c r="A171" i="1" s="1"/>
  <c r="A165" i="1"/>
  <c r="A166" i="1" s="1"/>
  <c r="A167" i="1" s="1"/>
  <c r="A161" i="1"/>
  <c r="A162" i="1" s="1"/>
  <c r="A163" i="1" s="1"/>
  <c r="A157" i="1"/>
  <c r="A158" i="1" s="1"/>
  <c r="A159" i="1" s="1"/>
  <c r="A153" i="1"/>
  <c r="A154" i="1" s="1"/>
  <c r="A155" i="1" s="1"/>
  <c r="I134" i="1"/>
  <c r="I15" i="1"/>
  <c r="I127" i="1"/>
  <c r="A148" i="1"/>
  <c r="A149" i="1" s="1"/>
  <c r="A150" i="1" s="1"/>
  <c r="A144" i="1"/>
  <c r="A145" i="1" s="1"/>
  <c r="A146" i="1" s="1"/>
  <c r="A140" i="1"/>
  <c r="A141" i="1" s="1"/>
  <c r="A142" i="1" s="1"/>
  <c r="A136" i="1"/>
  <c r="A137" i="1" s="1"/>
  <c r="A138" i="1" s="1"/>
  <c r="A132" i="1"/>
  <c r="A133" i="1" s="1"/>
  <c r="A134" i="1" s="1"/>
  <c r="F178" i="1" l="1"/>
  <c r="H178" i="1" s="1"/>
  <c r="F182" i="1"/>
  <c r="H182" i="1" s="1"/>
  <c r="F203" i="1"/>
  <c r="H203" i="1" s="1"/>
  <c r="F207" i="1"/>
  <c r="H207" i="1" s="1"/>
  <c r="F215" i="1"/>
  <c r="H215" i="1" s="1"/>
  <c r="F219" i="1"/>
  <c r="H219" i="1" s="1"/>
  <c r="F223" i="1"/>
  <c r="H223" i="1" s="1"/>
  <c r="F188" i="1"/>
  <c r="H188" i="1" s="1"/>
  <c r="F205" i="1"/>
  <c r="H205" i="1" s="1"/>
  <c r="F209" i="1"/>
  <c r="H209" i="1" s="1"/>
  <c r="F213" i="1"/>
  <c r="H213" i="1" s="1"/>
  <c r="F221" i="1"/>
  <c r="H221" i="1" s="1"/>
  <c r="F225" i="1"/>
  <c r="H225" i="1" s="1"/>
  <c r="F216" i="1"/>
  <c r="H216" i="1" s="1"/>
  <c r="F204" i="1"/>
  <c r="H204" i="1" s="1"/>
  <c r="F193" i="1"/>
  <c r="H193" i="1" s="1"/>
  <c r="F139" i="1"/>
  <c r="H139" i="1" s="1"/>
  <c r="F154" i="1"/>
  <c r="H154" i="1" s="1"/>
  <c r="F158" i="1"/>
  <c r="H158" i="1" s="1"/>
  <c r="F177" i="1"/>
  <c r="H177" i="1" s="1"/>
  <c r="F206" i="1"/>
  <c r="H206" i="1" s="1"/>
  <c r="F210" i="1"/>
  <c r="H210" i="1" s="1"/>
  <c r="F212" i="1"/>
  <c r="H212" i="1" s="1"/>
  <c r="F220" i="1"/>
  <c r="H220" i="1" s="1"/>
  <c r="F226" i="1"/>
  <c r="H226" i="1" s="1"/>
  <c r="F152" i="1"/>
  <c r="H152" i="1" s="1"/>
  <c r="F156" i="1"/>
  <c r="H156" i="1" s="1"/>
  <c r="F159" i="1"/>
  <c r="H159" i="1" s="1"/>
  <c r="F161" i="1"/>
  <c r="H161" i="1" s="1"/>
  <c r="F183" i="1"/>
  <c r="H183" i="1" s="1"/>
  <c r="F185" i="1"/>
  <c r="H185" i="1" s="1"/>
  <c r="F192" i="1"/>
  <c r="H192" i="1" s="1"/>
  <c r="F202" i="1"/>
  <c r="H202" i="1" s="1"/>
  <c r="F208" i="1"/>
  <c r="H208" i="1" s="1"/>
  <c r="F217" i="1"/>
  <c r="H217" i="1" s="1"/>
  <c r="F136" i="1"/>
  <c r="H136" i="1" s="1"/>
  <c r="F148" i="1"/>
  <c r="H148" i="1" s="1"/>
  <c r="F150" i="1"/>
  <c r="H150" i="1" s="1"/>
  <c r="F155" i="1"/>
  <c r="H155" i="1" s="1"/>
  <c r="F184" i="1"/>
  <c r="H184" i="1" s="1"/>
  <c r="F187" i="1"/>
  <c r="H187" i="1" s="1"/>
  <c r="F191" i="1"/>
  <c r="H191" i="1" s="1"/>
  <c r="F194" i="1"/>
  <c r="H194" i="1" s="1"/>
  <c r="F198" i="1"/>
  <c r="H198" i="1" s="1"/>
  <c r="F200" i="1"/>
  <c r="H200" i="1" s="1"/>
  <c r="F211" i="1"/>
  <c r="H211" i="1" s="1"/>
  <c r="F218" i="1"/>
  <c r="H218" i="1" s="1"/>
  <c r="F224" i="1"/>
  <c r="H224" i="1" s="1"/>
  <c r="F133" i="1"/>
  <c r="H133" i="1" s="1"/>
  <c r="F166" i="1"/>
  <c r="H166" i="1" s="1"/>
  <c r="F169" i="1"/>
  <c r="H169" i="1" s="1"/>
  <c r="F175" i="1"/>
  <c r="H175" i="1" s="1"/>
  <c r="F179" i="1"/>
  <c r="H179" i="1" s="1"/>
  <c r="I179" i="1" s="1"/>
  <c r="F181" i="1"/>
  <c r="H181" i="1" s="1"/>
  <c r="F190" i="1"/>
  <c r="H190" i="1" s="1"/>
  <c r="F196" i="1"/>
  <c r="H196" i="1" s="1"/>
  <c r="F140" i="1"/>
  <c r="H140" i="1" s="1"/>
  <c r="F160" i="1"/>
  <c r="H160" i="1" s="1"/>
  <c r="F167" i="1"/>
  <c r="H167" i="1" s="1"/>
  <c r="F172" i="1"/>
  <c r="H172" i="1" s="1"/>
  <c r="F180" i="1"/>
  <c r="H180" i="1" s="1"/>
  <c r="F186" i="1"/>
  <c r="H186" i="1" s="1"/>
  <c r="F195" i="1"/>
  <c r="H195" i="1" s="1"/>
  <c r="F197" i="1"/>
  <c r="H197" i="1" s="1"/>
  <c r="F199" i="1"/>
  <c r="H199" i="1" s="1"/>
  <c r="F132" i="1"/>
  <c r="H132" i="1" s="1"/>
  <c r="F137" i="1"/>
  <c r="H137" i="1" s="1"/>
  <c r="F141" i="1"/>
  <c r="H141" i="1" s="1"/>
  <c r="F145" i="1"/>
  <c r="H145" i="1" s="1"/>
  <c r="F147" i="1"/>
  <c r="H147" i="1" s="1"/>
  <c r="F157" i="1"/>
  <c r="H157" i="1" s="1"/>
  <c r="F163" i="1"/>
  <c r="H163" i="1" s="1"/>
  <c r="F165" i="1"/>
  <c r="H165" i="1" s="1"/>
  <c r="F168" i="1"/>
  <c r="H168" i="1" s="1"/>
  <c r="F170" i="1"/>
  <c r="H170" i="1" s="1"/>
  <c r="F173" i="1"/>
  <c r="H173" i="1" s="1"/>
  <c r="F135" i="1"/>
  <c r="H135" i="1" s="1"/>
  <c r="F131" i="1"/>
  <c r="H131" i="1" s="1"/>
  <c r="F138" i="1"/>
  <c r="H138" i="1" s="1"/>
  <c r="F142" i="1"/>
  <c r="H142" i="1" s="1"/>
  <c r="F146" i="1"/>
  <c r="H146" i="1" s="1"/>
  <c r="F153" i="1"/>
  <c r="H153" i="1" s="1"/>
  <c r="F162" i="1"/>
  <c r="H162" i="1" s="1"/>
  <c r="F164" i="1"/>
  <c r="H164" i="1" s="1"/>
  <c r="F171" i="1"/>
  <c r="H171" i="1" s="1"/>
  <c r="F174" i="1"/>
  <c r="H174" i="1" s="1"/>
  <c r="F149" i="1"/>
  <c r="H149" i="1" s="1"/>
  <c r="F144" i="1"/>
  <c r="H144" i="1" s="1"/>
  <c r="F143" i="1"/>
  <c r="H143" i="1" s="1"/>
  <c r="F134" i="1"/>
  <c r="H134" i="1" s="1"/>
  <c r="G103" i="1" l="1"/>
  <c r="C103" i="1"/>
  <c r="E103" i="1"/>
  <c r="G51" i="1"/>
  <c r="F127" i="1" l="1"/>
  <c r="H127" i="1" l="1"/>
  <c r="E31" i="1"/>
  <c r="E26" i="1"/>
  <c r="F230" i="1" l="1"/>
  <c r="H230" i="1" s="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E44" i="7"/>
  <c r="D44" i="7" l="1"/>
  <c r="B260" i="1"/>
  <c r="F128" i="1" l="1"/>
  <c r="F129" i="1"/>
  <c r="H129" i="1" s="1"/>
  <c r="F130" i="1"/>
  <c r="H130" i="1" s="1"/>
  <c r="H128" i="1" l="1"/>
  <c r="G102" i="1" s="1"/>
  <c r="G104" i="1" s="1"/>
  <c r="C102" i="1"/>
  <c r="C104" i="1" s="1"/>
  <c r="E102" i="1"/>
  <c r="E104" i="1" s="1"/>
  <c r="G58" i="1"/>
  <c r="C58" i="1"/>
  <c r="S33" i="1" l="1"/>
  <c r="F11" i="5" l="1"/>
  <c r="G11" i="5" s="1"/>
  <c r="F10" i="5"/>
  <c r="G10" i="5" s="1"/>
  <c r="F9" i="5"/>
  <c r="G9" i="5" s="1"/>
  <c r="G8" i="5"/>
  <c r="F8" i="5"/>
  <c r="F7" i="5"/>
  <c r="G7" i="5" s="1"/>
  <c r="G6" i="5"/>
  <c r="F6" i="5"/>
  <c r="F5" i="5"/>
  <c r="G5" i="5" s="1"/>
  <c r="G12" i="5" s="1"/>
  <c r="D285" i="1"/>
  <c r="B261" i="1"/>
  <c r="F257" i="1"/>
  <c r="H257" i="1" s="1"/>
  <c r="F256" i="1"/>
  <c r="H256" i="1" s="1"/>
  <c r="F255" i="1"/>
  <c r="H255" i="1" s="1"/>
  <c r="F254" i="1"/>
  <c r="H254" i="1" s="1"/>
  <c r="F253" i="1"/>
  <c r="H253" i="1" s="1"/>
  <c r="F251" i="1"/>
  <c r="H251" i="1" s="1"/>
  <c r="F250" i="1"/>
  <c r="H250" i="1" s="1"/>
  <c r="F249" i="1"/>
  <c r="H249" i="1" s="1"/>
  <c r="F248" i="1"/>
  <c r="H248" i="1" s="1"/>
  <c r="F247" i="1"/>
  <c r="H247" i="1" s="1"/>
  <c r="F245" i="1"/>
  <c r="H245" i="1" s="1"/>
  <c r="F244" i="1"/>
  <c r="H244" i="1" s="1"/>
  <c r="F243" i="1"/>
  <c r="H243" i="1" s="1"/>
  <c r="F242" i="1"/>
  <c r="H242" i="1" s="1"/>
  <c r="F241" i="1"/>
  <c r="H241" i="1" s="1"/>
  <c r="F239" i="1"/>
  <c r="H239" i="1" s="1"/>
  <c r="F238" i="1"/>
  <c r="H238" i="1" s="1"/>
  <c r="F237" i="1"/>
  <c r="H237" i="1" s="1"/>
  <c r="F236" i="1"/>
  <c r="H236" i="1" s="1"/>
  <c r="F235" i="1"/>
  <c r="H235" i="1" s="1"/>
  <c r="A235" i="1"/>
  <c r="A236" i="1" s="1"/>
  <c r="A237" i="1" s="1"/>
  <c r="A238" i="1" s="1"/>
  <c r="A239" i="1" s="1"/>
  <c r="F233" i="1"/>
  <c r="H233" i="1" s="1"/>
  <c r="F232" i="1"/>
  <c r="H232" i="1" s="1"/>
  <c r="F231" i="1"/>
  <c r="H231" i="1" s="1"/>
  <c r="A231" i="1"/>
  <c r="A232" i="1" s="1"/>
  <c r="A233" i="1" s="1"/>
  <c r="A128" i="1"/>
  <c r="A129" i="1" s="1"/>
  <c r="A130" i="1" s="1"/>
  <c r="G110" i="1"/>
  <c r="E110" i="1"/>
  <c r="C110" i="1"/>
  <c r="C73" i="1"/>
  <c r="B74" i="1" s="1"/>
  <c r="C51" i="1"/>
  <c r="E44" i="1"/>
  <c r="E45" i="1" s="1"/>
  <c r="E28" i="1"/>
  <c r="C16" i="1"/>
  <c r="Z13" i="1"/>
  <c r="E3" i="1"/>
  <c r="D67" i="1" s="1"/>
  <c r="A253" i="1"/>
  <c r="A247" i="1"/>
  <c r="A241" i="1"/>
  <c r="J84" i="1" l="1"/>
  <c r="H74" i="1"/>
  <c r="A254" i="1"/>
  <c r="A248" i="1"/>
  <c r="A242" i="1"/>
  <c r="J77" i="1" l="1"/>
  <c r="J78" i="1"/>
  <c r="C77" i="1" s="1"/>
  <c r="D84" i="1"/>
  <c r="D81" i="1"/>
  <c r="J79" i="1"/>
  <c r="D83" i="1"/>
  <c r="D86" i="1"/>
  <c r="D82" i="1"/>
  <c r="D80" i="1"/>
  <c r="J76" i="1"/>
  <c r="D85" i="1"/>
  <c r="A243" i="1"/>
  <c r="A255" i="1"/>
  <c r="A249" i="1"/>
  <c r="J80" i="1" l="1"/>
  <c r="C78" i="1"/>
  <c r="D77" i="1"/>
  <c r="A250" i="1"/>
  <c r="A256" i="1"/>
  <c r="A244" i="1"/>
  <c r="J85" i="1" l="1"/>
  <c r="J81" i="1"/>
  <c r="J82" i="1" s="1"/>
  <c r="J83" i="1" s="1"/>
  <c r="D78" i="1"/>
  <c r="J74" i="1"/>
  <c r="E77" i="1"/>
  <c r="A251" i="1"/>
  <c r="A257" i="1"/>
  <c r="A245" i="1"/>
  <c r="J86" i="1" l="1"/>
  <c r="D79" i="1"/>
  <c r="I74" i="1" s="1"/>
  <c r="I75" i="1" s="1"/>
  <c r="J73" i="1"/>
  <c r="J75" i="1" s="1"/>
  <c r="G77" i="1"/>
  <c r="D71" i="1" s="1"/>
  <c r="D72" i="1" s="1"/>
  <c r="F72" i="1" l="1"/>
  <c r="I73" i="1"/>
  <c r="C75"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I13" authorId="0" shapeId="0">
      <text>
        <r>
          <rPr>
            <b/>
            <sz val="9"/>
            <color indexed="81"/>
            <rFont val="Tahoma"/>
            <family val="2"/>
          </rPr>
          <t>Sachin:</t>
        </r>
        <r>
          <rPr>
            <sz val="9"/>
            <color indexed="81"/>
            <rFont val="Tahoma"/>
            <family val="2"/>
          </rPr>
          <t xml:space="preserve">
If exisiting Building is provided write it or else
NA</t>
        </r>
      </text>
    </comment>
    <comment ref="C55" authorId="1" shapeId="0">
      <text>
        <r>
          <rPr>
            <b/>
            <sz val="9"/>
            <color indexed="81"/>
            <rFont val="Tahoma"/>
            <family val="2"/>
          </rPr>
          <t>SACHIN:</t>
        </r>
        <r>
          <rPr>
            <sz val="9"/>
            <color indexed="81"/>
            <rFont val="Tahoma"/>
            <family val="2"/>
          </rPr>
          <t xml:space="preserve">
Floor with height</t>
        </r>
      </text>
    </comment>
    <comment ref="C57" authorId="1" shapeId="0">
      <text>
        <r>
          <rPr>
            <b/>
            <sz val="9"/>
            <color indexed="81"/>
            <rFont val="Tahoma"/>
            <family val="2"/>
          </rPr>
          <t>SACHIN:</t>
        </r>
        <r>
          <rPr>
            <sz val="9"/>
            <color indexed="81"/>
            <rFont val="Tahoma"/>
            <family val="2"/>
          </rPr>
          <t xml:space="preserve">
Survey Nos.</t>
        </r>
      </text>
    </comment>
    <comment ref="C59" authorId="1" shapeId="0">
      <text>
        <r>
          <rPr>
            <b/>
            <sz val="9"/>
            <color indexed="81"/>
            <rFont val="Tahoma"/>
            <family val="2"/>
          </rPr>
          <t>SACHIN:</t>
        </r>
        <r>
          <rPr>
            <sz val="9"/>
            <color indexed="81"/>
            <rFont val="Tahoma"/>
            <family val="2"/>
          </rPr>
          <t xml:space="preserve">
Height from AMSL</t>
        </r>
      </text>
    </comment>
    <comment ref="D62"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92"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28"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<sst xmlns="http://schemas.openxmlformats.org/spreadsheetml/2006/main" count="716" uniqueCount="421">
  <si>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</si>
  <si>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</si>
  <si>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</si>
  <si>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</si>
  <si>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</si>
  <si>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</si>
  <si>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</si>
  <si>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</si>
  <si>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</si>
  <si>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</si>
  <si>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</si>
  <si>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</si>
  <si>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</si>
  <si>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</si>
  <si>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</si>
  <si>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</si>
  <si>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</si>
  <si>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</si>
  <si>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</si>
  <si>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</si>
  <si>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</si>
  <si>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</si>
  <si>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</si>
  <si>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</si>
  <si>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</si>
  <si>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</si>
  <si>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</si>
  <si>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</si>
  <si>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</si>
  <si>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</si>
  <si>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</si>
  <si>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</si>
  <si>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</si>
  <si>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</si>
  <si>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</si>
  <si>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</si>
  <si>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</si>
  <si>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</si>
  <si>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</si>
  <si>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</si>
  <si>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</si>
  <si>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</si>
  <si>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</si>
  <si>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</si>
  <si>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</si>
  <si>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</si>
  <si>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</si>
  <si>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</si>
  <si>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</si>
  <si>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</si>
  <si>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</si>
  <si>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</si>
  <si>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</si>
  <si>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</si>
  <si>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</si>
  <si>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</si>
  <si>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</si>
  <si>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</si>
  <si>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</si>
  <si>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</si>
  <si>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</si>
  <si>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</si>
  <si>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</si>
  <si>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</si>
  <si>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</si>
  <si>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</si>
  <si>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</si>
  <si>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</si>
  <si>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</si>
  <si>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</si>
  <si>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</si>
  <si>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</si>
  <si>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</si>
  <si>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</si>
  <si>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</si>
  <si>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</si>
  <si>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</si>
  <si>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</si>
  <si>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</si>
  <si>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</si>
  <si>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</si>
  <si>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</si>
  <si>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</si>
  <si>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</si>
  <si>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</si>
  <si>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</si>
  <si>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</si>
  <si>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</si>
  <si>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</si>
  <si>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</si>
  <si>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</si>
  <si>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</si>
  <si>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</si>
  <si>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</si>
  <si>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</si>
  <si>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</si>
  <si>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</si>
  <si>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</si>
  <si>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</si>
  <si>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</si>
  <si>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</si>
  <si>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</si>
  <si>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</si>
  <si>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</si>
  <si>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</si>
  <si>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</si>
  <si>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</si>
  <si>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</si>
  <si>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</si>
  <si>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</si>
  <si>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</si>
  <si>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</si>
  <si>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</si>
  <si>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</si>
  <si>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</si>
  <si>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</si>
  <si>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</si>
  <si>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</si>
  <si>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</si>
  <si>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</si>
  <si>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</si>
  <si>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</si>
  <si>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</si>
  <si>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</si>
  <si>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</si>
  <si>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</si>
  <si>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</si>
  <si>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</si>
  <si>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</si>
  <si>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</si>
  <si>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</si>
  <si>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</si>
  <si>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</si>
  <si>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</si>
  <si>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</si>
  <si>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</si>
  <si>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</si>
  <si>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</si>
  <si>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</si>
  <si>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</si>
  <si>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</si>
  <si>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</si>
  <si>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</si>
  <si>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</si>
  <si>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</si>
  <si>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</si>
  <si>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</si>
  <si>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</si>
  <si>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Flats -, Shops -, Offices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</si>
  <si>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</si>
  <si>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</si>
  <si>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</si>
  <si>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</si>
  <si>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</si>
  <si>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</si>
  <si>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</si>
  <si>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</si>
  <si>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</si>
  <si>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</si>
  <si>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</si>
  <si>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</si>
  <si>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</si>
  <si>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</si>
  <si>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</si>
  <si>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</si>
  <si>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</si>
  <si>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</si>
  <si>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</si>
  <si>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</si>
  <si>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</si>
  <si>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</si>
  <si>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</si>
  <si>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</si>
  <si>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</si>
  <si>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</si>
  <si>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</si>
  <si>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</si>
  <si>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</si>
  <si>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</si>
  <si>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</si>
  <si>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</si>
  <si>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</si>
  <si>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</si>
  <si>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</si>
  <si>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</si>
  <si>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</si>
  <si>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</si>
  <si>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</si>
  <si>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</si>
  <si>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</si>
  <si>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</si>
  <si>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</si>
  <si>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</si>
  <si>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</si>
  <si>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</si>
  <si>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</si>
  <si>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</si>
  <si>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</si>
  <si>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</si>
  <si>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</si>
  <si>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</si>
  <si>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</si>
  <si>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</si>
  <si>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</si>
  <si>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</si>
  <si>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</si>
  <si>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</si>
  <si>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</si>
  <si>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</si>
  <si>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</si>
  <si>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</si>
  <si>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</si>
  <si>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</si>
  <si>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</si>
  <si>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</si>
  <si>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</si>
  <si>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</si>
  <si>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</si>
  <si>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</si>
  <si>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</si>
  <si>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</si>
  <si>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</si>
  <si>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</si>
  <si>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</si>
  <si>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</si>
  <si>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</si>
  <si>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</si>
  <si>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</si>
  <si>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</si>
  <si>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</si>
  <si>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</si>
  <si>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</si>
  <si>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</si>
  <si>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</si>
  <si>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</si>
  <si>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</si>
  <si>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</si>
  <si>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</si>
  <si>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</si>
  <si>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</si>
  <si>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</si>
  <si>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</si>
  <si>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</si>
  <si>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</si>
  <si>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</si>
  <si>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</si>
  <si>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</si>
  <si>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</si>
  <si>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</si>
  <si>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</si>
  <si>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</si>
  <si>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</si>
  <si>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</si>
  <si>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</si>
  <si>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</si>
  <si>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</si>
  <si>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</si>
  <si>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</si>
  <si>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</si>
  <si>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</si>
  <si>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</si>
  <si>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</si>
  <si>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</si>
  <si>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</si>
  <si>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</si>
  <si>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</si>
  <si>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</si>
  <si>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</si>
  <si>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</si>
  <si>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</si>
  <si>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</si>
  <si>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</si>
  <si>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</si>
  <si>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</si>
  <si>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</si>
  <si>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</si>
  <si>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</si>
  <si>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</si>
  <si>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</si>
  <si>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</si>
  <si>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</si>
  <si>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</si>
  <si>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</si>
  <si>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</si>
  <si>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</si>
  <si>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</si>
  <si>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</si>
  <si>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</si>
  <si>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</si>
  <si>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</si>
  <si>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</si>
  <si>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</si>
  <si>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</si>
  <si>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</si>
  <si>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</si>
  <si>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</si>
  <si>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</si>
  <si>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</si>
  <si>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</si>
  <si>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</si>
  <si>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</si>
  <si>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</si>
  <si>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</si>
  <si>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</si>
  <si>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</si>
  <si>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</si>
  <si>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</si>
  <si>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</si>
  <si>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</si>
  <si>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</si>
  <si>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</si>
  <si>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</si>
  <si>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</si>
  <si>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</si>
  <si>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</si>
  <si>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</si>
  <si>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</si>
  <si>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</si>
  <si>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</si>
  <si>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</si>
  <si>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</si>
  <si>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</si>
  <si>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</si>
  <si>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</si>
  <si>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</si>
  <si>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</si>
  <si>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</si>
  <si>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</si>
  <si>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</si>
  <si>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</si>
  <si>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</si>
  <si>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</si>
  <si>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</si>
  <si>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</si>
  <si>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</si>
  <si>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</si>
  <si>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</si>
  <si>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</si>
  <si>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</si>
  <si>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</si>
  <si>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</si>
  <si>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</si>
  <si>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</si>
  <si>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</si>
  <si>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</si>
  <si>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</si>
  <si>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</si>
  <si>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</si>
  <si>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</si>
  <si>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P51900077196</t>
  </si>
  <si>
    <t>Matunga Signet</t>
  </si>
  <si>
    <t>Macrotech Developers Limited</t>
  </si>
  <si>
    <t xml:space="preserve">Mr. Rajendra Giri  9820248856 </t>
  </si>
  <si>
    <t>Sale Building No.7</t>
  </si>
  <si>
    <t>C.S No</t>
  </si>
  <si>
    <t>Rahat Plaza CHS &amp; Matunga Sindhi Colony Panchayat CHS</t>
  </si>
  <si>
    <t>Sion</t>
  </si>
  <si>
    <t>Redevelopment of " Rahat Plaza CHS &amp; Matunga Sindhi Colony Panchayat CHS "</t>
  </si>
  <si>
    <t>Kings Circle East</t>
  </si>
  <si>
    <t>Shri Sunder Kamla Nagar CHS Ltd</t>
  </si>
  <si>
    <t>Vazira Koliwada</t>
  </si>
  <si>
    <t>Internal Road</t>
  </si>
  <si>
    <t>F-N/MCGM/0015/20200623/AP/B-7/Amended Plans</t>
  </si>
  <si>
    <t>F-N/MCGM/0015/20200623/AP/S-7</t>
  </si>
  <si>
    <t>As per RERA - 30/09/2029</t>
  </si>
  <si>
    <t>Kings Circle Railway Station</t>
  </si>
  <si>
    <t>Sale Plans, Builder Saleable Area, Cost Sheet, Airport Noc, Railway Noc, OC</t>
  </si>
  <si>
    <t xml:space="preserve">Sale Bldg. No.5 </t>
  </si>
  <si>
    <t>9.00 Mts. Wide Internal Drive Way</t>
  </si>
  <si>
    <t>Sub Plot ' G ', C.S No.6(Pt)</t>
  </si>
  <si>
    <t>Slum Area</t>
  </si>
  <si>
    <t>Ground Floor For Amenities &amp; Parking</t>
  </si>
  <si>
    <t>Sale Building No.7 = 4B + Gr + P1 to P10 + 11th to 18th Floor</t>
  </si>
  <si>
    <t>4th Basement Floor For Double Height Pump Room, Driver Room &amp; Parking</t>
  </si>
  <si>
    <t>3rd Basement Floor For STP, Pump Room &amp; Parking</t>
  </si>
  <si>
    <t>2nd Basement Floor For Fire Tank, Domestic Tank &amp; Parking</t>
  </si>
  <si>
    <t>1st Basement Floor For STP, IBMS Room, FTTH Room &amp; Parking</t>
  </si>
  <si>
    <t>1st Podium Floor For Guest Rooms, Wating Room, Store Room, Electric Room &amp; Parking</t>
  </si>
  <si>
    <t>3rd, 5th, 7th &amp; 9th Podium Floor For Driver Room/Services &amp; Parking</t>
  </si>
  <si>
    <t>4th, 6th &amp; 8th Podium Floor For Driver Room/Services &amp; Parking</t>
  </si>
  <si>
    <t>2nd Podium Floor For Driver Room/Services, Pocket Terrace Area &amp; Parking</t>
  </si>
  <si>
    <t>10th Podium Floor For Driver Room/Services &amp; Parking</t>
  </si>
  <si>
    <t>Clinic</t>
  </si>
  <si>
    <r>
      <t xml:space="preserve">Clinic/
Office No.
</t>
    </r>
    <r>
      <rPr>
        <b/>
        <sz val="11"/>
        <color rgb="FF000000"/>
        <rFont val="Times New Roman"/>
        <family val="1"/>
      </rPr>
      <t>(Approved Plan)</t>
    </r>
  </si>
  <si>
    <t>Lodha Group</t>
  </si>
  <si>
    <t>11th Floor For Commercial, Meter Room &amp; (Double Height Multipurpose Court &amp; Cricket Turf)</t>
  </si>
  <si>
    <t>12th Floor For Commercial, Pump Room, Meter Room &amp; Fire Tank</t>
  </si>
  <si>
    <t>Office</t>
  </si>
  <si>
    <t>15th to 18th Floor For Commercial &amp; Meter Room</t>
  </si>
  <si>
    <t>14th Floor For Commercial, Meter Room &amp; Part Solar Panel Area</t>
  </si>
  <si>
    <t>As per approved plan, 13th Floor not Considered for Nomenclature</t>
  </si>
  <si>
    <r>
      <t xml:space="preserve">Proposed Amenities :                                                                                                                                                                                                                         </t>
    </r>
    <r>
      <rPr>
        <b/>
        <sz val="12"/>
        <color theme="1"/>
        <rFont val="Times New Roman"/>
        <family val="1"/>
      </rPr>
      <t xml:space="preserve">                                               </t>
    </r>
  </si>
  <si>
    <t>Clinic/ Office No. (Sale Plan)</t>
  </si>
  <si>
    <t>Chajja Area</t>
  </si>
  <si>
    <t xml:space="preserve">Details of Commercials in Building   </t>
  </si>
  <si>
    <t>We considered Gross carpet area = Net carpet + Chajja Area.</t>
  </si>
  <si>
    <t>Building Details Floor Wise</t>
  </si>
  <si>
    <t xml:space="preserve">Please check for Fire Noc &amp; Environment Clearance Certificate.
</t>
  </si>
  <si>
    <t>Due to some temporary error on RERA Site, we have not known which type of building consists in the project Matunga Signet</t>
  </si>
  <si>
    <t xml:space="preserve">Sale Building No.7  </t>
  </si>
  <si>
    <t>Podium Parking, Driver Room, Meter Room, Lift, Swimming Pool, Pump Room, Multipurpose Court, Cricket Turf, Indoor Games, Gym etc.</t>
  </si>
  <si>
    <t>Total Permissible Builtup area of the project (Sq.Mt)</t>
  </si>
  <si>
    <t>Approved Builtup Area of Building No.7 (Sq.Mt)</t>
  </si>
  <si>
    <t>Office - 124,  Clinic - 48</t>
  </si>
  <si>
    <t>SIA/MH/INFRA2/408565/2022</t>
  </si>
  <si>
    <t xml:space="preserve">S.C No.6 (Pt) Of F/North Ward
</t>
  </si>
  <si>
    <t>Proposed Builtup Area = 135577.8 Sq.M</t>
  </si>
  <si>
    <t>P-21991/2024/(Part of C.S. No. 6 And Other)/F/North/SION/SRA/CFO/1/Amend</t>
  </si>
  <si>
    <t>This Plinth CC is Re- endorsed in continuation with Plinth CC issued by BMC under No. P-16602/2023/(6(PT))/F/North/Sion/CC/1/New dated 02/08/2023, As per Approved Amneded plan dated 28/06/2024 &amp; Granted Upto Top of the Basement Level</t>
  </si>
  <si>
    <t>Construction work is in process at the time of Visit (labour found)
Construction work was not active at the time of Visit. (labour Not found)
All work completed. Wait for OC / OC received.</t>
  </si>
  <si>
    <t>Sale Building No.7 = 4B + Gr + P1 to P10 + 11th to 18th Floor
(Height = 57.60 Mtrs)</t>
  </si>
  <si>
    <t>19.033250,72.857722</t>
  </si>
  <si>
    <t>https://maps.app.goo.gl/YZvHrxUKeCQ11trv6</t>
  </si>
  <si>
    <t>0.40 KM from Kings Circle Railway Station</t>
  </si>
  <si>
    <t>Approved Plans, CC,  Fire Noc &amp; EC</t>
  </si>
  <si>
    <t>6, 7(Pt), 41(Pt) Redevlopement of "Barracks No. T/57, T/58, T/59"</t>
  </si>
  <si>
    <t>Pooja Kawale</t>
  </si>
  <si>
    <t>Karan Misal</t>
  </si>
  <si>
    <t>Recommended Rates of the Property have been revised on 24/03/2025.</t>
  </si>
  <si>
    <t>Rate 30900 by Akash mote verbal  on 24/03/2025</t>
  </si>
  <si>
    <t>Construction work is in process at the time of visit. Internal photographs was not allowed.
Construction details &amp; photographs are taken from Mr. Rajendra giri.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</si>
</sst>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1" fillId="0" borderId="0"/>
    <xf numFmtId="9" fontId="22" fillId="0" borderId="0" applyFont="0" applyFill="0" applyBorder="0" applyAlignment="0" applyProtection="0"/>
    <xf numFmtId="43" fontId="22" fillId="0" borderId="0" applyFont="0" applyFill="0" applyBorder="0" applyAlignment="0" applyProtection="0"/>
    <xf numFmtId="0" fontId="27" fillId="0" borderId="0" applyNumberFormat="0" applyFill="0" applyBorder="0" applyAlignment="0" applyProtection="0"/>
  </cellStyleXfs>
  <cellXfs count="22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20"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9" fillId="0" borderId="1" xfId="5" applyNumberFormat="1" applyFont="1" applyBorder="1" applyAlignment="1">
      <alignment horizontal="center" vertical="center"/>
    </xf>
    <xf numFmtId="0" fontId="5" fillId="0" borderId="1" xfId="4" applyBorder="1" applyAlignment="1">
      <alignment horizontal="center" vertical="center"/>
    </xf>
    <xf numFmtId="0" fontId="18" fillId="0" borderId="0" xfId="0" applyFont="1" applyProtection="1">
      <protection hidden="1"/>
    </xf>
    <xf numFmtId="0" fontId="18" fillId="0" borderId="8" xfId="0" applyFont="1" applyBorder="1" applyProtection="1">
      <protection hidden="1"/>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4" fillId="0" borderId="0" xfId="1" applyFont="1"/>
    <xf numFmtId="0" fontId="7" fillId="0" borderId="7" xfId="1" applyFont="1" applyBorder="1"/>
    <xf numFmtId="0" fontId="18" fillId="0" borderId="7" xfId="0" applyFont="1" applyBorder="1" applyProtection="1">
      <protection hidden="1"/>
    </xf>
    <xf numFmtId="1" fontId="0" fillId="0" borderId="7" xfId="0" applyNumberFormat="1" applyBorder="1"/>
    <xf numFmtId="1" fontId="0" fillId="0" borderId="7" xfId="0" applyNumberFormat="1" applyBorder="1" applyAlignment="1">
      <alignment horizontal="right"/>
    </xf>
    <xf numFmtId="1" fontId="0" fillId="0" borderId="9"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6" fillId="0" borderId="18" xfId="0" applyFont="1" applyBorder="1"/>
    <xf numFmtId="0" fontId="26" fillId="0" borderId="4" xfId="0" applyFont="1" applyBorder="1"/>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9" fontId="17" fillId="0" borderId="11"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Fill="1" applyBorder="1" applyAlignment="1" applyProtection="1">
      <alignment horizontal="center" vertical="center" wrapText="1"/>
      <protection locked="0"/>
    </xf>
    <xf numFmtId="0" fontId="0" fillId="0" borderId="17" xfId="0" applyFill="1" applyBorder="1"/>
    <xf numFmtId="0" fontId="0" fillId="0" borderId="5" xfId="0" applyBorder="1"/>
    <xf numFmtId="0" fontId="0" fillId="0" borderId="1" xfId="0" applyBorder="1" applyAlignment="1">
      <alignment vertical="top" wrapText="1"/>
    </xf>
    <xf numFmtId="0" fontId="0" fillId="0" borderId="1" xfId="0" applyFill="1" applyBorder="1"/>
    <xf numFmtId="1" fontId="8" fillId="0" borderId="3" xfId="1" applyNumberFormat="1" applyFont="1" applyBorder="1" applyAlignment="1" applyProtection="1">
      <alignment horizontal="center" vertical="top" wrapText="1"/>
      <protection locked="0"/>
    </xf>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5" xfId="0" applyFill="1" applyBorder="1"/>
    <xf numFmtId="0" fontId="12" fillId="0" borderId="1" xfId="1" applyFont="1" applyBorder="1"/>
    <xf numFmtId="0" fontId="7" fillId="0" borderId="1" xfId="1" applyFont="1" applyBorder="1"/>
    <xf numFmtId="0" fontId="0" fillId="0" borderId="5" xfId="0" applyBorder="1" applyAlignment="1">
      <alignment vertical="top"/>
    </xf>
    <xf numFmtId="0" fontId="0" fillId="0" borderId="17" xfId="0" applyFill="1" applyBorder="1" applyAlignment="1">
      <alignment horizontal="center" vertical="top"/>
    </xf>
    <xf numFmtId="0" fontId="0" fillId="0" borderId="5"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64"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10" fillId="0" borderId="3" xfId="1" applyNumberFormat="1" applyFont="1" applyBorder="1" applyAlignment="1" applyProtection="1">
      <alignment horizontal="center" vertical="top" wrapText="1"/>
      <protection locked="0"/>
    </xf>
    <xf numFmtId="0" fontId="12" fillId="0" borderId="1" xfId="1" applyFont="1" applyBorder="1" applyAlignment="1" applyProtection="1">
      <alignment vertical="top" wrapText="1"/>
      <protection locked="0"/>
    </xf>
    <xf numFmtId="0" fontId="7" fillId="0" borderId="1" xfId="1" applyFont="1" applyBorder="1" applyAlignment="1" applyProtection="1">
      <alignment horizontal="center" vertical="top"/>
      <protection locked="0"/>
    </xf>
    <xf numFmtId="0" fontId="7" fillId="0" borderId="0" xfId="1" applyFont="1" applyAlignment="1"/>
    <xf numFmtId="9" fontId="13" fillId="0" borderId="11"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5" fillId="2" borderId="10" xfId="0" applyFont="1" applyFill="1" applyBorder="1"/>
    <xf numFmtId="0" fontId="7" fillId="0" borderId="1" xfId="1" applyFont="1" applyBorder="1" applyAlignment="1" applyProtection="1">
      <alignment horizontal="center" vertical="top" wrapText="1"/>
      <protection locked="0"/>
    </xf>
    <xf numFmtId="0" fontId="26" fillId="0" borderId="6" xfId="0" applyFont="1" applyBorder="1"/>
    <xf numFmtId="1" fontId="13" fillId="0" borderId="5" xfId="0" applyNumberFormat="1" applyFont="1" applyBorder="1" applyAlignment="1" applyProtection="1">
      <alignment vertical="top" wrapText="1"/>
      <protection locked="0"/>
    </xf>
    <xf numFmtId="1" fontId="13" fillId="0" borderId="16" xfId="0" applyNumberFormat="1" applyFont="1" applyBorder="1" applyAlignment="1" applyProtection="1">
      <alignment vertical="top" wrapText="1"/>
      <protection locked="0"/>
    </xf>
    <xf numFmtId="1" fontId="13" fillId="0" borderId="6" xfId="0" applyNumberFormat="1" applyFont="1" applyBorder="1" applyAlignment="1" applyProtection="1">
      <alignment vertical="top" wrapText="1"/>
      <protection locked="0"/>
    </xf>
    <xf numFmtId="0" fontId="6" fillId="0" borderId="1" xfId="1" applyFont="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1" fontId="6" fillId="0" borderId="5" xfId="1" applyNumberFormat="1" applyFont="1" applyBorder="1" applyAlignment="1" applyProtection="1">
      <alignment horizontal="center" vertical="center" wrapText="1"/>
      <protection locked="0"/>
    </xf>
    <xf numFmtId="1" fontId="6" fillId="0" borderId="6" xfId="1" applyNumberFormat="1" applyFont="1" applyBorder="1" applyAlignment="1" applyProtection="1">
      <alignment horizontal="center" vertical="center" wrapText="1"/>
      <protection locked="0"/>
    </xf>
    <xf numFmtId="1" fontId="8" fillId="0" borderId="1" xfId="1" applyNumberFormat="1" applyFont="1" applyBorder="1" applyAlignment="1" applyProtection="1">
      <alignment horizontal="center" vertical="center" wrapText="1"/>
      <protection locked="0"/>
    </xf>
    <xf numFmtId="1" fontId="8" fillId="0" borderId="5" xfId="1" applyNumberFormat="1" applyFont="1" applyBorder="1" applyAlignment="1" applyProtection="1">
      <alignment horizontal="center" vertical="center" wrapText="1"/>
      <protection locked="0"/>
    </xf>
    <xf numFmtId="1" fontId="8" fillId="0" borderId="16" xfId="1" applyNumberFormat="1" applyFont="1" applyBorder="1" applyAlignment="1" applyProtection="1">
      <alignment horizontal="center" vertical="center" wrapText="1"/>
      <protection locked="0"/>
    </xf>
    <xf numFmtId="1" fontId="8" fillId="0" borderId="6" xfId="1" applyNumberFormat="1" applyFont="1" applyBorder="1" applyAlignment="1" applyProtection="1">
      <alignment horizontal="center" vertical="center" wrapText="1"/>
      <protection locked="0"/>
    </xf>
    <xf numFmtId="1" fontId="10" fillId="0" borderId="5" xfId="0" applyNumberFormat="1" applyFont="1" applyBorder="1" applyAlignment="1" applyProtection="1">
      <alignment vertical="top" wrapText="1"/>
      <protection locked="0"/>
    </xf>
    <xf numFmtId="1" fontId="10" fillId="0" borderId="16" xfId="0" applyNumberFormat="1" applyFont="1" applyBorder="1" applyAlignment="1" applyProtection="1">
      <alignment vertical="top" wrapText="1"/>
      <protection locked="0"/>
    </xf>
    <xf numFmtId="1" fontId="10" fillId="0" borderId="6" xfId="0" applyNumberFormat="1" applyFont="1" applyBorder="1" applyAlignment="1" applyProtection="1">
      <alignment vertical="top" wrapText="1"/>
      <protection locked="0"/>
    </xf>
    <xf numFmtId="164" fontId="6"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center" vertical="top" wrapText="1"/>
      <protection locked="0"/>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1" fontId="8" fillId="0" borderId="1" xfId="0"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167" fontId="12" fillId="0" borderId="1" xfId="9" applyNumberFormat="1" applyFont="1" applyFill="1" applyBorder="1" applyAlignment="1" applyProtection="1">
      <alignment horizontal="left" vertical="top"/>
      <protection locked="0"/>
    </xf>
    <xf numFmtId="0" fontId="7" fillId="0" borderId="17"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5" xfId="1" applyFont="1" applyBorder="1" applyAlignment="1" applyProtection="1">
      <alignment horizontal="left" vertical="top" wrapText="1"/>
      <protection locked="0"/>
    </xf>
    <xf numFmtId="0" fontId="8" fillId="0" borderId="6" xfId="1" applyFont="1" applyBorder="1" applyAlignment="1" applyProtection="1">
      <alignment horizontal="left" vertical="top" wrapText="1"/>
      <protection locked="0"/>
    </xf>
    <xf numFmtId="0" fontId="8" fillId="0" borderId="16" xfId="1" applyFont="1" applyBorder="1" applyAlignment="1" applyProtection="1">
      <alignment horizontal="left" vertical="top" wrapText="1"/>
      <protection locked="0"/>
    </xf>
    <xf numFmtId="2"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0"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14" fontId="8" fillId="0" borderId="5" xfId="1" applyNumberFormat="1" applyFont="1" applyBorder="1" applyAlignment="1" applyProtection="1">
      <alignment horizontal="left" vertical="top"/>
      <protection locked="0"/>
    </xf>
    <xf numFmtId="14" fontId="8" fillId="0" borderId="6" xfId="1" applyNumberFormat="1" applyFont="1" applyBorder="1" applyAlignment="1" applyProtection="1">
      <alignment horizontal="left" vertical="top"/>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14" fontId="12" fillId="0" borderId="5" xfId="1" applyNumberFormat="1" applyFont="1" applyBorder="1" applyAlignment="1" applyProtection="1">
      <alignment horizontal="left" vertical="top" wrapText="1"/>
      <protection locked="0"/>
    </xf>
    <xf numFmtId="1" fontId="7" fillId="0" borderId="1" xfId="0" applyNumberFormat="1" applyFont="1" applyBorder="1" applyAlignment="1" applyProtection="1">
      <alignment horizontal="center" vertical="top" wrapText="1"/>
      <protection locked="0"/>
    </xf>
    <xf numFmtId="0" fontId="10" fillId="0" borderId="3" xfId="0" applyFont="1" applyBorder="1" applyAlignment="1" applyProtection="1">
      <alignment horizontal="center" vertical="center"/>
      <protection locked="0"/>
    </xf>
    <xf numFmtId="1" fontId="8" fillId="0" borderId="5" xfId="0" applyNumberFormat="1" applyFont="1" applyBorder="1" applyAlignment="1" applyProtection="1">
      <alignment vertical="top" wrapText="1"/>
      <protection locked="0"/>
    </xf>
    <xf numFmtId="1" fontId="8" fillId="0" borderId="16" xfId="0" applyNumberFormat="1" applyFont="1" applyBorder="1" applyAlignment="1" applyProtection="1">
      <alignment vertical="top" wrapText="1"/>
      <protection locked="0"/>
    </xf>
    <xf numFmtId="1" fontId="8" fillId="0" borderId="6" xfId="0" applyNumberFormat="1" applyFont="1" applyBorder="1" applyAlignment="1" applyProtection="1">
      <alignment vertical="top" wrapText="1"/>
      <protection locked="0"/>
    </xf>
    <xf numFmtId="1" fontId="17" fillId="0" borderId="5" xfId="0" applyNumberFormat="1" applyFont="1" applyBorder="1" applyAlignment="1" applyProtection="1">
      <alignment vertical="top" wrapText="1"/>
      <protection locked="0"/>
    </xf>
    <xf numFmtId="1" fontId="17" fillId="0" borderId="16" xfId="0" applyNumberFormat="1" applyFont="1" applyBorder="1" applyAlignment="1" applyProtection="1">
      <alignment vertical="top" wrapText="1"/>
      <protection locked="0"/>
    </xf>
    <xf numFmtId="1" fontId="17" fillId="0" borderId="6" xfId="0" applyNumberFormat="1" applyFont="1" applyBorder="1" applyAlignment="1" applyProtection="1">
      <alignment vertical="top" wrapText="1"/>
      <protection locked="0"/>
    </xf>
    <xf numFmtId="1" fontId="8" fillId="0" borderId="19" xfId="0" applyNumberFormat="1" applyFont="1" applyBorder="1" applyAlignment="1" applyProtection="1">
      <alignment horizontal="center" vertical="center" wrapText="1"/>
      <protection locked="0"/>
    </xf>
    <xf numFmtId="1" fontId="8" fillId="0" borderId="20" xfId="0" applyNumberFormat="1" applyFont="1" applyBorder="1" applyAlignment="1" applyProtection="1">
      <alignment horizontal="center" vertical="center" wrapText="1"/>
      <protection locked="0"/>
    </xf>
    <xf numFmtId="0" fontId="10" fillId="0" borderId="20" xfId="0" applyFont="1" applyBorder="1" applyAlignment="1" applyProtection="1">
      <alignment horizontal="center" vertical="center"/>
      <protection locked="0"/>
    </xf>
    <xf numFmtId="0" fontId="10" fillId="0" borderId="20" xfId="0" applyFont="1" applyBorder="1" applyAlignment="1" applyProtection="1">
      <alignment horizontal="center" vertical="top" wrapText="1"/>
      <protection locked="0"/>
    </xf>
    <xf numFmtId="0" fontId="6" fillId="0" borderId="1" xfId="1" applyFont="1" applyBorder="1" applyAlignment="1" applyProtection="1">
      <alignment vertical="top"/>
      <protection locked="0"/>
    </xf>
    <xf numFmtId="1" fontId="17" fillId="0" borderId="3" xfId="1" applyNumberFormat="1" applyFont="1" applyBorder="1" applyAlignment="1" applyProtection="1">
      <alignment horizontal="center" vertical="top" wrapText="1"/>
      <protection locked="0"/>
    </xf>
    <xf numFmtId="1" fontId="17" fillId="0" borderId="11" xfId="1" applyNumberFormat="1" applyFont="1" applyBorder="1" applyAlignment="1" applyProtection="1">
      <alignment horizontal="center" vertical="top" wrapText="1"/>
      <protection locked="0"/>
    </xf>
    <xf numFmtId="1" fontId="8" fillId="0" borderId="3" xfId="1" applyNumberFormat="1" applyFont="1" applyBorder="1" applyAlignment="1" applyProtection="1">
      <alignment horizontal="center" vertical="top" wrapText="1"/>
      <protection locked="0"/>
    </xf>
    <xf numFmtId="1" fontId="8" fillId="0" borderId="11" xfId="1"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5" xfId="1" applyFont="1" applyBorder="1" applyAlignment="1" applyProtection="1">
      <alignment vertical="top"/>
      <protection locked="0"/>
    </xf>
    <xf numFmtId="0" fontId="8" fillId="0" borderId="16" xfId="1" applyFont="1" applyBorder="1" applyAlignment="1" applyProtection="1">
      <alignment vertical="top"/>
      <protection locked="0"/>
    </xf>
    <xf numFmtId="0" fontId="8" fillId="0" borderId="6"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3" fillId="0" borderId="5" xfId="1" applyFont="1" applyBorder="1" applyAlignment="1" applyProtection="1">
      <alignment horizontal="left" vertical="top"/>
      <protection locked="0"/>
    </xf>
    <xf numFmtId="0" fontId="13" fillId="0" borderId="16" xfId="1" applyFont="1" applyBorder="1" applyAlignment="1" applyProtection="1">
      <alignment horizontal="left" vertical="top"/>
      <protection locked="0"/>
    </xf>
    <xf numFmtId="0" fontId="13" fillId="0" borderId="6" xfId="1" applyFont="1" applyBorder="1" applyAlignment="1" applyProtection="1">
      <alignment horizontal="left" vertical="top"/>
      <protection locked="0"/>
    </xf>
    <xf numFmtId="14" fontId="6" fillId="0" borderId="5" xfId="1" applyNumberFormat="1" applyFont="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10" fillId="0" borderId="1" xfId="1"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wrapText="1"/>
      <protection locked="0"/>
    </xf>
    <xf numFmtId="0" fontId="15" fillId="0" borderId="12" xfId="1" applyFont="1" applyBorder="1" applyAlignment="1" applyProtection="1">
      <alignment horizontal="left" vertical="top" wrapText="1"/>
      <protection locked="0"/>
    </xf>
    <xf numFmtId="0" fontId="15" fillId="0" borderId="13" xfId="1" applyFont="1" applyBorder="1" applyAlignment="1" applyProtection="1">
      <alignment horizontal="left" vertical="top" wrapText="1"/>
      <protection locked="0"/>
    </xf>
    <xf numFmtId="0" fontId="15" fillId="0" borderId="14" xfId="1" applyFont="1" applyBorder="1" applyAlignment="1" applyProtection="1">
      <alignment horizontal="left" vertical="top" wrapText="1"/>
      <protection locked="0"/>
    </xf>
    <xf numFmtId="0" fontId="15" fillId="0" borderId="15" xfId="1" applyFont="1" applyBorder="1" applyAlignment="1" applyProtection="1">
      <alignment horizontal="left" vertical="top" wrapText="1"/>
      <protection locked="0"/>
    </xf>
    <xf numFmtId="0" fontId="6" fillId="0" borderId="12" xfId="1" applyFont="1" applyBorder="1" applyAlignment="1" applyProtection="1">
      <alignment horizontal="left" vertical="top" wrapText="1"/>
      <protection locked="0"/>
    </xf>
    <xf numFmtId="0" fontId="6" fillId="0" borderId="13" xfId="1" applyFont="1" applyBorder="1" applyAlignment="1" applyProtection="1">
      <alignment horizontal="left" vertical="top" wrapText="1"/>
      <protection locked="0"/>
    </xf>
    <xf numFmtId="0" fontId="6" fillId="0" borderId="14" xfId="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0" fontId="7" fillId="0" borderId="0" xfId="1" applyFont="1" applyAlignment="1">
      <alignment horizontal="center" vertical="center"/>
    </xf>
    <xf numFmtId="1" fontId="8" fillId="0" borderId="20" xfId="0" applyNumberFormat="1" applyFont="1" applyBorder="1" applyAlignment="1" applyProtection="1">
      <alignment horizontal="center" vertical="top" wrapText="1"/>
      <protection locked="0"/>
    </xf>
    <xf numFmtId="1" fontId="8" fillId="0" borderId="21" xfId="0" applyNumberFormat="1" applyFont="1" applyBorder="1" applyAlignment="1" applyProtection="1">
      <alignment horizontal="center" vertical="top" wrapText="1"/>
      <protection locked="0"/>
    </xf>
    <xf numFmtId="0" fontId="12" fillId="0" borderId="5" xfId="1" applyFont="1" applyBorder="1" applyAlignment="1" applyProtection="1">
      <alignment vertical="top" wrapText="1"/>
      <protection locked="0"/>
    </xf>
    <xf numFmtId="0" fontId="12" fillId="0" borderId="16" xfId="1" applyFont="1" applyBorder="1" applyAlignment="1" applyProtection="1">
      <alignment vertical="top" wrapText="1"/>
      <protection locked="0"/>
    </xf>
    <xf numFmtId="0" fontId="12" fillId="0" borderId="6" xfId="1" applyFont="1" applyBorder="1" applyAlignment="1" applyProtection="1">
      <alignment vertical="top"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1" fontId="4" fillId="0" borderId="3" xfId="1" applyNumberFormat="1" applyFont="1" applyBorder="1" applyAlignment="1" applyProtection="1">
      <alignment horizontal="center" vertical="top" wrapText="1"/>
      <protection locked="0"/>
    </xf>
    <xf numFmtId="1" fontId="4" fillId="0" borderId="11" xfId="1" applyNumberFormat="1" applyFont="1" applyBorder="1" applyAlignment="1" applyProtection="1">
      <alignment horizontal="center" vertical="top" wrapText="1"/>
      <protection locked="0"/>
    </xf>
    <xf numFmtId="1" fontId="10" fillId="0" borderId="3" xfId="1" applyNumberFormat="1" applyFont="1" applyBorder="1" applyAlignment="1" applyProtection="1">
      <alignment horizontal="center" vertical="top" wrapText="1"/>
      <protection locked="0"/>
    </xf>
    <xf numFmtId="1" fontId="10" fillId="0" borderId="11" xfId="1" applyNumberFormat="1" applyFont="1" applyBorder="1" applyAlignment="1" applyProtection="1">
      <alignment horizontal="center" vertical="top" wrapText="1"/>
      <protection locked="0"/>
    </xf>
    <xf numFmtId="0" fontId="27" fillId="0" borderId="1" xfId="10"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center"/>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8" fillId="0" borderId="3" xfId="0" applyNumberFormat="1" applyFont="1" applyBorder="1" applyAlignment="1" applyProtection="1">
      <alignment horizontal="center" vertical="center" wrapText="1"/>
      <protection locked="0"/>
    </xf>
    <xf numFmtId="0" fontId="10" fillId="0" borderId="3" xfId="0" applyFont="1" applyBorder="1" applyAlignment="1" applyProtection="1">
      <alignment horizontal="center" vertical="top" wrapText="1"/>
      <protection locked="0"/>
    </xf>
    <xf numFmtId="1" fontId="8" fillId="0" borderId="3" xfId="0" applyNumberFormat="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8" fillId="0" borderId="11" xfId="1" applyFont="1" applyBorder="1" applyAlignment="1" applyProtection="1">
      <alignment horizontal="center" vertical="top"/>
      <protection locked="0"/>
    </xf>
    <xf numFmtId="0" fontId="15" fillId="0" borderId="1" xfId="1" applyFont="1" applyBorder="1" applyAlignment="1" applyProtection="1">
      <alignment horizontal="left" vertical="top" wrapText="1"/>
      <protection locked="0"/>
    </xf>
    <xf numFmtId="0" fontId="15" fillId="0" borderId="1" xfId="1" applyFont="1" applyBorder="1" applyAlignment="1" applyProtection="1">
      <alignment horizontal="left" vertical="top"/>
      <protection locked="0"/>
    </xf>
    <xf numFmtId="9" fontId="7" fillId="0" borderId="1" xfId="8" applyFont="1" applyFill="1" applyBorder="1" applyAlignment="1" applyProtection="1">
      <alignment horizontal="center" vertical="center" wrapText="1"/>
      <protection locked="0"/>
    </xf>
    <xf numFmtId="0" fontId="8" fillId="0" borderId="11" xfId="1" applyFont="1" applyBorder="1" applyAlignment="1" applyProtection="1">
      <alignment horizontal="left" vertical="top"/>
      <protection locked="0"/>
    </xf>
    <xf numFmtId="1" fontId="8" fillId="0" borderId="12" xfId="1" applyNumberFormat="1" applyFont="1" applyBorder="1" applyAlignment="1" applyProtection="1">
      <alignment horizontal="center" vertical="top" wrapText="1"/>
      <protection locked="0"/>
    </xf>
    <xf numFmtId="1" fontId="8" fillId="0" borderId="14" xfId="1"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xf numFmtId="1" fontId="7" fillId="0" borderId="1" xfId="1" applyNumberFormat="1" applyFont="1" applyBorder="1" applyAlignment="1" applyProtection="1">
      <alignment horizontal="center" vertical="top" wrapText="1"/>
      <protection locked="0"/>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8</xdr:col>
      <xdr:colOff>584953</xdr:colOff>
      <xdr:row>19</xdr:row>
      <xdr:rowOff>125994</xdr:rowOff>
    </xdr:from>
    <xdr:to>
      <xdr:col>13</xdr:col>
      <xdr:colOff>242808</xdr:colOff>
      <xdr:row>28</xdr:row>
      <xdr:rowOff>66179</xdr:rowOff>
    </xdr:to>
    <xdr:pic>
      <xdr:nvPicPr>
        <xdr:cNvPr id="2" name="Picture 1"/>
        <xdr:cNvPicPr>
          <a:picLocks noChangeAspect="1"/>
        </xdr:cNvPicPr>
      </xdr:nvPicPr>
      <xdr:blipFill>
        <a:blip xmlns:r="http://schemas.openxmlformats.org/officeDocument/2006/relationships" r:embed="rId1"/>
        <a:stretch>
          <a:fillRect/>
        </a:stretch>
      </xdr:blipFill>
      <xdr:spPr>
        <a:xfrm>
          <a:off x="6893865" y="4922112"/>
          <a:ext cx="4005737" cy="1968449"/>
        </a:xfrm>
        <a:prstGeom prst="rect">
          <a:avLst/>
        </a:prstGeom>
      </xdr:spPr>
    </xdr:pic>
    <xdr:clientData/>
  </xdr:twoCellAnchor>
  <xdr:twoCellAnchor editAs="oneCell">
    <xdr:from>
      <xdr:col>9</xdr:col>
      <xdr:colOff>274730</xdr:colOff>
      <xdr:row>12</xdr:row>
      <xdr:rowOff>192906</xdr:rowOff>
    </xdr:from>
    <xdr:to>
      <xdr:col>18</xdr:col>
      <xdr:colOff>235250</xdr:colOff>
      <xdr:row>19</xdr:row>
      <xdr:rowOff>82087</xdr:rowOff>
    </xdr:to>
    <xdr:pic>
      <xdr:nvPicPr>
        <xdr:cNvPr id="3" name="Picture 2"/>
        <xdr:cNvPicPr>
          <a:picLocks noChangeAspect="1"/>
        </xdr:cNvPicPr>
      </xdr:nvPicPr>
      <xdr:blipFill>
        <a:blip xmlns:r="http://schemas.openxmlformats.org/officeDocument/2006/relationships" r:embed="rId2"/>
        <a:stretch>
          <a:fillRect/>
        </a:stretch>
      </xdr:blipFill>
      <xdr:spPr>
        <a:xfrm>
          <a:off x="7753926" y="2959297"/>
          <a:ext cx="6793672" cy="1693913"/>
        </a:xfrm>
        <a:prstGeom prst="rect">
          <a:avLst/>
        </a:prstGeom>
      </xdr:spPr>
    </xdr:pic>
    <xdr:clientData/>
  </xdr:twoCellAnchor>
  <xdr:twoCellAnchor editAs="oneCell">
    <xdr:from>
      <xdr:col>1</xdr:col>
      <xdr:colOff>425872</xdr:colOff>
      <xdr:row>327</xdr:row>
      <xdr:rowOff>163703</xdr:rowOff>
    </xdr:from>
    <xdr:to>
      <xdr:col>5</xdr:col>
      <xdr:colOff>729824</xdr:colOff>
      <xdr:row>343</xdr:row>
      <xdr:rowOff>108778</xdr:rowOff>
    </xdr:to>
    <xdr:pic>
      <xdr:nvPicPr>
        <xdr:cNvPr id="6" name="Picture 5"/>
        <xdr:cNvPicPr>
          <a:picLocks noChangeAspect="1"/>
        </xdr:cNvPicPr>
      </xdr:nvPicPr>
      <xdr:blipFill>
        <a:blip xmlns:r="http://schemas.openxmlformats.org/officeDocument/2006/relationships" r:embed="rId3"/>
        <a:stretch>
          <a:fillRect/>
        </a:stretch>
      </xdr:blipFill>
      <xdr:spPr>
        <a:xfrm>
          <a:off x="1187872" y="57123203"/>
          <a:ext cx="3641843" cy="3125596"/>
        </a:xfrm>
        <a:prstGeom prst="rect">
          <a:avLst/>
        </a:prstGeom>
        <a:ln>
          <a:solidFill>
            <a:schemeClr val="tx1"/>
          </a:solidFill>
        </a:ln>
      </xdr:spPr>
    </xdr:pic>
    <xdr:clientData/>
  </xdr:twoCellAnchor>
  <xdr:twoCellAnchor editAs="oneCell">
    <xdr:from>
      <xdr:col>8</xdr:col>
      <xdr:colOff>228600</xdr:colOff>
      <xdr:row>46</xdr:row>
      <xdr:rowOff>85725</xdr:rowOff>
    </xdr:from>
    <xdr:to>
      <xdr:col>11</xdr:col>
      <xdr:colOff>848178</xdr:colOff>
      <xdr:row>51</xdr:row>
      <xdr:rowOff>76423</xdr:rowOff>
    </xdr:to>
    <xdr:pic>
      <xdr:nvPicPr>
        <xdr:cNvPr id="19" name="Picture 18"/>
        <xdr:cNvPicPr>
          <a:picLocks noChangeAspect="1"/>
        </xdr:cNvPicPr>
      </xdr:nvPicPr>
      <xdr:blipFill>
        <a:blip xmlns:r="http://schemas.openxmlformats.org/officeDocument/2006/relationships" r:embed="rId4"/>
        <a:stretch>
          <a:fillRect/>
        </a:stretch>
      </xdr:blipFill>
      <xdr:spPr>
        <a:xfrm>
          <a:off x="6543675" y="10506075"/>
          <a:ext cx="3248478" cy="1600423"/>
        </a:xfrm>
        <a:prstGeom prst="rect">
          <a:avLst/>
        </a:prstGeom>
      </xdr:spPr>
    </xdr:pic>
    <xdr:clientData/>
  </xdr:twoCellAnchor>
  <xdr:twoCellAnchor editAs="oneCell">
    <xdr:from>
      <xdr:col>8</xdr:col>
      <xdr:colOff>533400</xdr:colOff>
      <xdr:row>48</xdr:row>
      <xdr:rowOff>171450</xdr:rowOff>
    </xdr:from>
    <xdr:to>
      <xdr:col>15</xdr:col>
      <xdr:colOff>543763</xdr:colOff>
      <xdr:row>51</xdr:row>
      <xdr:rowOff>162095</xdr:rowOff>
    </xdr:to>
    <xdr:pic>
      <xdr:nvPicPr>
        <xdr:cNvPr id="20" name="Picture 19"/>
        <xdr:cNvPicPr>
          <a:picLocks noChangeAspect="1"/>
        </xdr:cNvPicPr>
      </xdr:nvPicPr>
      <xdr:blipFill>
        <a:blip xmlns:r="http://schemas.openxmlformats.org/officeDocument/2006/relationships" r:embed="rId5"/>
        <a:stretch>
          <a:fillRect/>
        </a:stretch>
      </xdr:blipFill>
      <xdr:spPr>
        <a:xfrm>
          <a:off x="6848475" y="10991850"/>
          <a:ext cx="6001588" cy="1200318"/>
        </a:xfrm>
        <a:prstGeom prst="rect">
          <a:avLst/>
        </a:prstGeom>
      </xdr:spPr>
    </xdr:pic>
    <xdr:clientData/>
  </xdr:twoCellAnchor>
  <xdr:twoCellAnchor editAs="oneCell">
    <xdr:from>
      <xdr:col>10</xdr:col>
      <xdr:colOff>429867</xdr:colOff>
      <xdr:row>55</xdr:row>
      <xdr:rowOff>162338</xdr:rowOff>
    </xdr:from>
    <xdr:to>
      <xdr:col>17</xdr:col>
      <xdr:colOff>525892</xdr:colOff>
      <xdr:row>62</xdr:row>
      <xdr:rowOff>32782</xdr:rowOff>
    </xdr:to>
    <xdr:pic>
      <xdr:nvPicPr>
        <xdr:cNvPr id="21" name="Picture 20"/>
        <xdr:cNvPicPr>
          <a:picLocks noChangeAspect="1"/>
        </xdr:cNvPicPr>
      </xdr:nvPicPr>
      <xdr:blipFill>
        <a:blip xmlns:r="http://schemas.openxmlformats.org/officeDocument/2006/relationships" r:embed="rId6"/>
        <a:stretch>
          <a:fillRect/>
        </a:stretch>
      </xdr:blipFill>
      <xdr:spPr>
        <a:xfrm>
          <a:off x="8668992" y="14087888"/>
          <a:ext cx="5553850" cy="1318244"/>
        </a:xfrm>
        <a:prstGeom prst="rect">
          <a:avLst/>
        </a:prstGeom>
      </xdr:spPr>
    </xdr:pic>
    <xdr:clientData/>
  </xdr:twoCellAnchor>
  <xdr:twoCellAnchor editAs="oneCell">
    <xdr:from>
      <xdr:col>8</xdr:col>
      <xdr:colOff>495300</xdr:colOff>
      <xdr:row>49</xdr:row>
      <xdr:rowOff>381000</xdr:rowOff>
    </xdr:from>
    <xdr:to>
      <xdr:col>17</xdr:col>
      <xdr:colOff>315330</xdr:colOff>
      <xdr:row>53</xdr:row>
      <xdr:rowOff>338947</xdr:rowOff>
    </xdr:to>
    <xdr:pic>
      <xdr:nvPicPr>
        <xdr:cNvPr id="22" name="Picture 21"/>
        <xdr:cNvPicPr>
          <a:picLocks noChangeAspect="1"/>
        </xdr:cNvPicPr>
      </xdr:nvPicPr>
      <xdr:blipFill>
        <a:blip xmlns:r="http://schemas.openxmlformats.org/officeDocument/2006/relationships" r:embed="rId7"/>
        <a:stretch>
          <a:fillRect/>
        </a:stretch>
      </xdr:blipFill>
      <xdr:spPr>
        <a:xfrm>
          <a:off x="6810375" y="11630025"/>
          <a:ext cx="7201905" cy="1781424"/>
        </a:xfrm>
        <a:prstGeom prst="rect">
          <a:avLst/>
        </a:prstGeom>
      </xdr:spPr>
    </xdr:pic>
    <xdr:clientData/>
  </xdr:twoCellAnchor>
  <xdr:twoCellAnchor editAs="oneCell">
    <xdr:from>
      <xdr:col>10</xdr:col>
      <xdr:colOff>542925</xdr:colOff>
      <xdr:row>56</xdr:row>
      <xdr:rowOff>228600</xdr:rowOff>
    </xdr:from>
    <xdr:to>
      <xdr:col>19</xdr:col>
      <xdr:colOff>705820</xdr:colOff>
      <xdr:row>66</xdr:row>
      <xdr:rowOff>95516</xdr:rowOff>
    </xdr:to>
    <xdr:pic>
      <xdr:nvPicPr>
        <xdr:cNvPr id="23" name="Picture 22"/>
        <xdr:cNvPicPr>
          <a:picLocks noChangeAspect="1"/>
        </xdr:cNvPicPr>
      </xdr:nvPicPr>
      <xdr:blipFill>
        <a:blip xmlns:r="http://schemas.openxmlformats.org/officeDocument/2006/relationships" r:embed="rId8"/>
        <a:stretch>
          <a:fillRect/>
        </a:stretch>
      </xdr:blipFill>
      <xdr:spPr>
        <a:xfrm>
          <a:off x="8782050" y="14354175"/>
          <a:ext cx="6954220" cy="1914792"/>
        </a:xfrm>
        <a:prstGeom prst="rect">
          <a:avLst/>
        </a:prstGeom>
      </xdr:spPr>
    </xdr:pic>
    <xdr:clientData/>
  </xdr:twoCellAnchor>
  <xdr:twoCellAnchor>
    <xdr:from>
      <xdr:col>1</xdr:col>
      <xdr:colOff>9465</xdr:colOff>
      <xdr:row>344</xdr:row>
      <xdr:rowOff>66841</xdr:rowOff>
    </xdr:from>
    <xdr:to>
      <xdr:col>7</xdr:col>
      <xdr:colOff>6054</xdr:colOff>
      <xdr:row>368</xdr:row>
      <xdr:rowOff>138406</xdr:rowOff>
    </xdr:to>
    <xdr:grpSp>
      <xdr:nvGrpSpPr>
        <xdr:cNvPr id="25" name="Group 24"/>
        <xdr:cNvGrpSpPr/>
      </xdr:nvGrpSpPr>
      <xdr:grpSpPr>
        <a:xfrm>
          <a:off x="809565" y="62233341"/>
          <a:ext cx="5051189" cy="4795965"/>
          <a:chOff x="723998" y="64888448"/>
          <a:chExt cx="4817067" cy="4842348"/>
        </a:xfrm>
      </xdr:grpSpPr>
      <xdr:grpSp>
        <xdr:nvGrpSpPr>
          <xdr:cNvPr id="10" name="Group 9"/>
          <xdr:cNvGrpSpPr/>
        </xdr:nvGrpSpPr>
        <xdr:grpSpPr>
          <a:xfrm>
            <a:off x="723998" y="64888448"/>
            <a:ext cx="4817067" cy="4842348"/>
            <a:chOff x="723998" y="60415839"/>
            <a:chExt cx="4817067" cy="4842348"/>
          </a:xfrm>
        </xdr:grpSpPr>
        <xdr:grpSp>
          <xdr:nvGrpSpPr>
            <xdr:cNvPr id="8" name="Group 7"/>
            <xdr:cNvGrpSpPr/>
          </xdr:nvGrpSpPr>
          <xdr:grpSpPr>
            <a:xfrm>
              <a:off x="723998" y="60415839"/>
              <a:ext cx="4817067" cy="4842348"/>
              <a:chOff x="723998" y="60415839"/>
              <a:chExt cx="4817067" cy="4842348"/>
            </a:xfrm>
          </xdr:grpSpPr>
          <xdr:pic>
            <xdr:nvPicPr>
              <xdr:cNvPr id="5" name="Picture 4"/>
              <xdr:cNvPicPr>
                <a:picLocks noChangeAspect="1"/>
              </xdr:cNvPicPr>
            </xdr:nvPicPr>
            <xdr:blipFill>
              <a:blip xmlns:r="http://schemas.openxmlformats.org/officeDocument/2006/relationships" r:embed="rId9"/>
              <a:stretch>
                <a:fillRect/>
              </a:stretch>
            </xdr:blipFill>
            <xdr:spPr>
              <a:xfrm>
                <a:off x="723998" y="60415839"/>
                <a:ext cx="4817067" cy="4842348"/>
              </a:xfrm>
              <a:prstGeom prst="rect">
                <a:avLst/>
              </a:prstGeom>
              <a:ln>
                <a:solidFill>
                  <a:schemeClr val="tx1"/>
                </a:solidFill>
              </a:ln>
            </xdr:spPr>
          </xdr:pic>
          <xdr:sp macro="" textlink="">
            <xdr:nvSpPr>
              <xdr:cNvPr id="7" name="Rectangle 6"/>
              <xdr:cNvSpPr/>
            </xdr:nvSpPr>
            <xdr:spPr>
              <a:xfrm>
                <a:off x="2062370" y="62558543"/>
                <a:ext cx="2070652" cy="795131"/>
              </a:xfrm>
              <a:prstGeom prst="rect">
                <a:avLst/>
              </a:prstGeom>
              <a:noFill/>
              <a:ln w="38100">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sp macro="" textlink="">
          <xdr:nvSpPr>
            <xdr:cNvPr id="9" name="TextBox 12"/>
            <xdr:cNvSpPr txBox="1"/>
          </xdr:nvSpPr>
          <xdr:spPr>
            <a:xfrm>
              <a:off x="2271253" y="62303170"/>
              <a:ext cx="1638138"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C00000"/>
                  </a:solidFill>
                  <a:latin typeface="Times New Roman" panose="02020603050405020304" pitchFamily="18" charset="0"/>
                  <a:cs typeface="Times New Roman" panose="02020603050405020304" pitchFamily="18" charset="0"/>
                </a:rPr>
                <a:t>Sale Building No.7</a:t>
              </a:r>
            </a:p>
          </xdr:txBody>
        </xdr:sp>
        <xdr:sp macro="" textlink="">
          <xdr:nvSpPr>
            <xdr:cNvPr id="26" name="TextBox 12"/>
            <xdr:cNvSpPr txBox="1"/>
          </xdr:nvSpPr>
          <xdr:spPr>
            <a:xfrm>
              <a:off x="3174058" y="60696345"/>
              <a:ext cx="1737529"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a:solidFill>
                    <a:srgbClr val="FF0000"/>
                  </a:solidFill>
                  <a:latin typeface="Times New Roman" panose="02020603050405020304" pitchFamily="18" charset="0"/>
                  <a:cs typeface="Times New Roman" panose="02020603050405020304" pitchFamily="18" charset="0"/>
                </a:rPr>
                <a:t>T9 &amp; T10</a:t>
              </a:r>
              <a:endParaRPr lang="en-IN" sz="1600" b="0" i="0" kern="1200">
                <a:solidFill>
                  <a:srgbClr val="FF0000"/>
                </a:solidFill>
                <a:effectLst/>
                <a:latin typeface="+mn-lt"/>
                <a:ea typeface="+mn-ea"/>
                <a:cs typeface="+mn-cs"/>
              </a:endParaRPr>
            </a:p>
          </xdr:txBody>
        </xdr:sp>
        <xdr:sp macro="" textlink="">
          <xdr:nvSpPr>
            <xdr:cNvPr id="51" name="TextBox 12"/>
            <xdr:cNvSpPr txBox="1"/>
          </xdr:nvSpPr>
          <xdr:spPr>
            <a:xfrm>
              <a:off x="3462938" y="61531126"/>
              <a:ext cx="1737529"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a:solidFill>
                    <a:srgbClr val="FF0000"/>
                  </a:solidFill>
                  <a:latin typeface="Times New Roman" panose="02020603050405020304" pitchFamily="18" charset="0"/>
                  <a:cs typeface="Times New Roman" panose="02020603050405020304" pitchFamily="18" charset="0"/>
                </a:rPr>
                <a:t>T2 &amp; T3</a:t>
              </a:r>
              <a:endParaRPr lang="en-IN" sz="1600" b="0" i="0" kern="1200">
                <a:solidFill>
                  <a:srgbClr val="FF0000"/>
                </a:solidFill>
                <a:effectLst/>
                <a:latin typeface="+mn-lt"/>
                <a:ea typeface="+mn-ea"/>
                <a:cs typeface="+mn-cs"/>
              </a:endParaRPr>
            </a:p>
          </xdr:txBody>
        </xdr:sp>
        <xdr:sp macro="" textlink="">
          <xdr:nvSpPr>
            <xdr:cNvPr id="52" name="TextBox 12"/>
            <xdr:cNvSpPr txBox="1"/>
          </xdr:nvSpPr>
          <xdr:spPr>
            <a:xfrm>
              <a:off x="3673034" y="62339405"/>
              <a:ext cx="1737529"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i="0" kern="1200">
                  <a:solidFill>
                    <a:srgbClr val="FF0000"/>
                  </a:solidFill>
                  <a:effectLst/>
                  <a:latin typeface="Times New Roman" panose="02020603050405020304" pitchFamily="18" charset="0"/>
                  <a:ea typeface="+mn-ea"/>
                  <a:cs typeface="Times New Roman" panose="02020603050405020304" pitchFamily="18" charset="0"/>
                </a:rPr>
                <a:t>T1</a:t>
              </a:r>
              <a:endParaRPr lang="en-IN" sz="1600" b="0" i="0" kern="1200">
                <a:solidFill>
                  <a:srgbClr val="FF0000"/>
                </a:solidFill>
                <a:effectLst/>
                <a:latin typeface="+mn-lt"/>
                <a:ea typeface="+mn-ea"/>
                <a:cs typeface="+mn-cs"/>
              </a:endParaRPr>
            </a:p>
          </xdr:txBody>
        </xdr:sp>
        <xdr:sp macro="" textlink="">
          <xdr:nvSpPr>
            <xdr:cNvPr id="53" name="TextBox 12"/>
            <xdr:cNvSpPr txBox="1"/>
          </xdr:nvSpPr>
          <xdr:spPr>
            <a:xfrm>
              <a:off x="3541724" y="61491374"/>
              <a:ext cx="353407"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i="0" kern="1200">
                  <a:solidFill>
                    <a:srgbClr val="FF0000"/>
                  </a:solidFill>
                  <a:effectLst/>
                  <a:latin typeface="Times New Roman" panose="02020603050405020304" pitchFamily="18" charset="0"/>
                  <a:ea typeface="+mn-ea"/>
                  <a:cs typeface="Times New Roman" panose="02020603050405020304" pitchFamily="18" charset="0"/>
                </a:rPr>
                <a:t>T4</a:t>
              </a:r>
              <a:endParaRPr lang="en-IN" sz="1600" b="0" i="0" kern="1200">
                <a:solidFill>
                  <a:srgbClr val="FF0000"/>
                </a:solidFill>
                <a:effectLst/>
                <a:latin typeface="+mn-lt"/>
                <a:ea typeface="+mn-ea"/>
                <a:cs typeface="+mn-cs"/>
              </a:endParaRPr>
            </a:p>
          </xdr:txBody>
        </xdr:sp>
        <xdr:sp macro="" textlink="">
          <xdr:nvSpPr>
            <xdr:cNvPr id="54" name="TextBox 12"/>
            <xdr:cNvSpPr txBox="1"/>
          </xdr:nvSpPr>
          <xdr:spPr>
            <a:xfrm>
              <a:off x="3023053" y="61511250"/>
              <a:ext cx="353407"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i="0" kern="1200">
                  <a:solidFill>
                    <a:srgbClr val="FF0000"/>
                  </a:solidFill>
                  <a:effectLst/>
                  <a:latin typeface="Times New Roman" panose="02020603050405020304" pitchFamily="18" charset="0"/>
                  <a:ea typeface="+mn-ea"/>
                  <a:cs typeface="Times New Roman" panose="02020603050405020304" pitchFamily="18" charset="0"/>
                </a:rPr>
                <a:t>T5</a:t>
              </a:r>
              <a:endParaRPr lang="en-IN" sz="1600" b="0" i="0" kern="1200">
                <a:solidFill>
                  <a:srgbClr val="FF0000"/>
                </a:solidFill>
                <a:effectLst/>
                <a:latin typeface="+mn-lt"/>
                <a:ea typeface="+mn-ea"/>
                <a:cs typeface="+mn-cs"/>
              </a:endParaRPr>
            </a:p>
          </xdr:txBody>
        </xdr:sp>
        <xdr:sp macro="" textlink="">
          <xdr:nvSpPr>
            <xdr:cNvPr id="61" name="TextBox 12"/>
            <xdr:cNvSpPr txBox="1"/>
          </xdr:nvSpPr>
          <xdr:spPr>
            <a:xfrm>
              <a:off x="1420199" y="62154540"/>
              <a:ext cx="353407"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i="0" kern="1200">
                  <a:solidFill>
                    <a:srgbClr val="FF0000"/>
                  </a:solidFill>
                  <a:effectLst/>
                  <a:latin typeface="Times New Roman" panose="02020603050405020304" pitchFamily="18" charset="0"/>
                  <a:ea typeface="+mn-ea"/>
                  <a:cs typeface="Times New Roman" panose="02020603050405020304" pitchFamily="18" charset="0"/>
                </a:rPr>
                <a:t>T6</a:t>
              </a:r>
              <a:endParaRPr lang="en-IN" sz="1600" b="0" i="0" kern="1200">
                <a:solidFill>
                  <a:srgbClr val="FF0000"/>
                </a:solidFill>
                <a:effectLst/>
                <a:latin typeface="+mn-lt"/>
                <a:ea typeface="+mn-ea"/>
                <a:cs typeface="+mn-cs"/>
              </a:endParaRPr>
            </a:p>
          </xdr:txBody>
        </xdr:sp>
        <xdr:sp macro="" textlink="">
          <xdr:nvSpPr>
            <xdr:cNvPr id="64" name="TextBox 12"/>
            <xdr:cNvSpPr txBox="1"/>
          </xdr:nvSpPr>
          <xdr:spPr>
            <a:xfrm>
              <a:off x="1271234" y="62944032"/>
              <a:ext cx="828886" cy="299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en-IN" sz="1200" b="0" i="0" kern="1200">
                  <a:solidFill>
                    <a:srgbClr val="FF0000"/>
                  </a:solidFill>
                  <a:effectLst/>
                  <a:latin typeface="Times New Roman" panose="02020603050405020304" pitchFamily="18" charset="0"/>
                  <a:ea typeface="+mn-ea"/>
                  <a:cs typeface="Times New Roman" panose="02020603050405020304" pitchFamily="18" charset="0"/>
                </a:rPr>
                <a:t>T7</a:t>
              </a:r>
              <a:r>
                <a:rPr lang="en-IN" sz="1200" b="0" i="0" kern="1200" baseline="0">
                  <a:solidFill>
                    <a:srgbClr val="FF0000"/>
                  </a:solidFill>
                  <a:effectLst/>
                  <a:latin typeface="Times New Roman" panose="02020603050405020304" pitchFamily="18" charset="0"/>
                  <a:ea typeface="+mn-ea"/>
                  <a:cs typeface="Times New Roman" panose="02020603050405020304" pitchFamily="18" charset="0"/>
                </a:rPr>
                <a:t> &amp; T8</a:t>
              </a:r>
              <a:endParaRPr lang="en-IN" sz="1600" b="0" i="0" kern="1200">
                <a:solidFill>
                  <a:srgbClr val="FF0000"/>
                </a:solidFill>
                <a:effectLst/>
                <a:latin typeface="+mn-lt"/>
                <a:ea typeface="+mn-ea"/>
                <a:cs typeface="+mn-cs"/>
              </a:endParaRPr>
            </a:p>
          </xdr:txBody>
        </xdr:sp>
      </xdr:grpSp>
      <xdr:sp macro="" textlink="">
        <xdr:nvSpPr>
          <xdr:cNvPr id="18" name="Rectangle 17"/>
          <xdr:cNvSpPr/>
        </xdr:nvSpPr>
        <xdr:spPr>
          <a:xfrm>
            <a:off x="3453848" y="64985346"/>
            <a:ext cx="1250674" cy="65432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4" name="L-Shape 23"/>
          <xdr:cNvSpPr/>
        </xdr:nvSpPr>
        <xdr:spPr>
          <a:xfrm rot="10800000">
            <a:off x="3997928" y="65797040"/>
            <a:ext cx="749660" cy="808865"/>
          </a:xfrm>
          <a:prstGeom prst="corner">
            <a:avLst>
              <a:gd name="adj1" fmla="val 67826"/>
              <a:gd name="adj2" fmla="val 61354"/>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8" name="Rectangle 47"/>
          <xdr:cNvSpPr/>
        </xdr:nvSpPr>
        <xdr:spPr>
          <a:xfrm>
            <a:off x="4307358" y="66639030"/>
            <a:ext cx="454414" cy="54058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9" name="Rectangle 48"/>
          <xdr:cNvSpPr/>
        </xdr:nvSpPr>
        <xdr:spPr>
          <a:xfrm>
            <a:off x="3506372" y="65797625"/>
            <a:ext cx="454414" cy="4968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0" name="Rectangle 49"/>
          <xdr:cNvSpPr/>
        </xdr:nvSpPr>
        <xdr:spPr>
          <a:xfrm>
            <a:off x="2869522" y="65804250"/>
            <a:ext cx="598855" cy="49689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0" name="Rectangle 59"/>
          <xdr:cNvSpPr/>
        </xdr:nvSpPr>
        <xdr:spPr>
          <a:xfrm>
            <a:off x="1337117" y="66446176"/>
            <a:ext cx="598855" cy="6132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63" name="L-Shape 62"/>
          <xdr:cNvSpPr/>
        </xdr:nvSpPr>
        <xdr:spPr>
          <a:xfrm>
            <a:off x="1340407" y="67071925"/>
            <a:ext cx="712045" cy="736089"/>
          </a:xfrm>
          <a:prstGeom prst="corner">
            <a:avLst>
              <a:gd name="adj1" fmla="val 67826"/>
              <a:gd name="adj2" fmla="val 69722"/>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1</xdr:col>
      <xdr:colOff>117021</xdr:colOff>
      <xdr:row>371</xdr:row>
      <xdr:rowOff>183559</xdr:rowOff>
    </xdr:from>
    <xdr:to>
      <xdr:col>6</xdr:col>
      <xdr:colOff>352425</xdr:colOff>
      <xdr:row>388</xdr:row>
      <xdr:rowOff>110774</xdr:rowOff>
    </xdr:to>
    <xdr:pic>
      <xdr:nvPicPr>
        <xdr:cNvPr id="45" name="Picture 44"/>
        <xdr:cNvPicPr>
          <a:picLocks noChangeAspect="1"/>
        </xdr:cNvPicPr>
      </xdr:nvPicPr>
      <xdr:blipFill>
        <a:blip xmlns:r="http://schemas.openxmlformats.org/officeDocument/2006/relationships" r:embed="rId10"/>
        <a:stretch>
          <a:fillRect/>
        </a:stretch>
      </xdr:blipFill>
      <xdr:spPr>
        <a:xfrm>
          <a:off x="879021" y="70963834"/>
          <a:ext cx="4321629" cy="3327641"/>
        </a:xfrm>
        <a:prstGeom prst="rect">
          <a:avLst/>
        </a:prstGeom>
        <a:ln>
          <a:solidFill>
            <a:sysClr val="windowText" lastClr="000000"/>
          </a:solidFill>
        </a:ln>
      </xdr:spPr>
    </xdr:pic>
    <xdr:clientData/>
  </xdr:twoCellAnchor>
  <xdr:twoCellAnchor>
    <xdr:from>
      <xdr:col>0</xdr:col>
      <xdr:colOff>256348</xdr:colOff>
      <xdr:row>388</xdr:row>
      <xdr:rowOff>198771</xdr:rowOff>
    </xdr:from>
    <xdr:to>
      <xdr:col>7</xdr:col>
      <xdr:colOff>190501</xdr:colOff>
      <xdr:row>410</xdr:row>
      <xdr:rowOff>169218</xdr:rowOff>
    </xdr:to>
    <xdr:grpSp>
      <xdr:nvGrpSpPr>
        <xdr:cNvPr id="59" name="Group 58"/>
        <xdr:cNvGrpSpPr/>
      </xdr:nvGrpSpPr>
      <xdr:grpSpPr>
        <a:xfrm>
          <a:off x="256348" y="71026671"/>
          <a:ext cx="5788853" cy="4301147"/>
          <a:chOff x="314326" y="73709790"/>
          <a:chExt cx="5517268" cy="4323596"/>
        </a:xfrm>
      </xdr:grpSpPr>
      <xdr:grpSp>
        <xdr:nvGrpSpPr>
          <xdr:cNvPr id="47" name="Group 46"/>
          <xdr:cNvGrpSpPr/>
        </xdr:nvGrpSpPr>
        <xdr:grpSpPr>
          <a:xfrm>
            <a:off x="314326" y="73709790"/>
            <a:ext cx="5517268" cy="4323596"/>
            <a:chOff x="504826" y="74076090"/>
            <a:chExt cx="5012857" cy="4214070"/>
          </a:xfrm>
        </xdr:grpSpPr>
        <xdr:pic>
          <xdr:nvPicPr>
            <xdr:cNvPr id="46" name="Picture 45"/>
            <xdr:cNvPicPr>
              <a:picLocks noChangeAspect="1"/>
            </xdr:cNvPicPr>
          </xdr:nvPicPr>
          <xdr:blipFill>
            <a:blip xmlns:r="http://schemas.openxmlformats.org/officeDocument/2006/relationships" r:embed="rId11"/>
            <a:stretch>
              <a:fillRect/>
            </a:stretch>
          </xdr:blipFill>
          <xdr:spPr>
            <a:xfrm>
              <a:off x="650373" y="74076090"/>
              <a:ext cx="4867310" cy="4214070"/>
            </a:xfrm>
            <a:prstGeom prst="rect">
              <a:avLst/>
            </a:prstGeom>
            <a:ln>
              <a:solidFill>
                <a:sysClr val="windowText" lastClr="000000"/>
              </a:solidFill>
            </a:ln>
          </xdr:spPr>
        </xdr:pic>
        <xdr:grpSp>
          <xdr:nvGrpSpPr>
            <xdr:cNvPr id="15" name="Group 14"/>
            <xdr:cNvGrpSpPr/>
          </xdr:nvGrpSpPr>
          <xdr:grpSpPr>
            <a:xfrm>
              <a:off x="504826" y="74931701"/>
              <a:ext cx="3866477" cy="3350626"/>
              <a:chOff x="304800" y="73554073"/>
              <a:chExt cx="4775020" cy="3418913"/>
            </a:xfrm>
          </xdr:grpSpPr>
          <xdr:grpSp>
            <xdr:nvGrpSpPr>
              <xdr:cNvPr id="14" name="Group 13"/>
              <xdr:cNvGrpSpPr/>
            </xdr:nvGrpSpPr>
            <xdr:grpSpPr>
              <a:xfrm>
                <a:off x="304800" y="73767601"/>
                <a:ext cx="4383739" cy="3205385"/>
                <a:chOff x="304800" y="71585694"/>
                <a:chExt cx="4387872" cy="3084959"/>
              </a:xfrm>
            </xdr:grpSpPr>
            <xdr:sp macro="" textlink="">
              <xdr:nvSpPr>
                <xdr:cNvPr id="13" name="Rectangle 12"/>
                <xdr:cNvSpPr/>
              </xdr:nvSpPr>
              <xdr:spPr>
                <a:xfrm rot="1420894">
                  <a:off x="2801640" y="72632827"/>
                  <a:ext cx="986625" cy="504184"/>
                </a:xfrm>
                <a:prstGeom prst="rect">
                  <a:avLst/>
                </a:pr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4" name="Freeform 3"/>
                <xdr:cNvSpPr/>
              </xdr:nvSpPr>
              <xdr:spPr>
                <a:xfrm>
                  <a:off x="447676" y="72885300"/>
                  <a:ext cx="3177398" cy="1776252"/>
                </a:xfrm>
                <a:custGeom>
                  <a:avLst/>
                  <a:gdLst>
                    <a:gd name="connsiteX0" fmla="*/ 0 w 2867025"/>
                    <a:gd name="connsiteY0" fmla="*/ 0 h 1600200"/>
                    <a:gd name="connsiteX1" fmla="*/ 2257425 w 2867025"/>
                    <a:gd name="connsiteY1" fmla="*/ 1104900 h 1600200"/>
                    <a:gd name="connsiteX2" fmla="*/ 2867025 w 2867025"/>
                    <a:gd name="connsiteY2" fmla="*/ 1600200 h 1600200"/>
                    <a:gd name="connsiteX0" fmla="*/ 0 w 2697177"/>
                    <a:gd name="connsiteY0" fmla="*/ 0 h 1493629"/>
                    <a:gd name="connsiteX1" fmla="*/ 2257425 w 2697177"/>
                    <a:gd name="connsiteY1" fmla="*/ 1104900 h 1493629"/>
                    <a:gd name="connsiteX2" fmla="*/ 2697177 w 2697177"/>
                    <a:gd name="connsiteY2" fmla="*/ 1493629 h 1493629"/>
                    <a:gd name="connsiteX0" fmla="*/ 0 w 2697177"/>
                    <a:gd name="connsiteY0" fmla="*/ 0 h 1493629"/>
                    <a:gd name="connsiteX1" fmla="*/ 2214964 w 2697177"/>
                    <a:gd name="connsiteY1" fmla="*/ 1122662 h 1493629"/>
                    <a:gd name="connsiteX2" fmla="*/ 2697177 w 2697177"/>
                    <a:gd name="connsiteY2" fmla="*/ 1493629 h 1493629"/>
                    <a:gd name="connsiteX0" fmla="*/ 0 w 2697177"/>
                    <a:gd name="connsiteY0" fmla="*/ 0 h 1493629"/>
                    <a:gd name="connsiteX1" fmla="*/ 2214964 w 2697177"/>
                    <a:gd name="connsiteY1" fmla="*/ 1122662 h 1493629"/>
                    <a:gd name="connsiteX2" fmla="*/ 2697177 w 2697177"/>
                    <a:gd name="connsiteY2" fmla="*/ 1493629 h 1493629"/>
                    <a:gd name="connsiteX0" fmla="*/ 0 w 2697177"/>
                    <a:gd name="connsiteY0" fmla="*/ 0 h 1493629"/>
                    <a:gd name="connsiteX1" fmla="*/ 2214964 w 2697177"/>
                    <a:gd name="connsiteY1" fmla="*/ 1122662 h 1493629"/>
                    <a:gd name="connsiteX2" fmla="*/ 2697177 w 2697177"/>
                    <a:gd name="connsiteY2" fmla="*/ 1493629 h 1493629"/>
                    <a:gd name="connsiteX0" fmla="*/ 0 w 2732562"/>
                    <a:gd name="connsiteY0" fmla="*/ 0 h 1499550"/>
                    <a:gd name="connsiteX1" fmla="*/ 2214964 w 2732562"/>
                    <a:gd name="connsiteY1" fmla="*/ 1122662 h 1499550"/>
                    <a:gd name="connsiteX2" fmla="*/ 2732562 w 2732562"/>
                    <a:gd name="connsiteY2" fmla="*/ 1499550 h 1499550"/>
                  </a:gdLst>
                  <a:ahLst/>
                  <a:cxnLst>
                    <a:cxn ang="0">
                      <a:pos x="connsiteX0" y="connsiteY0"/>
                    </a:cxn>
                    <a:cxn ang="0">
                      <a:pos x="connsiteX1" y="connsiteY1"/>
                    </a:cxn>
                    <a:cxn ang="0">
                      <a:pos x="connsiteX2" y="connsiteY2"/>
                    </a:cxn>
                  </a:cxnLst>
                  <a:rect l="l" t="t" r="r" b="b"/>
                  <a:pathLst>
                    <a:path w="2732562" h="1499550">
                      <a:moveTo>
                        <a:pt x="0" y="0"/>
                      </a:moveTo>
                      <a:lnTo>
                        <a:pt x="2214964" y="1122662"/>
                      </a:lnTo>
                      <a:cubicBezTo>
                        <a:pt x="2510166" y="1311444"/>
                        <a:pt x="2529362" y="1334450"/>
                        <a:pt x="2732562" y="1499550"/>
                      </a:cubicBez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28" name="Freeform 27"/>
                <xdr:cNvSpPr/>
              </xdr:nvSpPr>
              <xdr:spPr>
                <a:xfrm>
                  <a:off x="304800" y="72999598"/>
                  <a:ext cx="3062190" cy="1671055"/>
                </a:xfrm>
                <a:custGeom>
                  <a:avLst/>
                  <a:gdLst>
                    <a:gd name="connsiteX0" fmla="*/ 0 w 2867025"/>
                    <a:gd name="connsiteY0" fmla="*/ 0 h 1600200"/>
                    <a:gd name="connsiteX1" fmla="*/ 2257425 w 2867025"/>
                    <a:gd name="connsiteY1" fmla="*/ 1104900 h 1600200"/>
                    <a:gd name="connsiteX2" fmla="*/ 2867025 w 2867025"/>
                    <a:gd name="connsiteY2" fmla="*/ 1600200 h 1600200"/>
                    <a:gd name="connsiteX0" fmla="*/ 0 w 2569791"/>
                    <a:gd name="connsiteY0" fmla="*/ 0 h 1363376"/>
                    <a:gd name="connsiteX1" fmla="*/ 2257425 w 2569791"/>
                    <a:gd name="connsiteY1" fmla="*/ 1104900 h 1363376"/>
                    <a:gd name="connsiteX2" fmla="*/ 2569791 w 2569791"/>
                    <a:gd name="connsiteY2" fmla="*/ 1363376 h 1363376"/>
                    <a:gd name="connsiteX0" fmla="*/ 0 w 2633484"/>
                    <a:gd name="connsiteY0" fmla="*/ 0 h 1410740"/>
                    <a:gd name="connsiteX1" fmla="*/ 2257425 w 2633484"/>
                    <a:gd name="connsiteY1" fmla="*/ 1104900 h 1410740"/>
                    <a:gd name="connsiteX2" fmla="*/ 2633484 w 2633484"/>
                    <a:gd name="connsiteY2" fmla="*/ 1410740 h 1410740"/>
                    <a:gd name="connsiteX0" fmla="*/ 0 w 2633484"/>
                    <a:gd name="connsiteY0" fmla="*/ 0 h 1410740"/>
                    <a:gd name="connsiteX1" fmla="*/ 2229117 w 2633484"/>
                    <a:gd name="connsiteY1" fmla="*/ 1158185 h 1410740"/>
                    <a:gd name="connsiteX2" fmla="*/ 2633484 w 2633484"/>
                    <a:gd name="connsiteY2" fmla="*/ 1410740 h 1410740"/>
                    <a:gd name="connsiteX0" fmla="*/ 0 w 2633484"/>
                    <a:gd name="connsiteY0" fmla="*/ 0 h 1410740"/>
                    <a:gd name="connsiteX1" fmla="*/ 2243271 w 2633484"/>
                    <a:gd name="connsiteY1" fmla="*/ 1134503 h 1410740"/>
                    <a:gd name="connsiteX2" fmla="*/ 2633484 w 2633484"/>
                    <a:gd name="connsiteY2" fmla="*/ 1410740 h 1410740"/>
                  </a:gdLst>
                  <a:ahLst/>
                  <a:cxnLst>
                    <a:cxn ang="0">
                      <a:pos x="connsiteX0" y="connsiteY0"/>
                    </a:cxn>
                    <a:cxn ang="0">
                      <a:pos x="connsiteX1" y="connsiteY1"/>
                    </a:cxn>
                    <a:cxn ang="0">
                      <a:pos x="connsiteX2" y="connsiteY2"/>
                    </a:cxn>
                  </a:cxnLst>
                  <a:rect l="l" t="t" r="r" b="b"/>
                  <a:pathLst>
                    <a:path w="2633484" h="1410740">
                      <a:moveTo>
                        <a:pt x="0" y="0"/>
                      </a:moveTo>
                      <a:lnTo>
                        <a:pt x="2243271" y="1134503"/>
                      </a:lnTo>
                      <a:lnTo>
                        <a:pt x="2633484" y="1410740"/>
                      </a:lnTo>
                    </a:path>
                  </a:pathLst>
                </a:custGeom>
                <a:noFill/>
                <a:ln w="38100">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sp macro="" textlink="">
              <xdr:nvSpPr>
                <xdr:cNvPr id="57" name="Rectangle 56"/>
                <xdr:cNvSpPr/>
              </xdr:nvSpPr>
              <xdr:spPr>
                <a:xfrm rot="1420894">
                  <a:off x="3915134" y="71585694"/>
                  <a:ext cx="777538" cy="433524"/>
                </a:xfrm>
                <a:prstGeom prst="rect">
                  <a:avLst/>
                </a:prstGeom>
                <a:noFill/>
                <a:ln w="19050">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solidFill>
                      <a:srgbClr val="00FFFF"/>
                    </a:solidFill>
                  </a:endParaRPr>
                </a:p>
              </xdr:txBody>
            </xdr:sp>
          </xdr:grpSp>
          <xdr:sp macro="" textlink="">
            <xdr:nvSpPr>
              <xdr:cNvPr id="29" name="TextBox 12"/>
              <xdr:cNvSpPr txBox="1"/>
            </xdr:nvSpPr>
            <xdr:spPr>
              <a:xfrm rot="1592269">
                <a:off x="1982574" y="75068395"/>
                <a:ext cx="2116803" cy="6557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rgbClr val="FFFF00"/>
                    </a:solidFill>
                    <a:latin typeface="Times New Roman" panose="02020603050405020304" pitchFamily="18" charset="0"/>
                    <a:cs typeface="Times New Roman" panose="02020603050405020304" pitchFamily="18" charset="0"/>
                  </a:rPr>
                  <a:t>Matunga Signet</a:t>
                </a:r>
              </a:p>
            </xdr:txBody>
          </xdr:sp>
          <xdr:sp macro="" textlink="">
            <xdr:nvSpPr>
              <xdr:cNvPr id="31" name="TextBox 12"/>
              <xdr:cNvSpPr txBox="1"/>
            </xdr:nvSpPr>
            <xdr:spPr>
              <a:xfrm rot="2181096">
                <a:off x="1434857" y="76232170"/>
                <a:ext cx="1673641" cy="3990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600" b="1">
                    <a:solidFill>
                      <a:schemeClr val="bg1"/>
                    </a:solidFill>
                    <a:latin typeface="Times New Roman" panose="02020603050405020304" pitchFamily="18" charset="0"/>
                    <a:cs typeface="Times New Roman" panose="02020603050405020304" pitchFamily="18" charset="0"/>
                  </a:rPr>
                  <a:t>Railway Track</a:t>
                </a:r>
              </a:p>
            </xdr:txBody>
          </xdr:sp>
          <xdr:sp macro="" textlink="">
            <xdr:nvSpPr>
              <xdr:cNvPr id="56" name="TextBox 12"/>
              <xdr:cNvSpPr txBox="1"/>
            </xdr:nvSpPr>
            <xdr:spPr>
              <a:xfrm rot="6770436">
                <a:off x="3858887" y="74425820"/>
                <a:ext cx="1487551" cy="8156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00FFFF"/>
                    </a:solidFill>
                    <a:latin typeface="Times New Roman" panose="02020603050405020304" pitchFamily="18" charset="0"/>
                    <a:cs typeface="Times New Roman" panose="02020603050405020304" pitchFamily="18" charset="0"/>
                  </a:rPr>
                  <a:t>Lodha Divino</a:t>
                </a:r>
              </a:p>
            </xdr:txBody>
          </xdr:sp>
          <xdr:sp macro="" textlink="">
            <xdr:nvSpPr>
              <xdr:cNvPr id="58" name="TextBox 12"/>
              <xdr:cNvSpPr txBox="1"/>
            </xdr:nvSpPr>
            <xdr:spPr>
              <a:xfrm rot="1567586">
                <a:off x="3871532" y="73554073"/>
                <a:ext cx="1208288" cy="279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IN" sz="1400" b="1">
                    <a:solidFill>
                      <a:srgbClr val="00FFFF"/>
                    </a:solidFill>
                    <a:latin typeface="Times New Roman" panose="02020603050405020304" pitchFamily="18" charset="0"/>
                    <a:cs typeface="Times New Roman" panose="02020603050405020304" pitchFamily="18" charset="0"/>
                  </a:rPr>
                  <a:t>Lodha Vero</a:t>
                </a:r>
              </a:p>
            </xdr:txBody>
          </xdr:sp>
        </xdr:grpSp>
      </xdr:grpSp>
      <xdr:sp macro="" textlink="">
        <xdr:nvSpPr>
          <xdr:cNvPr id="55" name="L-Shape 54"/>
          <xdr:cNvSpPr/>
        </xdr:nvSpPr>
        <xdr:spPr>
          <a:xfrm rot="12265715">
            <a:off x="3465460" y="75308664"/>
            <a:ext cx="586197" cy="836199"/>
          </a:xfrm>
          <a:prstGeom prst="corner">
            <a:avLst>
              <a:gd name="adj1" fmla="val 67826"/>
              <a:gd name="adj2" fmla="val 61354"/>
            </a:avLst>
          </a:prstGeom>
          <a:noFill/>
          <a:ln w="19050">
            <a:solidFill>
              <a:srgbClr val="00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editAs="oneCell">
    <xdr:from>
      <xdr:col>8</xdr:col>
      <xdr:colOff>124240</xdr:colOff>
      <xdr:row>114</xdr:row>
      <xdr:rowOff>74544</xdr:rowOff>
    </xdr:from>
    <xdr:to>
      <xdr:col>12</xdr:col>
      <xdr:colOff>219584</xdr:colOff>
      <xdr:row>118</xdr:row>
      <xdr:rowOff>193942</xdr:rowOff>
    </xdr:to>
    <xdr:pic>
      <xdr:nvPicPr>
        <xdr:cNvPr id="62" name="Picture 61"/>
        <xdr:cNvPicPr>
          <a:picLocks noChangeAspect="1"/>
        </xdr:cNvPicPr>
      </xdr:nvPicPr>
      <xdr:blipFill>
        <a:blip xmlns:r="http://schemas.openxmlformats.org/officeDocument/2006/relationships" r:embed="rId12"/>
        <a:stretch>
          <a:fillRect/>
        </a:stretch>
      </xdr:blipFill>
      <xdr:spPr>
        <a:xfrm rot="5400000">
          <a:off x="7810898" y="23969473"/>
          <a:ext cx="914528" cy="3648584"/>
        </a:xfrm>
        <a:prstGeom prst="rect">
          <a:avLst/>
        </a:prstGeom>
      </xdr:spPr>
    </xdr:pic>
    <xdr:clientData/>
  </xdr:twoCellAnchor>
  <xdr:twoCellAnchor>
    <xdr:from>
      <xdr:col>0</xdr:col>
      <xdr:colOff>101600</xdr:colOff>
      <xdr:row>285</xdr:row>
      <xdr:rowOff>120650</xdr:rowOff>
    </xdr:from>
    <xdr:to>
      <xdr:col>7</xdr:col>
      <xdr:colOff>628650</xdr:colOff>
      <xdr:row>326</xdr:row>
      <xdr:rowOff>101600</xdr:rowOff>
    </xdr:to>
    <xdr:grpSp>
      <xdr:nvGrpSpPr>
        <xdr:cNvPr id="11" name="Group 10"/>
        <xdr:cNvGrpSpPr/>
      </xdr:nvGrpSpPr>
      <xdr:grpSpPr>
        <a:xfrm>
          <a:off x="101600" y="50673000"/>
          <a:ext cx="6381750" cy="8051800"/>
          <a:chOff x="101600" y="50431700"/>
          <a:chExt cx="6381750" cy="8051800"/>
        </a:xfrm>
      </xdr:grpSpPr>
      <xdr:pic>
        <xdr:nvPicPr>
          <xdr:cNvPr id="66" name="Picture 65"/>
          <xdr:cNvPicPr>
            <a:picLocks noChangeAspect="1"/>
          </xdr:cNvPicPr>
        </xdr:nvPicPr>
        <xdr:blipFill>
          <a:blip xmlns:r="http://schemas.openxmlformats.org/officeDocument/2006/relationships" r:embed="rId13"/>
          <a:stretch>
            <a:fillRect/>
          </a:stretch>
        </xdr:blipFill>
        <xdr:spPr>
          <a:xfrm>
            <a:off x="101600" y="50431700"/>
            <a:ext cx="6381750" cy="36957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2425723" y="56561928"/>
            <a:ext cx="1618313" cy="1921572"/>
          </a:xfrm>
          <a:prstGeom prst="rect">
            <a:avLst/>
          </a:prstGeom>
          <a:ln>
            <a:solidFill>
              <a:schemeClr val="tx1"/>
            </a:solidFill>
          </a:ln>
        </xdr:spPr>
      </xdr:pic>
      <xdr:pic>
        <xdr:nvPicPr>
          <xdr:cNvPr id="68" name="Picture 67"/>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2425723" y="54264664"/>
            <a:ext cx="1618313" cy="2160000"/>
          </a:xfrm>
          <a:prstGeom prst="rect">
            <a:avLst/>
          </a:prstGeom>
          <a:ln>
            <a:solidFill>
              <a:schemeClr val="tx1"/>
            </a:solidFill>
          </a:ln>
        </xdr:spPr>
      </xdr:pic>
      <xdr:pic>
        <xdr:nvPicPr>
          <xdr:cNvPr id="69" name="Picture 68"/>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676982" y="54264664"/>
            <a:ext cx="1618313" cy="2160000"/>
          </a:xfrm>
          <a:prstGeom prst="rect">
            <a:avLst/>
          </a:prstGeom>
          <a:ln>
            <a:solidFill>
              <a:schemeClr val="tx1"/>
            </a:solidFill>
          </a:ln>
        </xdr:spPr>
      </xdr:pic>
      <xdr:pic>
        <xdr:nvPicPr>
          <xdr:cNvPr id="70" name="Picture 69"/>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4174464" y="54264664"/>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YZvHrxUKeCQ11trv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Z371"/>
  <sheetViews>
    <sheetView tabSelected="1" view="pageBreakPreview" topLeftCell="A221" zoomScaleNormal="100" zoomScaleSheetLayoutView="100" zoomScalePageLayoutView="85" workbookViewId="0">
      <selection activeCell="K268" sqref="K268"/>
    </sheetView>
  </sheetViews>
  <sheetFormatPr defaultColWidth="9.1796875" defaultRowHeight="15.5" x14ac:dyDescent="0.35"/>
  <cols>
    <col min="1" max="1" width="11.453125" style="36" customWidth="1"/>
    <col min="2" max="2" width="12" style="36" customWidth="1"/>
    <col min="3" max="3" width="12.7265625" style="36" customWidth="1"/>
    <col min="4" max="4" width="13.7265625" style="36" customWidth="1"/>
    <col min="5" max="5" width="11.7265625" style="36" customWidth="1"/>
    <col min="6" max="6" width="11.1796875" style="36" customWidth="1"/>
    <col min="7" max="8" width="11" style="36" customWidth="1"/>
    <col min="9" max="9" width="17.453125" style="17" customWidth="1"/>
    <col min="10" max="10" width="11.453125" style="17" customWidth="1"/>
    <col min="11" max="11" width="10.54296875" style="17" bestFit="1" customWidth="1"/>
    <col min="12" max="12" width="13.81640625" style="17" bestFit="1" customWidth="1"/>
    <col min="13" max="13" width="11.81640625" style="17" customWidth="1"/>
    <col min="14" max="14" width="12.54296875" style="17" customWidth="1"/>
    <col min="15" max="15" width="12.1796875" style="17" customWidth="1"/>
    <col min="16" max="16" width="11.7265625" style="17" customWidth="1"/>
    <col min="17" max="18" width="9.1796875" style="17"/>
    <col min="19" max="19" width="10.81640625" style="17" bestFit="1" customWidth="1"/>
    <col min="20" max="20" width="10.7265625" style="17" customWidth="1"/>
    <col min="21" max="247" width="9.1796875" style="17"/>
    <col min="248" max="248" width="8.7265625" style="17" customWidth="1"/>
    <col min="249" max="249" width="9.81640625" style="17" customWidth="1"/>
    <col min="250" max="250" width="14.453125" style="17" customWidth="1"/>
    <col min="251" max="251" width="7.26953125" style="17" customWidth="1"/>
    <col min="252" max="252" width="5.54296875" style="17" customWidth="1"/>
    <col min="253" max="253" width="9" style="17" customWidth="1"/>
    <col min="254" max="255" width="9.81640625" style="17" customWidth="1"/>
    <col min="256" max="256" width="11.1796875" style="17" customWidth="1"/>
    <col min="257" max="257" width="2.81640625" style="17" customWidth="1"/>
    <col min="258" max="258" width="3.54296875" style="17" customWidth="1"/>
    <col min="259" max="503" width="9.1796875" style="17"/>
    <col min="504" max="504" width="8.7265625" style="17" customWidth="1"/>
    <col min="505" max="505" width="9.81640625" style="17" customWidth="1"/>
    <col min="506" max="506" width="14.453125" style="17" customWidth="1"/>
    <col min="507" max="507" width="7.26953125" style="17" customWidth="1"/>
    <col min="508" max="508" width="5.54296875" style="17" customWidth="1"/>
    <col min="509" max="509" width="9" style="17" customWidth="1"/>
    <col min="510" max="511" width="9.81640625" style="17" customWidth="1"/>
    <col min="512" max="512" width="11.1796875" style="17" customWidth="1"/>
    <col min="513" max="513" width="2.81640625" style="17" customWidth="1"/>
    <col min="514" max="514" width="3.54296875" style="17" customWidth="1"/>
    <col min="515" max="759" width="9.1796875" style="17"/>
    <col min="760" max="760" width="8.7265625" style="17" customWidth="1"/>
    <col min="761" max="761" width="9.81640625" style="17" customWidth="1"/>
    <col min="762" max="762" width="14.453125" style="17" customWidth="1"/>
    <col min="763" max="763" width="7.26953125" style="17" customWidth="1"/>
    <col min="764" max="764" width="5.54296875" style="17" customWidth="1"/>
    <col min="765" max="765" width="9" style="17" customWidth="1"/>
    <col min="766" max="767" width="9.81640625" style="17" customWidth="1"/>
    <col min="768" max="768" width="11.1796875" style="17" customWidth="1"/>
    <col min="769" max="769" width="2.81640625" style="17" customWidth="1"/>
    <col min="770" max="770" width="3.54296875" style="17" customWidth="1"/>
    <col min="771" max="1015" width="9.1796875" style="17"/>
    <col min="1016" max="1016" width="8.7265625" style="17" customWidth="1"/>
    <col min="1017" max="1017" width="9.81640625" style="17" customWidth="1"/>
    <col min="1018" max="1018" width="14.453125" style="17" customWidth="1"/>
    <col min="1019" max="1019" width="7.26953125" style="17" customWidth="1"/>
    <col min="1020" max="1020" width="5.54296875" style="17" customWidth="1"/>
    <col min="1021" max="1021" width="9" style="17" customWidth="1"/>
    <col min="1022" max="1023" width="9.81640625" style="17" customWidth="1"/>
    <col min="1024" max="1024" width="11.1796875" style="17" customWidth="1"/>
    <col min="1025" max="1025" width="2.81640625" style="17" customWidth="1"/>
    <col min="1026" max="1026" width="3.54296875" style="17" customWidth="1"/>
    <col min="1027" max="1271" width="9.1796875" style="17"/>
    <col min="1272" max="1272" width="8.7265625" style="17" customWidth="1"/>
    <col min="1273" max="1273" width="9.81640625" style="17" customWidth="1"/>
    <col min="1274" max="1274" width="14.453125" style="17" customWidth="1"/>
    <col min="1275" max="1275" width="7.26953125" style="17" customWidth="1"/>
    <col min="1276" max="1276" width="5.54296875" style="17" customWidth="1"/>
    <col min="1277" max="1277" width="9" style="17" customWidth="1"/>
    <col min="1278" max="1279" width="9.81640625" style="17" customWidth="1"/>
    <col min="1280" max="1280" width="11.1796875" style="17" customWidth="1"/>
    <col min="1281" max="1281" width="2.81640625" style="17" customWidth="1"/>
    <col min="1282" max="1282" width="3.54296875" style="17" customWidth="1"/>
    <col min="1283" max="1527" width="9.1796875" style="17"/>
    <col min="1528" max="1528" width="8.7265625" style="17" customWidth="1"/>
    <col min="1529" max="1529" width="9.81640625" style="17" customWidth="1"/>
    <col min="1530" max="1530" width="14.453125" style="17" customWidth="1"/>
    <col min="1531" max="1531" width="7.26953125" style="17" customWidth="1"/>
    <col min="1532" max="1532" width="5.54296875" style="17" customWidth="1"/>
    <col min="1533" max="1533" width="9" style="17" customWidth="1"/>
    <col min="1534" max="1535" width="9.81640625" style="17" customWidth="1"/>
    <col min="1536" max="1536" width="11.1796875" style="17" customWidth="1"/>
    <col min="1537" max="1537" width="2.81640625" style="17" customWidth="1"/>
    <col min="1538" max="1538" width="3.54296875" style="17" customWidth="1"/>
    <col min="1539" max="1783" width="9.1796875" style="17"/>
    <col min="1784" max="1784" width="8.7265625" style="17" customWidth="1"/>
    <col min="1785" max="1785" width="9.81640625" style="17" customWidth="1"/>
    <col min="1786" max="1786" width="14.453125" style="17" customWidth="1"/>
    <col min="1787" max="1787" width="7.26953125" style="17" customWidth="1"/>
    <col min="1788" max="1788" width="5.54296875" style="17" customWidth="1"/>
    <col min="1789" max="1789" width="9" style="17" customWidth="1"/>
    <col min="1790" max="1791" width="9.81640625" style="17" customWidth="1"/>
    <col min="1792" max="1792" width="11.1796875" style="17" customWidth="1"/>
    <col min="1793" max="1793" width="2.81640625" style="17" customWidth="1"/>
    <col min="1794" max="1794" width="3.54296875" style="17" customWidth="1"/>
    <col min="1795" max="2039" width="9.1796875" style="17"/>
    <col min="2040" max="2040" width="8.7265625" style="17" customWidth="1"/>
    <col min="2041" max="2041" width="9.81640625" style="17" customWidth="1"/>
    <col min="2042" max="2042" width="14.453125" style="17" customWidth="1"/>
    <col min="2043" max="2043" width="7.26953125" style="17" customWidth="1"/>
    <col min="2044" max="2044" width="5.54296875" style="17" customWidth="1"/>
    <col min="2045" max="2045" width="9" style="17" customWidth="1"/>
    <col min="2046" max="2047" width="9.81640625" style="17" customWidth="1"/>
    <col min="2048" max="2048" width="11.1796875" style="17" customWidth="1"/>
    <col min="2049" max="2049" width="2.81640625" style="17" customWidth="1"/>
    <col min="2050" max="2050" width="3.54296875" style="17" customWidth="1"/>
    <col min="2051" max="2295" width="9.1796875" style="17"/>
    <col min="2296" max="2296" width="8.7265625" style="17" customWidth="1"/>
    <col min="2297" max="2297" width="9.81640625" style="17" customWidth="1"/>
    <col min="2298" max="2298" width="14.453125" style="17" customWidth="1"/>
    <col min="2299" max="2299" width="7.26953125" style="17" customWidth="1"/>
    <col min="2300" max="2300" width="5.54296875" style="17" customWidth="1"/>
    <col min="2301" max="2301" width="9" style="17" customWidth="1"/>
    <col min="2302" max="2303" width="9.81640625" style="17" customWidth="1"/>
    <col min="2304" max="2304" width="11.1796875" style="17" customWidth="1"/>
    <col min="2305" max="2305" width="2.81640625" style="17" customWidth="1"/>
    <col min="2306" max="2306" width="3.54296875" style="17" customWidth="1"/>
    <col min="2307" max="2551" width="9.1796875" style="17"/>
    <col min="2552" max="2552" width="8.7265625" style="17" customWidth="1"/>
    <col min="2553" max="2553" width="9.81640625" style="17" customWidth="1"/>
    <col min="2554" max="2554" width="14.453125" style="17" customWidth="1"/>
    <col min="2555" max="2555" width="7.26953125" style="17" customWidth="1"/>
    <col min="2556" max="2556" width="5.54296875" style="17" customWidth="1"/>
    <col min="2557" max="2557" width="9" style="17" customWidth="1"/>
    <col min="2558" max="2559" width="9.81640625" style="17" customWidth="1"/>
    <col min="2560" max="2560" width="11.1796875" style="17" customWidth="1"/>
    <col min="2561" max="2561" width="2.81640625" style="17" customWidth="1"/>
    <col min="2562" max="2562" width="3.54296875" style="17" customWidth="1"/>
    <col min="2563" max="2807" width="9.1796875" style="17"/>
    <col min="2808" max="2808" width="8.7265625" style="17" customWidth="1"/>
    <col min="2809" max="2809" width="9.81640625" style="17" customWidth="1"/>
    <col min="2810" max="2810" width="14.453125" style="17" customWidth="1"/>
    <col min="2811" max="2811" width="7.26953125" style="17" customWidth="1"/>
    <col min="2812" max="2812" width="5.54296875" style="17" customWidth="1"/>
    <col min="2813" max="2813" width="9" style="17" customWidth="1"/>
    <col min="2814" max="2815" width="9.81640625" style="17" customWidth="1"/>
    <col min="2816" max="2816" width="11.1796875" style="17" customWidth="1"/>
    <col min="2817" max="2817" width="2.81640625" style="17" customWidth="1"/>
    <col min="2818" max="2818" width="3.54296875" style="17" customWidth="1"/>
    <col min="2819" max="3063" width="9.1796875" style="17"/>
    <col min="3064" max="3064" width="8.7265625" style="17" customWidth="1"/>
    <col min="3065" max="3065" width="9.81640625" style="17" customWidth="1"/>
    <col min="3066" max="3066" width="14.453125" style="17" customWidth="1"/>
    <col min="3067" max="3067" width="7.26953125" style="17" customWidth="1"/>
    <col min="3068" max="3068" width="5.54296875" style="17" customWidth="1"/>
    <col min="3069" max="3069" width="9" style="17" customWidth="1"/>
    <col min="3070" max="3071" width="9.81640625" style="17" customWidth="1"/>
    <col min="3072" max="3072" width="11.1796875" style="17" customWidth="1"/>
    <col min="3073" max="3073" width="2.81640625" style="17" customWidth="1"/>
    <col min="3074" max="3074" width="3.54296875" style="17" customWidth="1"/>
    <col min="3075" max="3319" width="9.1796875" style="17"/>
    <col min="3320" max="3320" width="8.7265625" style="17" customWidth="1"/>
    <col min="3321" max="3321" width="9.81640625" style="17" customWidth="1"/>
    <col min="3322" max="3322" width="14.453125" style="17" customWidth="1"/>
    <col min="3323" max="3323" width="7.26953125" style="17" customWidth="1"/>
    <col min="3324" max="3324" width="5.54296875" style="17" customWidth="1"/>
    <col min="3325" max="3325" width="9" style="17" customWidth="1"/>
    <col min="3326" max="3327" width="9.81640625" style="17" customWidth="1"/>
    <col min="3328" max="3328" width="11.1796875" style="17" customWidth="1"/>
    <col min="3329" max="3329" width="2.81640625" style="17" customWidth="1"/>
    <col min="3330" max="3330" width="3.54296875" style="17" customWidth="1"/>
    <col min="3331" max="3575" width="9.1796875" style="17"/>
    <col min="3576" max="3576" width="8.7265625" style="17" customWidth="1"/>
    <col min="3577" max="3577" width="9.81640625" style="17" customWidth="1"/>
    <col min="3578" max="3578" width="14.453125" style="17" customWidth="1"/>
    <col min="3579" max="3579" width="7.26953125" style="17" customWidth="1"/>
    <col min="3580" max="3580" width="5.54296875" style="17" customWidth="1"/>
    <col min="3581" max="3581" width="9" style="17" customWidth="1"/>
    <col min="3582" max="3583" width="9.81640625" style="17" customWidth="1"/>
    <col min="3584" max="3584" width="11.1796875" style="17" customWidth="1"/>
    <col min="3585" max="3585" width="2.81640625" style="17" customWidth="1"/>
    <col min="3586" max="3586" width="3.54296875" style="17" customWidth="1"/>
    <col min="3587" max="3831" width="9.1796875" style="17"/>
    <col min="3832" max="3832" width="8.7265625" style="17" customWidth="1"/>
    <col min="3833" max="3833" width="9.81640625" style="17" customWidth="1"/>
    <col min="3834" max="3834" width="14.453125" style="17" customWidth="1"/>
    <col min="3835" max="3835" width="7.26953125" style="17" customWidth="1"/>
    <col min="3836" max="3836" width="5.54296875" style="17" customWidth="1"/>
    <col min="3837" max="3837" width="9" style="17" customWidth="1"/>
    <col min="3838" max="3839" width="9.81640625" style="17" customWidth="1"/>
    <col min="3840" max="3840" width="11.1796875" style="17" customWidth="1"/>
    <col min="3841" max="3841" width="2.81640625" style="17" customWidth="1"/>
    <col min="3842" max="3842" width="3.54296875" style="17" customWidth="1"/>
    <col min="3843" max="4087" width="9.1796875" style="17"/>
    <col min="4088" max="4088" width="8.7265625" style="17" customWidth="1"/>
    <col min="4089" max="4089" width="9.81640625" style="17" customWidth="1"/>
    <col min="4090" max="4090" width="14.453125" style="17" customWidth="1"/>
    <col min="4091" max="4091" width="7.26953125" style="17" customWidth="1"/>
    <col min="4092" max="4092" width="5.54296875" style="17" customWidth="1"/>
    <col min="4093" max="4093" width="9" style="17" customWidth="1"/>
    <col min="4094" max="4095" width="9.81640625" style="17" customWidth="1"/>
    <col min="4096" max="4096" width="11.1796875" style="17" customWidth="1"/>
    <col min="4097" max="4097" width="2.81640625" style="17" customWidth="1"/>
    <col min="4098" max="4098" width="3.54296875" style="17" customWidth="1"/>
    <col min="4099" max="4343" width="9.1796875" style="17"/>
    <col min="4344" max="4344" width="8.7265625" style="17" customWidth="1"/>
    <col min="4345" max="4345" width="9.81640625" style="17" customWidth="1"/>
    <col min="4346" max="4346" width="14.453125" style="17" customWidth="1"/>
    <col min="4347" max="4347" width="7.26953125" style="17" customWidth="1"/>
    <col min="4348" max="4348" width="5.54296875" style="17" customWidth="1"/>
    <col min="4349" max="4349" width="9" style="17" customWidth="1"/>
    <col min="4350" max="4351" width="9.81640625" style="17" customWidth="1"/>
    <col min="4352" max="4352" width="11.1796875" style="17" customWidth="1"/>
    <col min="4353" max="4353" width="2.81640625" style="17" customWidth="1"/>
    <col min="4354" max="4354" width="3.54296875" style="17" customWidth="1"/>
    <col min="4355" max="4599" width="9.1796875" style="17"/>
    <col min="4600" max="4600" width="8.7265625" style="17" customWidth="1"/>
    <col min="4601" max="4601" width="9.81640625" style="17" customWidth="1"/>
    <col min="4602" max="4602" width="14.453125" style="17" customWidth="1"/>
    <col min="4603" max="4603" width="7.26953125" style="17" customWidth="1"/>
    <col min="4604" max="4604" width="5.54296875" style="17" customWidth="1"/>
    <col min="4605" max="4605" width="9" style="17" customWidth="1"/>
    <col min="4606" max="4607" width="9.81640625" style="17" customWidth="1"/>
    <col min="4608" max="4608" width="11.1796875" style="17" customWidth="1"/>
    <col min="4609" max="4609" width="2.81640625" style="17" customWidth="1"/>
    <col min="4610" max="4610" width="3.54296875" style="17" customWidth="1"/>
    <col min="4611" max="4855" width="9.1796875" style="17"/>
    <col min="4856" max="4856" width="8.7265625" style="17" customWidth="1"/>
    <col min="4857" max="4857" width="9.81640625" style="17" customWidth="1"/>
    <col min="4858" max="4858" width="14.453125" style="17" customWidth="1"/>
    <col min="4859" max="4859" width="7.26953125" style="17" customWidth="1"/>
    <col min="4860" max="4860" width="5.54296875" style="17" customWidth="1"/>
    <col min="4861" max="4861" width="9" style="17" customWidth="1"/>
    <col min="4862" max="4863" width="9.81640625" style="17" customWidth="1"/>
    <col min="4864" max="4864" width="11.1796875" style="17" customWidth="1"/>
    <col min="4865" max="4865" width="2.81640625" style="17" customWidth="1"/>
    <col min="4866" max="4866" width="3.54296875" style="17" customWidth="1"/>
    <col min="4867" max="5111" width="9.1796875" style="17"/>
    <col min="5112" max="5112" width="8.7265625" style="17" customWidth="1"/>
    <col min="5113" max="5113" width="9.81640625" style="17" customWidth="1"/>
    <col min="5114" max="5114" width="14.453125" style="17" customWidth="1"/>
    <col min="5115" max="5115" width="7.26953125" style="17" customWidth="1"/>
    <col min="5116" max="5116" width="5.54296875" style="17" customWidth="1"/>
    <col min="5117" max="5117" width="9" style="17" customWidth="1"/>
    <col min="5118" max="5119" width="9.81640625" style="17" customWidth="1"/>
    <col min="5120" max="5120" width="11.1796875" style="17" customWidth="1"/>
    <col min="5121" max="5121" width="2.81640625" style="17" customWidth="1"/>
    <col min="5122" max="5122" width="3.54296875" style="17" customWidth="1"/>
    <col min="5123" max="5367" width="9.1796875" style="17"/>
    <col min="5368" max="5368" width="8.7265625" style="17" customWidth="1"/>
    <col min="5369" max="5369" width="9.81640625" style="17" customWidth="1"/>
    <col min="5370" max="5370" width="14.453125" style="17" customWidth="1"/>
    <col min="5371" max="5371" width="7.26953125" style="17" customWidth="1"/>
    <col min="5372" max="5372" width="5.54296875" style="17" customWidth="1"/>
    <col min="5373" max="5373" width="9" style="17" customWidth="1"/>
    <col min="5374" max="5375" width="9.81640625" style="17" customWidth="1"/>
    <col min="5376" max="5376" width="11.1796875" style="17" customWidth="1"/>
    <col min="5377" max="5377" width="2.81640625" style="17" customWidth="1"/>
    <col min="5378" max="5378" width="3.54296875" style="17" customWidth="1"/>
    <col min="5379" max="5623" width="9.1796875" style="17"/>
    <col min="5624" max="5624" width="8.7265625" style="17" customWidth="1"/>
    <col min="5625" max="5625" width="9.81640625" style="17" customWidth="1"/>
    <col min="5626" max="5626" width="14.453125" style="17" customWidth="1"/>
    <col min="5627" max="5627" width="7.26953125" style="17" customWidth="1"/>
    <col min="5628" max="5628" width="5.54296875" style="17" customWidth="1"/>
    <col min="5629" max="5629" width="9" style="17" customWidth="1"/>
    <col min="5630" max="5631" width="9.81640625" style="17" customWidth="1"/>
    <col min="5632" max="5632" width="11.1796875" style="17" customWidth="1"/>
    <col min="5633" max="5633" width="2.81640625" style="17" customWidth="1"/>
    <col min="5634" max="5634" width="3.54296875" style="17" customWidth="1"/>
    <col min="5635" max="5879" width="9.1796875" style="17"/>
    <col min="5880" max="5880" width="8.7265625" style="17" customWidth="1"/>
    <col min="5881" max="5881" width="9.81640625" style="17" customWidth="1"/>
    <col min="5882" max="5882" width="14.453125" style="17" customWidth="1"/>
    <col min="5883" max="5883" width="7.26953125" style="17" customWidth="1"/>
    <col min="5884" max="5884" width="5.54296875" style="17" customWidth="1"/>
    <col min="5885" max="5885" width="9" style="17" customWidth="1"/>
    <col min="5886" max="5887" width="9.81640625" style="17" customWidth="1"/>
    <col min="5888" max="5888" width="11.1796875" style="17" customWidth="1"/>
    <col min="5889" max="5889" width="2.81640625" style="17" customWidth="1"/>
    <col min="5890" max="5890" width="3.54296875" style="17" customWidth="1"/>
    <col min="5891" max="6135" width="9.1796875" style="17"/>
    <col min="6136" max="6136" width="8.7265625" style="17" customWidth="1"/>
    <col min="6137" max="6137" width="9.81640625" style="17" customWidth="1"/>
    <col min="6138" max="6138" width="14.453125" style="17" customWidth="1"/>
    <col min="6139" max="6139" width="7.26953125" style="17" customWidth="1"/>
    <col min="6140" max="6140" width="5.54296875" style="17" customWidth="1"/>
    <col min="6141" max="6141" width="9" style="17" customWidth="1"/>
    <col min="6142" max="6143" width="9.81640625" style="17" customWidth="1"/>
    <col min="6144" max="6144" width="11.1796875" style="17" customWidth="1"/>
    <col min="6145" max="6145" width="2.81640625" style="17" customWidth="1"/>
    <col min="6146" max="6146" width="3.54296875" style="17" customWidth="1"/>
    <col min="6147" max="6391" width="9.1796875" style="17"/>
    <col min="6392" max="6392" width="8.7265625" style="17" customWidth="1"/>
    <col min="6393" max="6393" width="9.81640625" style="17" customWidth="1"/>
    <col min="6394" max="6394" width="14.453125" style="17" customWidth="1"/>
    <col min="6395" max="6395" width="7.26953125" style="17" customWidth="1"/>
    <col min="6396" max="6396" width="5.54296875" style="17" customWidth="1"/>
    <col min="6397" max="6397" width="9" style="17" customWidth="1"/>
    <col min="6398" max="6399" width="9.81640625" style="17" customWidth="1"/>
    <col min="6400" max="6400" width="11.1796875" style="17" customWidth="1"/>
    <col min="6401" max="6401" width="2.81640625" style="17" customWidth="1"/>
    <col min="6402" max="6402" width="3.54296875" style="17" customWidth="1"/>
    <col min="6403" max="6647" width="9.1796875" style="17"/>
    <col min="6648" max="6648" width="8.7265625" style="17" customWidth="1"/>
    <col min="6649" max="6649" width="9.81640625" style="17" customWidth="1"/>
    <col min="6650" max="6650" width="14.453125" style="17" customWidth="1"/>
    <col min="6651" max="6651" width="7.26953125" style="17" customWidth="1"/>
    <col min="6652" max="6652" width="5.54296875" style="17" customWidth="1"/>
    <col min="6653" max="6653" width="9" style="17" customWidth="1"/>
    <col min="6654" max="6655" width="9.81640625" style="17" customWidth="1"/>
    <col min="6656" max="6656" width="11.1796875" style="17" customWidth="1"/>
    <col min="6657" max="6657" width="2.81640625" style="17" customWidth="1"/>
    <col min="6658" max="6658" width="3.54296875" style="17" customWidth="1"/>
    <col min="6659" max="6903" width="9.1796875" style="17"/>
    <col min="6904" max="6904" width="8.7265625" style="17" customWidth="1"/>
    <col min="6905" max="6905" width="9.81640625" style="17" customWidth="1"/>
    <col min="6906" max="6906" width="14.453125" style="17" customWidth="1"/>
    <col min="6907" max="6907" width="7.26953125" style="17" customWidth="1"/>
    <col min="6908" max="6908" width="5.54296875" style="17" customWidth="1"/>
    <col min="6909" max="6909" width="9" style="17" customWidth="1"/>
    <col min="6910" max="6911" width="9.81640625" style="17" customWidth="1"/>
    <col min="6912" max="6912" width="11.1796875" style="17" customWidth="1"/>
    <col min="6913" max="6913" width="2.81640625" style="17" customWidth="1"/>
    <col min="6914" max="6914" width="3.54296875" style="17" customWidth="1"/>
    <col min="6915" max="7159" width="9.1796875" style="17"/>
    <col min="7160" max="7160" width="8.7265625" style="17" customWidth="1"/>
    <col min="7161" max="7161" width="9.81640625" style="17" customWidth="1"/>
    <col min="7162" max="7162" width="14.453125" style="17" customWidth="1"/>
    <col min="7163" max="7163" width="7.26953125" style="17" customWidth="1"/>
    <col min="7164" max="7164" width="5.54296875" style="17" customWidth="1"/>
    <col min="7165" max="7165" width="9" style="17" customWidth="1"/>
    <col min="7166" max="7167" width="9.81640625" style="17" customWidth="1"/>
    <col min="7168" max="7168" width="11.1796875" style="17" customWidth="1"/>
    <col min="7169" max="7169" width="2.81640625" style="17" customWidth="1"/>
    <col min="7170" max="7170" width="3.54296875" style="17" customWidth="1"/>
    <col min="7171" max="7415" width="9.1796875" style="17"/>
    <col min="7416" max="7416" width="8.7265625" style="17" customWidth="1"/>
    <col min="7417" max="7417" width="9.81640625" style="17" customWidth="1"/>
    <col min="7418" max="7418" width="14.453125" style="17" customWidth="1"/>
    <col min="7419" max="7419" width="7.26953125" style="17" customWidth="1"/>
    <col min="7420" max="7420" width="5.54296875" style="17" customWidth="1"/>
    <col min="7421" max="7421" width="9" style="17" customWidth="1"/>
    <col min="7422" max="7423" width="9.81640625" style="17" customWidth="1"/>
    <col min="7424" max="7424" width="11.1796875" style="17" customWidth="1"/>
    <col min="7425" max="7425" width="2.81640625" style="17" customWidth="1"/>
    <col min="7426" max="7426" width="3.54296875" style="17" customWidth="1"/>
    <col min="7427" max="7671" width="9.1796875" style="17"/>
    <col min="7672" max="7672" width="8.7265625" style="17" customWidth="1"/>
    <col min="7673" max="7673" width="9.81640625" style="17" customWidth="1"/>
    <col min="7674" max="7674" width="14.453125" style="17" customWidth="1"/>
    <col min="7675" max="7675" width="7.26953125" style="17" customWidth="1"/>
    <col min="7676" max="7676" width="5.54296875" style="17" customWidth="1"/>
    <col min="7677" max="7677" width="9" style="17" customWidth="1"/>
    <col min="7678" max="7679" width="9.81640625" style="17" customWidth="1"/>
    <col min="7680" max="7680" width="11.1796875" style="17" customWidth="1"/>
    <col min="7681" max="7681" width="2.81640625" style="17" customWidth="1"/>
    <col min="7682" max="7682" width="3.54296875" style="17" customWidth="1"/>
    <col min="7683" max="7927" width="9.1796875" style="17"/>
    <col min="7928" max="7928" width="8.7265625" style="17" customWidth="1"/>
    <col min="7929" max="7929" width="9.81640625" style="17" customWidth="1"/>
    <col min="7930" max="7930" width="14.453125" style="17" customWidth="1"/>
    <col min="7931" max="7931" width="7.26953125" style="17" customWidth="1"/>
    <col min="7932" max="7932" width="5.54296875" style="17" customWidth="1"/>
    <col min="7933" max="7933" width="9" style="17" customWidth="1"/>
    <col min="7934" max="7935" width="9.81640625" style="17" customWidth="1"/>
    <col min="7936" max="7936" width="11.1796875" style="17" customWidth="1"/>
    <col min="7937" max="7937" width="2.81640625" style="17" customWidth="1"/>
    <col min="7938" max="7938" width="3.54296875" style="17" customWidth="1"/>
    <col min="7939" max="8183" width="9.1796875" style="17"/>
    <col min="8184" max="8184" width="8.7265625" style="17" customWidth="1"/>
    <col min="8185" max="8185" width="9.81640625" style="17" customWidth="1"/>
    <col min="8186" max="8186" width="14.453125" style="17" customWidth="1"/>
    <col min="8187" max="8187" width="7.26953125" style="17" customWidth="1"/>
    <col min="8188" max="8188" width="5.54296875" style="17" customWidth="1"/>
    <col min="8189" max="8189" width="9" style="17" customWidth="1"/>
    <col min="8190" max="8191" width="9.81640625" style="17" customWidth="1"/>
    <col min="8192" max="8192" width="11.1796875" style="17" customWidth="1"/>
    <col min="8193" max="8193" width="2.81640625" style="17" customWidth="1"/>
    <col min="8194" max="8194" width="3.54296875" style="17" customWidth="1"/>
    <col min="8195" max="8439" width="9.1796875" style="17"/>
    <col min="8440" max="8440" width="8.7265625" style="17" customWidth="1"/>
    <col min="8441" max="8441" width="9.81640625" style="17" customWidth="1"/>
    <col min="8442" max="8442" width="14.453125" style="17" customWidth="1"/>
    <col min="8443" max="8443" width="7.26953125" style="17" customWidth="1"/>
    <col min="8444" max="8444" width="5.54296875" style="17" customWidth="1"/>
    <col min="8445" max="8445" width="9" style="17" customWidth="1"/>
    <col min="8446" max="8447" width="9.81640625" style="17" customWidth="1"/>
    <col min="8448" max="8448" width="11.1796875" style="17" customWidth="1"/>
    <col min="8449" max="8449" width="2.81640625" style="17" customWidth="1"/>
    <col min="8450" max="8450" width="3.54296875" style="17" customWidth="1"/>
    <col min="8451" max="8695" width="9.1796875" style="17"/>
    <col min="8696" max="8696" width="8.7265625" style="17" customWidth="1"/>
    <col min="8697" max="8697" width="9.81640625" style="17" customWidth="1"/>
    <col min="8698" max="8698" width="14.453125" style="17" customWidth="1"/>
    <col min="8699" max="8699" width="7.26953125" style="17" customWidth="1"/>
    <col min="8700" max="8700" width="5.54296875" style="17" customWidth="1"/>
    <col min="8701" max="8701" width="9" style="17" customWidth="1"/>
    <col min="8702" max="8703" width="9.81640625" style="17" customWidth="1"/>
    <col min="8704" max="8704" width="11.1796875" style="17" customWidth="1"/>
    <col min="8705" max="8705" width="2.81640625" style="17" customWidth="1"/>
    <col min="8706" max="8706" width="3.54296875" style="17" customWidth="1"/>
    <col min="8707" max="8951" width="9.1796875" style="17"/>
    <col min="8952" max="8952" width="8.7265625" style="17" customWidth="1"/>
    <col min="8953" max="8953" width="9.81640625" style="17" customWidth="1"/>
    <col min="8954" max="8954" width="14.453125" style="17" customWidth="1"/>
    <col min="8955" max="8955" width="7.26953125" style="17" customWidth="1"/>
    <col min="8956" max="8956" width="5.54296875" style="17" customWidth="1"/>
    <col min="8957" max="8957" width="9" style="17" customWidth="1"/>
    <col min="8958" max="8959" width="9.81640625" style="17" customWidth="1"/>
    <col min="8960" max="8960" width="11.1796875" style="17" customWidth="1"/>
    <col min="8961" max="8961" width="2.81640625" style="17" customWidth="1"/>
    <col min="8962" max="8962" width="3.54296875" style="17" customWidth="1"/>
    <col min="8963" max="9207" width="9.1796875" style="17"/>
    <col min="9208" max="9208" width="8.7265625" style="17" customWidth="1"/>
    <col min="9209" max="9209" width="9.81640625" style="17" customWidth="1"/>
    <col min="9210" max="9210" width="14.453125" style="17" customWidth="1"/>
    <col min="9211" max="9211" width="7.26953125" style="17" customWidth="1"/>
    <col min="9212" max="9212" width="5.54296875" style="17" customWidth="1"/>
    <col min="9213" max="9213" width="9" style="17" customWidth="1"/>
    <col min="9214" max="9215" width="9.81640625" style="17" customWidth="1"/>
    <col min="9216" max="9216" width="11.1796875" style="17" customWidth="1"/>
    <col min="9217" max="9217" width="2.81640625" style="17" customWidth="1"/>
    <col min="9218" max="9218" width="3.54296875" style="17" customWidth="1"/>
    <col min="9219" max="9463" width="9.1796875" style="17"/>
    <col min="9464" max="9464" width="8.7265625" style="17" customWidth="1"/>
    <col min="9465" max="9465" width="9.81640625" style="17" customWidth="1"/>
    <col min="9466" max="9466" width="14.453125" style="17" customWidth="1"/>
    <col min="9467" max="9467" width="7.26953125" style="17" customWidth="1"/>
    <col min="9468" max="9468" width="5.54296875" style="17" customWidth="1"/>
    <col min="9469" max="9469" width="9" style="17" customWidth="1"/>
    <col min="9470" max="9471" width="9.81640625" style="17" customWidth="1"/>
    <col min="9472" max="9472" width="11.1796875" style="17" customWidth="1"/>
    <col min="9473" max="9473" width="2.81640625" style="17" customWidth="1"/>
    <col min="9474" max="9474" width="3.54296875" style="17" customWidth="1"/>
    <col min="9475" max="9719" width="9.1796875" style="17"/>
    <col min="9720" max="9720" width="8.7265625" style="17" customWidth="1"/>
    <col min="9721" max="9721" width="9.81640625" style="17" customWidth="1"/>
    <col min="9722" max="9722" width="14.453125" style="17" customWidth="1"/>
    <col min="9723" max="9723" width="7.26953125" style="17" customWidth="1"/>
    <col min="9724" max="9724" width="5.54296875" style="17" customWidth="1"/>
    <col min="9725" max="9725" width="9" style="17" customWidth="1"/>
    <col min="9726" max="9727" width="9.81640625" style="17" customWidth="1"/>
    <col min="9728" max="9728" width="11.1796875" style="17" customWidth="1"/>
    <col min="9729" max="9729" width="2.81640625" style="17" customWidth="1"/>
    <col min="9730" max="9730" width="3.54296875" style="17" customWidth="1"/>
    <col min="9731" max="9975" width="9.1796875" style="17"/>
    <col min="9976" max="9976" width="8.7265625" style="17" customWidth="1"/>
    <col min="9977" max="9977" width="9.81640625" style="17" customWidth="1"/>
    <col min="9978" max="9978" width="14.453125" style="17" customWidth="1"/>
    <col min="9979" max="9979" width="7.26953125" style="17" customWidth="1"/>
    <col min="9980" max="9980" width="5.54296875" style="17" customWidth="1"/>
    <col min="9981" max="9981" width="9" style="17" customWidth="1"/>
    <col min="9982" max="9983" width="9.81640625" style="17" customWidth="1"/>
    <col min="9984" max="9984" width="11.1796875" style="17" customWidth="1"/>
    <col min="9985" max="9985" width="2.81640625" style="17" customWidth="1"/>
    <col min="9986" max="9986" width="3.54296875" style="17" customWidth="1"/>
    <col min="9987" max="10231" width="9.1796875" style="17"/>
    <col min="10232" max="10232" width="8.7265625" style="17" customWidth="1"/>
    <col min="10233" max="10233" width="9.81640625" style="17" customWidth="1"/>
    <col min="10234" max="10234" width="14.453125" style="17" customWidth="1"/>
    <col min="10235" max="10235" width="7.26953125" style="17" customWidth="1"/>
    <col min="10236" max="10236" width="5.54296875" style="17" customWidth="1"/>
    <col min="10237" max="10237" width="9" style="17" customWidth="1"/>
    <col min="10238" max="10239" width="9.81640625" style="17" customWidth="1"/>
    <col min="10240" max="10240" width="11.1796875" style="17" customWidth="1"/>
    <col min="10241" max="10241" width="2.81640625" style="17" customWidth="1"/>
    <col min="10242" max="10242" width="3.54296875" style="17" customWidth="1"/>
    <col min="10243" max="10487" width="9.1796875" style="17"/>
    <col min="10488" max="10488" width="8.7265625" style="17" customWidth="1"/>
    <col min="10489" max="10489" width="9.81640625" style="17" customWidth="1"/>
    <col min="10490" max="10490" width="14.453125" style="17" customWidth="1"/>
    <col min="10491" max="10491" width="7.26953125" style="17" customWidth="1"/>
    <col min="10492" max="10492" width="5.54296875" style="17" customWidth="1"/>
    <col min="10493" max="10493" width="9" style="17" customWidth="1"/>
    <col min="10494" max="10495" width="9.81640625" style="17" customWidth="1"/>
    <col min="10496" max="10496" width="11.1796875" style="17" customWidth="1"/>
    <col min="10497" max="10497" width="2.81640625" style="17" customWidth="1"/>
    <col min="10498" max="10498" width="3.54296875" style="17" customWidth="1"/>
    <col min="10499" max="10743" width="9.1796875" style="17"/>
    <col min="10744" max="10744" width="8.7265625" style="17" customWidth="1"/>
    <col min="10745" max="10745" width="9.81640625" style="17" customWidth="1"/>
    <col min="10746" max="10746" width="14.453125" style="17" customWidth="1"/>
    <col min="10747" max="10747" width="7.26953125" style="17" customWidth="1"/>
    <col min="10748" max="10748" width="5.54296875" style="17" customWidth="1"/>
    <col min="10749" max="10749" width="9" style="17" customWidth="1"/>
    <col min="10750" max="10751" width="9.81640625" style="17" customWidth="1"/>
    <col min="10752" max="10752" width="11.1796875" style="17" customWidth="1"/>
    <col min="10753" max="10753" width="2.81640625" style="17" customWidth="1"/>
    <col min="10754" max="10754" width="3.54296875" style="17" customWidth="1"/>
    <col min="10755" max="10999" width="9.1796875" style="17"/>
    <col min="11000" max="11000" width="8.7265625" style="17" customWidth="1"/>
    <col min="11001" max="11001" width="9.81640625" style="17" customWidth="1"/>
    <col min="11002" max="11002" width="14.453125" style="17" customWidth="1"/>
    <col min="11003" max="11003" width="7.26953125" style="17" customWidth="1"/>
    <col min="11004" max="11004" width="5.54296875" style="17" customWidth="1"/>
    <col min="11005" max="11005" width="9" style="17" customWidth="1"/>
    <col min="11006" max="11007" width="9.81640625" style="17" customWidth="1"/>
    <col min="11008" max="11008" width="11.1796875" style="17" customWidth="1"/>
    <col min="11009" max="11009" width="2.81640625" style="17" customWidth="1"/>
    <col min="11010" max="11010" width="3.54296875" style="17" customWidth="1"/>
    <col min="11011" max="11255" width="9.1796875" style="17"/>
    <col min="11256" max="11256" width="8.7265625" style="17" customWidth="1"/>
    <col min="11257" max="11257" width="9.81640625" style="17" customWidth="1"/>
    <col min="11258" max="11258" width="14.453125" style="17" customWidth="1"/>
    <col min="11259" max="11259" width="7.26953125" style="17" customWidth="1"/>
    <col min="11260" max="11260" width="5.54296875" style="17" customWidth="1"/>
    <col min="11261" max="11261" width="9" style="17" customWidth="1"/>
    <col min="11262" max="11263" width="9.81640625" style="17" customWidth="1"/>
    <col min="11264" max="11264" width="11.1796875" style="17" customWidth="1"/>
    <col min="11265" max="11265" width="2.81640625" style="17" customWidth="1"/>
    <col min="11266" max="11266" width="3.54296875" style="17" customWidth="1"/>
    <col min="11267" max="11511" width="9.1796875" style="17"/>
    <col min="11512" max="11512" width="8.7265625" style="17" customWidth="1"/>
    <col min="11513" max="11513" width="9.81640625" style="17" customWidth="1"/>
    <col min="11514" max="11514" width="14.453125" style="17" customWidth="1"/>
    <col min="11515" max="11515" width="7.26953125" style="17" customWidth="1"/>
    <col min="11516" max="11516" width="5.54296875" style="17" customWidth="1"/>
    <col min="11517" max="11517" width="9" style="17" customWidth="1"/>
    <col min="11518" max="11519" width="9.81640625" style="17" customWidth="1"/>
    <col min="11520" max="11520" width="11.1796875" style="17" customWidth="1"/>
    <col min="11521" max="11521" width="2.81640625" style="17" customWidth="1"/>
    <col min="11522" max="11522" width="3.54296875" style="17" customWidth="1"/>
    <col min="11523" max="11767" width="9.1796875" style="17"/>
    <col min="11768" max="11768" width="8.7265625" style="17" customWidth="1"/>
    <col min="11769" max="11769" width="9.81640625" style="17" customWidth="1"/>
    <col min="11770" max="11770" width="14.453125" style="17" customWidth="1"/>
    <col min="11771" max="11771" width="7.26953125" style="17" customWidth="1"/>
    <col min="11772" max="11772" width="5.54296875" style="17" customWidth="1"/>
    <col min="11773" max="11773" width="9" style="17" customWidth="1"/>
    <col min="11774" max="11775" width="9.81640625" style="17" customWidth="1"/>
    <col min="11776" max="11776" width="11.1796875" style="17" customWidth="1"/>
    <col min="11777" max="11777" width="2.81640625" style="17" customWidth="1"/>
    <col min="11778" max="11778" width="3.54296875" style="17" customWidth="1"/>
    <col min="11779" max="12023" width="9.1796875" style="17"/>
    <col min="12024" max="12024" width="8.7265625" style="17" customWidth="1"/>
    <col min="12025" max="12025" width="9.81640625" style="17" customWidth="1"/>
    <col min="12026" max="12026" width="14.453125" style="17" customWidth="1"/>
    <col min="12027" max="12027" width="7.26953125" style="17" customWidth="1"/>
    <col min="12028" max="12028" width="5.54296875" style="17" customWidth="1"/>
    <col min="12029" max="12029" width="9" style="17" customWidth="1"/>
    <col min="12030" max="12031" width="9.81640625" style="17" customWidth="1"/>
    <col min="12032" max="12032" width="11.1796875" style="17" customWidth="1"/>
    <col min="12033" max="12033" width="2.81640625" style="17" customWidth="1"/>
    <col min="12034" max="12034" width="3.54296875" style="17" customWidth="1"/>
    <col min="12035" max="12279" width="9.1796875" style="17"/>
    <col min="12280" max="12280" width="8.7265625" style="17" customWidth="1"/>
    <col min="12281" max="12281" width="9.81640625" style="17" customWidth="1"/>
    <col min="12282" max="12282" width="14.453125" style="17" customWidth="1"/>
    <col min="12283" max="12283" width="7.26953125" style="17" customWidth="1"/>
    <col min="12284" max="12284" width="5.54296875" style="17" customWidth="1"/>
    <col min="12285" max="12285" width="9" style="17" customWidth="1"/>
    <col min="12286" max="12287" width="9.81640625" style="17" customWidth="1"/>
    <col min="12288" max="12288" width="11.1796875" style="17" customWidth="1"/>
    <col min="12289" max="12289" width="2.81640625" style="17" customWidth="1"/>
    <col min="12290" max="12290" width="3.54296875" style="17" customWidth="1"/>
    <col min="12291" max="12535" width="9.1796875" style="17"/>
    <col min="12536" max="12536" width="8.7265625" style="17" customWidth="1"/>
    <col min="12537" max="12537" width="9.81640625" style="17" customWidth="1"/>
    <col min="12538" max="12538" width="14.453125" style="17" customWidth="1"/>
    <col min="12539" max="12539" width="7.26953125" style="17" customWidth="1"/>
    <col min="12540" max="12540" width="5.54296875" style="17" customWidth="1"/>
    <col min="12541" max="12541" width="9" style="17" customWidth="1"/>
    <col min="12542" max="12543" width="9.81640625" style="17" customWidth="1"/>
    <col min="12544" max="12544" width="11.1796875" style="17" customWidth="1"/>
    <col min="12545" max="12545" width="2.81640625" style="17" customWidth="1"/>
    <col min="12546" max="12546" width="3.54296875" style="17" customWidth="1"/>
    <col min="12547" max="12791" width="9.1796875" style="17"/>
    <col min="12792" max="12792" width="8.7265625" style="17" customWidth="1"/>
    <col min="12793" max="12793" width="9.81640625" style="17" customWidth="1"/>
    <col min="12794" max="12794" width="14.453125" style="17" customWidth="1"/>
    <col min="12795" max="12795" width="7.26953125" style="17" customWidth="1"/>
    <col min="12796" max="12796" width="5.54296875" style="17" customWidth="1"/>
    <col min="12797" max="12797" width="9" style="17" customWidth="1"/>
    <col min="12798" max="12799" width="9.81640625" style="17" customWidth="1"/>
    <col min="12800" max="12800" width="11.1796875" style="17" customWidth="1"/>
    <col min="12801" max="12801" width="2.81640625" style="17" customWidth="1"/>
    <col min="12802" max="12802" width="3.54296875" style="17" customWidth="1"/>
    <col min="12803" max="13047" width="9.1796875" style="17"/>
    <col min="13048" max="13048" width="8.7265625" style="17" customWidth="1"/>
    <col min="13049" max="13049" width="9.81640625" style="17" customWidth="1"/>
    <col min="13050" max="13050" width="14.453125" style="17" customWidth="1"/>
    <col min="13051" max="13051" width="7.26953125" style="17" customWidth="1"/>
    <col min="13052" max="13052" width="5.54296875" style="17" customWidth="1"/>
    <col min="13053" max="13053" width="9" style="17" customWidth="1"/>
    <col min="13054" max="13055" width="9.81640625" style="17" customWidth="1"/>
    <col min="13056" max="13056" width="11.1796875" style="17" customWidth="1"/>
    <col min="13057" max="13057" width="2.81640625" style="17" customWidth="1"/>
    <col min="13058" max="13058" width="3.54296875" style="17" customWidth="1"/>
    <col min="13059" max="13303" width="9.1796875" style="17"/>
    <col min="13304" max="13304" width="8.7265625" style="17" customWidth="1"/>
    <col min="13305" max="13305" width="9.81640625" style="17" customWidth="1"/>
    <col min="13306" max="13306" width="14.453125" style="17" customWidth="1"/>
    <col min="13307" max="13307" width="7.26953125" style="17" customWidth="1"/>
    <col min="13308" max="13308" width="5.54296875" style="17" customWidth="1"/>
    <col min="13309" max="13309" width="9" style="17" customWidth="1"/>
    <col min="13310" max="13311" width="9.81640625" style="17" customWidth="1"/>
    <col min="13312" max="13312" width="11.1796875" style="17" customWidth="1"/>
    <col min="13313" max="13313" width="2.81640625" style="17" customWidth="1"/>
    <col min="13314" max="13314" width="3.54296875" style="17" customWidth="1"/>
    <col min="13315" max="13559" width="9.1796875" style="17"/>
    <col min="13560" max="13560" width="8.7265625" style="17" customWidth="1"/>
    <col min="13561" max="13561" width="9.81640625" style="17" customWidth="1"/>
    <col min="13562" max="13562" width="14.453125" style="17" customWidth="1"/>
    <col min="13563" max="13563" width="7.26953125" style="17" customWidth="1"/>
    <col min="13564" max="13564" width="5.54296875" style="17" customWidth="1"/>
    <col min="13565" max="13565" width="9" style="17" customWidth="1"/>
    <col min="13566" max="13567" width="9.81640625" style="17" customWidth="1"/>
    <col min="13568" max="13568" width="11.1796875" style="17" customWidth="1"/>
    <col min="13569" max="13569" width="2.81640625" style="17" customWidth="1"/>
    <col min="13570" max="13570" width="3.54296875" style="17" customWidth="1"/>
    <col min="13571" max="13815" width="9.1796875" style="17"/>
    <col min="13816" max="13816" width="8.7265625" style="17" customWidth="1"/>
    <col min="13817" max="13817" width="9.81640625" style="17" customWidth="1"/>
    <col min="13818" max="13818" width="14.453125" style="17" customWidth="1"/>
    <col min="13819" max="13819" width="7.26953125" style="17" customWidth="1"/>
    <col min="13820" max="13820" width="5.54296875" style="17" customWidth="1"/>
    <col min="13821" max="13821" width="9" style="17" customWidth="1"/>
    <col min="13822" max="13823" width="9.81640625" style="17" customWidth="1"/>
    <col min="13824" max="13824" width="11.1796875" style="17" customWidth="1"/>
    <col min="13825" max="13825" width="2.81640625" style="17" customWidth="1"/>
    <col min="13826" max="13826" width="3.54296875" style="17" customWidth="1"/>
    <col min="13827" max="14071" width="9.1796875" style="17"/>
    <col min="14072" max="14072" width="8.7265625" style="17" customWidth="1"/>
    <col min="14073" max="14073" width="9.81640625" style="17" customWidth="1"/>
    <col min="14074" max="14074" width="14.453125" style="17" customWidth="1"/>
    <col min="14075" max="14075" width="7.26953125" style="17" customWidth="1"/>
    <col min="14076" max="14076" width="5.54296875" style="17" customWidth="1"/>
    <col min="14077" max="14077" width="9" style="17" customWidth="1"/>
    <col min="14078" max="14079" width="9.81640625" style="17" customWidth="1"/>
    <col min="14080" max="14080" width="11.1796875" style="17" customWidth="1"/>
    <col min="14081" max="14081" width="2.81640625" style="17" customWidth="1"/>
    <col min="14082" max="14082" width="3.54296875" style="17" customWidth="1"/>
    <col min="14083" max="14327" width="9.1796875" style="17"/>
    <col min="14328" max="14328" width="8.7265625" style="17" customWidth="1"/>
    <col min="14329" max="14329" width="9.81640625" style="17" customWidth="1"/>
    <col min="14330" max="14330" width="14.453125" style="17" customWidth="1"/>
    <col min="14331" max="14331" width="7.26953125" style="17" customWidth="1"/>
    <col min="14332" max="14332" width="5.54296875" style="17" customWidth="1"/>
    <col min="14333" max="14333" width="9" style="17" customWidth="1"/>
    <col min="14334" max="14335" width="9.81640625" style="17" customWidth="1"/>
    <col min="14336" max="14336" width="11.1796875" style="17" customWidth="1"/>
    <col min="14337" max="14337" width="2.81640625" style="17" customWidth="1"/>
    <col min="14338" max="14338" width="3.54296875" style="17" customWidth="1"/>
    <col min="14339" max="14583" width="9.1796875" style="17"/>
    <col min="14584" max="14584" width="8.7265625" style="17" customWidth="1"/>
    <col min="14585" max="14585" width="9.81640625" style="17" customWidth="1"/>
    <col min="14586" max="14586" width="14.453125" style="17" customWidth="1"/>
    <col min="14587" max="14587" width="7.26953125" style="17" customWidth="1"/>
    <col min="14588" max="14588" width="5.54296875" style="17" customWidth="1"/>
    <col min="14589" max="14589" width="9" style="17" customWidth="1"/>
    <col min="14590" max="14591" width="9.81640625" style="17" customWidth="1"/>
    <col min="14592" max="14592" width="11.1796875" style="17" customWidth="1"/>
    <col min="14593" max="14593" width="2.81640625" style="17" customWidth="1"/>
    <col min="14594" max="14594" width="3.54296875" style="17" customWidth="1"/>
    <col min="14595" max="14839" width="9.1796875" style="17"/>
    <col min="14840" max="14840" width="8.7265625" style="17" customWidth="1"/>
    <col min="14841" max="14841" width="9.81640625" style="17" customWidth="1"/>
    <col min="14842" max="14842" width="14.453125" style="17" customWidth="1"/>
    <col min="14843" max="14843" width="7.26953125" style="17" customWidth="1"/>
    <col min="14844" max="14844" width="5.54296875" style="17" customWidth="1"/>
    <col min="14845" max="14845" width="9" style="17" customWidth="1"/>
    <col min="14846" max="14847" width="9.81640625" style="17" customWidth="1"/>
    <col min="14848" max="14848" width="11.1796875" style="17" customWidth="1"/>
    <col min="14849" max="14849" width="2.81640625" style="17" customWidth="1"/>
    <col min="14850" max="14850" width="3.54296875" style="17" customWidth="1"/>
    <col min="14851" max="15095" width="9.1796875" style="17"/>
    <col min="15096" max="15096" width="8.7265625" style="17" customWidth="1"/>
    <col min="15097" max="15097" width="9.81640625" style="17" customWidth="1"/>
    <col min="15098" max="15098" width="14.453125" style="17" customWidth="1"/>
    <col min="15099" max="15099" width="7.26953125" style="17" customWidth="1"/>
    <col min="15100" max="15100" width="5.54296875" style="17" customWidth="1"/>
    <col min="15101" max="15101" width="9" style="17" customWidth="1"/>
    <col min="15102" max="15103" width="9.81640625" style="17" customWidth="1"/>
    <col min="15104" max="15104" width="11.1796875" style="17" customWidth="1"/>
    <col min="15105" max="15105" width="2.81640625" style="17" customWidth="1"/>
    <col min="15106" max="15106" width="3.54296875" style="17" customWidth="1"/>
    <col min="15107" max="15351" width="9.1796875" style="17"/>
    <col min="15352" max="15352" width="8.7265625" style="17" customWidth="1"/>
    <col min="15353" max="15353" width="9.81640625" style="17" customWidth="1"/>
    <col min="15354" max="15354" width="14.453125" style="17" customWidth="1"/>
    <col min="15355" max="15355" width="7.26953125" style="17" customWidth="1"/>
    <col min="15356" max="15356" width="5.54296875" style="17" customWidth="1"/>
    <col min="15357" max="15357" width="9" style="17" customWidth="1"/>
    <col min="15358" max="15359" width="9.81640625" style="17" customWidth="1"/>
    <col min="15360" max="15360" width="11.1796875" style="17" customWidth="1"/>
    <col min="15361" max="15361" width="2.81640625" style="17" customWidth="1"/>
    <col min="15362" max="15362" width="3.54296875" style="17" customWidth="1"/>
    <col min="15363" max="15607" width="9.1796875" style="17"/>
    <col min="15608" max="15608" width="8.7265625" style="17" customWidth="1"/>
    <col min="15609" max="15609" width="9.81640625" style="17" customWidth="1"/>
    <col min="15610" max="15610" width="14.453125" style="17" customWidth="1"/>
    <col min="15611" max="15611" width="7.26953125" style="17" customWidth="1"/>
    <col min="15612" max="15612" width="5.54296875" style="17" customWidth="1"/>
    <col min="15613" max="15613" width="9" style="17" customWidth="1"/>
    <col min="15614" max="15615" width="9.81640625" style="17" customWidth="1"/>
    <col min="15616" max="15616" width="11.1796875" style="17" customWidth="1"/>
    <col min="15617" max="15617" width="2.81640625" style="17" customWidth="1"/>
    <col min="15618" max="15618" width="3.54296875" style="17" customWidth="1"/>
    <col min="15619" max="15863" width="9.1796875" style="17"/>
    <col min="15864" max="15864" width="8.7265625" style="17" customWidth="1"/>
    <col min="15865" max="15865" width="9.81640625" style="17" customWidth="1"/>
    <col min="15866" max="15866" width="14.453125" style="17" customWidth="1"/>
    <col min="15867" max="15867" width="7.26953125" style="17" customWidth="1"/>
    <col min="15868" max="15868" width="5.54296875" style="17" customWidth="1"/>
    <col min="15869" max="15869" width="9" style="17" customWidth="1"/>
    <col min="15870" max="15871" width="9.81640625" style="17" customWidth="1"/>
    <col min="15872" max="15872" width="11.1796875" style="17" customWidth="1"/>
    <col min="15873" max="15873" width="2.81640625" style="17" customWidth="1"/>
    <col min="15874" max="15874" width="3.54296875" style="17" customWidth="1"/>
    <col min="15875" max="16119" width="9.1796875" style="17"/>
    <col min="16120" max="16120" width="8.7265625" style="17" customWidth="1"/>
    <col min="16121" max="16121" width="9.81640625" style="17" customWidth="1"/>
    <col min="16122" max="16122" width="14.453125" style="17" customWidth="1"/>
    <col min="16123" max="16123" width="7.26953125" style="17" customWidth="1"/>
    <col min="16124" max="16124" width="5.54296875" style="17" customWidth="1"/>
    <col min="16125" max="16125" width="9" style="17" customWidth="1"/>
    <col min="16126" max="16127" width="9.81640625" style="17" customWidth="1"/>
    <col min="16128" max="16128" width="11.1796875" style="17" customWidth="1"/>
    <col min="16129" max="16129" width="2.81640625" style="17" customWidth="1"/>
    <col min="16130" max="16130" width="3.54296875" style="17" customWidth="1"/>
    <col min="16131" max="16384" width="9.1796875" style="17"/>
  </cols>
  <sheetData>
    <row r="1" spans="1:26" ht="46.5" customHeight="1" x14ac:dyDescent="0.35">
      <c r="A1" s="159" t="s">
        <v>164</v>
      </c>
      <c r="B1" s="159"/>
      <c r="C1" s="159"/>
      <c r="D1" s="159"/>
      <c r="E1" s="159"/>
      <c r="F1" s="159"/>
      <c r="G1" s="159"/>
      <c r="H1" s="159"/>
    </row>
    <row r="2" spans="1:26" ht="16.5" customHeight="1" x14ac:dyDescent="0.35">
      <c r="A2" s="160" t="s">
        <v>0</v>
      </c>
      <c r="B2" s="160"/>
      <c r="C2" s="160"/>
      <c r="D2" s="160"/>
      <c r="E2" s="160"/>
      <c r="F2" s="160"/>
      <c r="G2" s="160"/>
      <c r="H2" s="160"/>
    </row>
    <row r="3" spans="1:26" x14ac:dyDescent="0.35">
      <c r="A3" s="121" t="s">
        <v>1</v>
      </c>
      <c r="B3" s="121"/>
      <c r="C3" s="121"/>
      <c r="D3" s="121"/>
      <c r="E3" s="121" t="str">
        <f ca="1">TEXT(TODAY(),"DD/MM/YYYY")</f>
        <v>23/08/2025</v>
      </c>
      <c r="F3" s="121"/>
      <c r="G3" s="121"/>
      <c r="H3" s="121"/>
      <c r="K3" s="49" t="s">
        <v>235</v>
      </c>
      <c r="L3" s="45" t="s">
        <v>233</v>
      </c>
      <c r="M3" s="45" t="s">
        <v>238</v>
      </c>
      <c r="N3" s="45" t="s">
        <v>236</v>
      </c>
      <c r="O3" s="45" t="s">
        <v>341</v>
      </c>
      <c r="P3" s="45" t="s">
        <v>239</v>
      </c>
    </row>
    <row r="4" spans="1:26" ht="15" customHeight="1" x14ac:dyDescent="0.35">
      <c r="A4" s="121" t="s">
        <v>232</v>
      </c>
      <c r="B4" s="121"/>
      <c r="C4" s="121"/>
      <c r="D4" s="121"/>
      <c r="E4" s="121" t="s">
        <v>233</v>
      </c>
      <c r="F4" s="121"/>
      <c r="G4" s="121"/>
      <c r="H4" s="121"/>
      <c r="K4" s="44" t="s">
        <v>234</v>
      </c>
      <c r="L4" s="45" t="s">
        <v>170</v>
      </c>
      <c r="M4" s="45" t="s">
        <v>243</v>
      </c>
      <c r="N4" s="45" t="s">
        <v>245</v>
      </c>
      <c r="O4" s="45" t="s">
        <v>342</v>
      </c>
      <c r="P4" s="45"/>
    </row>
    <row r="5" spans="1:26" ht="15" customHeight="1" x14ac:dyDescent="0.35">
      <c r="A5" s="121" t="s">
        <v>2</v>
      </c>
      <c r="B5" s="121"/>
      <c r="C5" s="121"/>
      <c r="D5" s="121"/>
      <c r="E5" s="121" t="s">
        <v>240</v>
      </c>
      <c r="F5" s="121"/>
      <c r="G5" s="121"/>
      <c r="H5" s="121"/>
      <c r="K5" s="44"/>
      <c r="L5" s="45" t="s">
        <v>240</v>
      </c>
      <c r="M5" s="45" t="s">
        <v>244</v>
      </c>
      <c r="N5" s="45" t="s">
        <v>246</v>
      </c>
      <c r="O5" s="45" t="s">
        <v>343</v>
      </c>
      <c r="P5" s="45"/>
    </row>
    <row r="6" spans="1:26" x14ac:dyDescent="0.35">
      <c r="A6" s="121" t="s">
        <v>3</v>
      </c>
      <c r="B6" s="121"/>
      <c r="C6" s="121"/>
      <c r="D6" s="121"/>
      <c r="E6" s="162">
        <v>45891</v>
      </c>
      <c r="F6" s="121"/>
      <c r="G6" s="121"/>
      <c r="H6" s="121"/>
      <c r="K6" s="44"/>
      <c r="L6" s="45" t="s">
        <v>241</v>
      </c>
      <c r="M6" s="45"/>
      <c r="N6" s="45"/>
      <c r="O6" s="45" t="s">
        <v>344</v>
      </c>
      <c r="P6" s="45"/>
    </row>
    <row r="7" spans="1:26" ht="16.5" customHeight="1" x14ac:dyDescent="0.35">
      <c r="A7" s="121" t="s">
        <v>4</v>
      </c>
      <c r="B7" s="121"/>
      <c r="C7" s="121"/>
      <c r="D7" s="121"/>
      <c r="E7" s="121" t="s">
        <v>384</v>
      </c>
      <c r="F7" s="121"/>
      <c r="G7" s="121"/>
      <c r="H7" s="121"/>
      <c r="K7" s="44"/>
      <c r="L7" s="45" t="s">
        <v>242</v>
      </c>
      <c r="M7" s="45"/>
      <c r="N7" s="45"/>
      <c r="O7" s="45" t="s">
        <v>344</v>
      </c>
      <c r="P7" s="45"/>
    </row>
    <row r="8" spans="1:26" ht="15" customHeight="1" x14ac:dyDescent="0.35">
      <c r="A8" s="121" t="s">
        <v>5</v>
      </c>
      <c r="B8" s="121"/>
      <c r="C8" s="121"/>
      <c r="D8" s="121"/>
      <c r="E8" s="121" t="s">
        <v>351</v>
      </c>
      <c r="F8" s="121"/>
      <c r="G8" s="121"/>
      <c r="H8" s="121"/>
      <c r="K8" s="44"/>
      <c r="L8" s="45"/>
      <c r="M8" s="45"/>
      <c r="N8" s="45"/>
      <c r="O8" s="45" t="s">
        <v>345</v>
      </c>
      <c r="P8" s="45"/>
    </row>
    <row r="9" spans="1:26" x14ac:dyDescent="0.35">
      <c r="A9" s="121" t="s">
        <v>6</v>
      </c>
      <c r="B9" s="121"/>
      <c r="C9" s="121"/>
      <c r="D9" s="121"/>
      <c r="E9" s="161" t="s">
        <v>350</v>
      </c>
      <c r="F9" s="161"/>
      <c r="G9" s="161"/>
      <c r="H9" s="161"/>
      <c r="K9" s="44"/>
      <c r="L9" s="45"/>
      <c r="M9" s="45"/>
      <c r="N9" s="45"/>
      <c r="O9" s="45" t="s">
        <v>346</v>
      </c>
      <c r="P9" s="45"/>
    </row>
    <row r="10" spans="1:26" x14ac:dyDescent="0.35">
      <c r="A10" s="121" t="s">
        <v>167</v>
      </c>
      <c r="B10" s="121"/>
      <c r="C10" s="121"/>
      <c r="D10" s="121"/>
      <c r="E10" s="121" t="s">
        <v>352</v>
      </c>
      <c r="F10" s="121"/>
      <c r="G10" s="121"/>
      <c r="H10" s="121"/>
      <c r="K10" s="44"/>
      <c r="L10" s="45"/>
      <c r="M10" s="45"/>
      <c r="N10" s="45"/>
      <c r="O10" s="45" t="s">
        <v>347</v>
      </c>
      <c r="P10" s="45"/>
    </row>
    <row r="11" spans="1:26" x14ac:dyDescent="0.35">
      <c r="A11" s="121" t="s">
        <v>168</v>
      </c>
      <c r="B11" s="121"/>
      <c r="C11" s="121"/>
      <c r="D11" s="121"/>
      <c r="E11" s="121" t="s">
        <v>352</v>
      </c>
      <c r="F11" s="121"/>
      <c r="G11" s="121"/>
      <c r="H11" s="121"/>
      <c r="O11" s="45" t="s">
        <v>348</v>
      </c>
    </row>
    <row r="12" spans="1:26" x14ac:dyDescent="0.35">
      <c r="A12" s="121" t="s">
        <v>7</v>
      </c>
      <c r="B12" s="121"/>
      <c r="C12" s="121"/>
      <c r="D12" s="121"/>
      <c r="E12" s="164" t="s">
        <v>353</v>
      </c>
      <c r="F12" s="164"/>
      <c r="G12" s="164"/>
      <c r="H12" s="164"/>
    </row>
    <row r="13" spans="1:26" x14ac:dyDescent="0.35">
      <c r="A13" s="121" t="s">
        <v>171</v>
      </c>
      <c r="B13" s="121"/>
      <c r="C13" s="121"/>
      <c r="D13" s="121"/>
      <c r="E13" s="111" t="s">
        <v>28</v>
      </c>
      <c r="F13" s="111"/>
      <c r="G13" s="111"/>
      <c r="H13" s="111"/>
      <c r="I13" s="209" t="s">
        <v>355</v>
      </c>
      <c r="J13" s="209"/>
      <c r="K13" s="209"/>
      <c r="L13" s="209"/>
      <c r="S13" s="45" t="s">
        <v>178</v>
      </c>
      <c r="T13" s="45" t="s">
        <v>187</v>
      </c>
      <c r="U13" s="45" t="s">
        <v>172</v>
      </c>
      <c r="V13" s="45" t="s">
        <v>192</v>
      </c>
      <c r="W13" s="45" t="s">
        <v>210</v>
      </c>
      <c r="X13"/>
      <c r="Y13" t="s">
        <v>192</v>
      </c>
      <c r="Z13" t="e">
        <f ca="1">OFFSET($S$13,1,MATCH($G20,$S$13:$W$13,0)-1,15,1)</f>
        <v>#VALUE!</v>
      </c>
    </row>
    <row r="14" spans="1:26" x14ac:dyDescent="0.35">
      <c r="A14" s="93" t="s">
        <v>278</v>
      </c>
      <c r="B14" s="93"/>
      <c r="C14" s="93"/>
      <c r="D14" s="93"/>
      <c r="E14" s="111" t="s">
        <v>414</v>
      </c>
      <c r="F14" s="111"/>
      <c r="G14" s="111"/>
      <c r="H14" s="111"/>
      <c r="I14" s="17" t="s">
        <v>366</v>
      </c>
      <c r="S14" s="45" t="s">
        <v>178</v>
      </c>
      <c r="T14" s="45" t="s">
        <v>185</v>
      </c>
      <c r="U14" s="45" t="s">
        <v>207</v>
      </c>
      <c r="V14" s="45" t="s">
        <v>193</v>
      </c>
      <c r="W14" s="45" t="s">
        <v>211</v>
      </c>
      <c r="X14"/>
      <c r="Y14"/>
      <c r="Z14"/>
    </row>
    <row r="15" spans="1:26" x14ac:dyDescent="0.35">
      <c r="A15" s="93" t="s">
        <v>8</v>
      </c>
      <c r="B15" s="93"/>
      <c r="C15" s="93"/>
      <c r="D15" s="93"/>
      <c r="E15" s="163" t="s">
        <v>349</v>
      </c>
      <c r="F15" s="164"/>
      <c r="G15" s="164"/>
      <c r="H15" s="164"/>
      <c r="I15" s="113" t="e">
        <f ca="1">OFFSET($D$5,1,MATCH($J13,$D$5:$H$5,0)-1,15,1)</f>
        <v>#N/A</v>
      </c>
      <c r="J15" s="114"/>
      <c r="K15" s="114"/>
      <c r="L15" s="114"/>
      <c r="M15" s="114"/>
      <c r="N15" s="114"/>
      <c r="O15" s="114"/>
      <c r="P15" s="114"/>
      <c r="S15" s="45" t="s">
        <v>179</v>
      </c>
      <c r="T15" s="45" t="s">
        <v>186</v>
      </c>
      <c r="U15" s="45" t="s">
        <v>208</v>
      </c>
      <c r="V15" s="45" t="s">
        <v>194</v>
      </c>
      <c r="W15" s="45" t="s">
        <v>224</v>
      </c>
      <c r="X15"/>
      <c r="Y15"/>
      <c r="Z15"/>
    </row>
    <row r="16" spans="1:26" ht="49" customHeight="1" x14ac:dyDescent="0.35">
      <c r="A16" s="110" t="s">
        <v>9</v>
      </c>
      <c r="B16" s="110"/>
      <c r="C16" s="110" t="str">
        <f>CONCATENATE((IF(OR(E9="",E9="NA"),"",E9)),", ",(IF(OR(A17="",A17="NA"),"",A17)),".",(IF(OR(C17="",C17="NA"),"",C17)),", near ",(IF(OR(C22="",C22="NA"),"",C22)),", ",(IF(OR(C19="",C19="NA"),"",C19)),", ",(IF(OR(C18="",C18="NA"),"",C18)),", ",(IF(OR(G19="",G19="NA"),"",G19)),", ",(IF(OR(C20="",C20="NA"),"",C20)),", ",(IF(OR(C21="",C21="NA"),"",C21)),", ",(IF(OR(G20="",G20="NA"),"",G20))," - ",(IF(OR(G21="",G21="NA"),"",G21)),".")</f>
        <v>Matunga Signet, C.S No.6, 7(Pt), 41(Pt) Redevlopement of "Barracks No. T/57, T/58, T/59", near Kings Circle Railway Station, Internal Road, Vazira Koliwada, Sion, Kings Circle East, Mumbai, Mumbai - 400022.</v>
      </c>
      <c r="D16" s="110"/>
      <c r="E16" s="110"/>
      <c r="F16" s="110"/>
      <c r="G16" s="110"/>
      <c r="H16" s="110"/>
      <c r="S16" s="45" t="s">
        <v>180</v>
      </c>
      <c r="T16" s="45" t="s">
        <v>188</v>
      </c>
      <c r="U16" s="45" t="s">
        <v>209</v>
      </c>
      <c r="V16" s="45" t="s">
        <v>195</v>
      </c>
      <c r="W16" s="45" t="s">
        <v>212</v>
      </c>
      <c r="X16"/>
      <c r="Y16"/>
      <c r="Z16"/>
    </row>
    <row r="17" spans="1:26" x14ac:dyDescent="0.35">
      <c r="A17" s="111" t="s">
        <v>354</v>
      </c>
      <c r="B17" s="111"/>
      <c r="C17" s="163" t="s">
        <v>415</v>
      </c>
      <c r="D17" s="163"/>
      <c r="E17" s="163"/>
      <c r="F17" s="163"/>
      <c r="G17" s="163"/>
      <c r="H17" s="163"/>
      <c r="I17" s="17" t="s">
        <v>357</v>
      </c>
      <c r="S17" s="45" t="s">
        <v>181</v>
      </c>
      <c r="T17" s="45" t="s">
        <v>189</v>
      </c>
      <c r="U17" s="45" t="s">
        <v>172</v>
      </c>
      <c r="V17" s="45" t="s">
        <v>196</v>
      </c>
      <c r="W17" s="45" t="s">
        <v>213</v>
      </c>
      <c r="X17"/>
      <c r="Y17"/>
      <c r="Z17"/>
    </row>
    <row r="18" spans="1:26" ht="15.75" customHeight="1" x14ac:dyDescent="0.35">
      <c r="A18" s="111" t="s">
        <v>162</v>
      </c>
      <c r="B18" s="111"/>
      <c r="C18" s="111" t="s">
        <v>360</v>
      </c>
      <c r="D18" s="111"/>
      <c r="E18" s="111"/>
      <c r="F18" s="111"/>
      <c r="G18" s="111"/>
      <c r="H18" s="111"/>
      <c r="S18" s="45" t="s">
        <v>182</v>
      </c>
      <c r="T18" s="45" t="s">
        <v>187</v>
      </c>
      <c r="U18" s="45"/>
      <c r="V18" s="45" t="s">
        <v>197</v>
      </c>
      <c r="W18" s="45" t="s">
        <v>214</v>
      </c>
      <c r="X18"/>
      <c r="Y18"/>
      <c r="Z18"/>
    </row>
    <row r="19" spans="1:26" ht="15.75" customHeight="1" x14ac:dyDescent="0.35">
      <c r="A19" s="110" t="s">
        <v>10</v>
      </c>
      <c r="B19" s="110"/>
      <c r="C19" s="121" t="s">
        <v>361</v>
      </c>
      <c r="D19" s="121"/>
      <c r="E19" s="111" t="s">
        <v>69</v>
      </c>
      <c r="F19" s="111"/>
      <c r="G19" s="111" t="s">
        <v>356</v>
      </c>
      <c r="H19" s="111"/>
      <c r="S19" s="45" t="s">
        <v>183</v>
      </c>
      <c r="T19" s="45" t="s">
        <v>190</v>
      </c>
      <c r="U19" s="45"/>
      <c r="V19" s="45" t="s">
        <v>198</v>
      </c>
      <c r="W19" s="45" t="s">
        <v>215</v>
      </c>
      <c r="X19"/>
      <c r="Y19"/>
      <c r="Z19"/>
    </row>
    <row r="20" spans="1:26" x14ac:dyDescent="0.35">
      <c r="A20" s="93" t="s">
        <v>12</v>
      </c>
      <c r="B20" s="93"/>
      <c r="C20" s="111" t="s">
        <v>358</v>
      </c>
      <c r="D20" s="111"/>
      <c r="E20" s="111" t="s">
        <v>11</v>
      </c>
      <c r="F20" s="111"/>
      <c r="G20" s="165" t="s">
        <v>172</v>
      </c>
      <c r="H20" s="165"/>
      <c r="S20" s="45" t="s">
        <v>184</v>
      </c>
      <c r="T20" s="45" t="s">
        <v>191</v>
      </c>
      <c r="U20" s="45"/>
      <c r="V20" s="45" t="s">
        <v>199</v>
      </c>
      <c r="W20" s="45" t="s">
        <v>216</v>
      </c>
      <c r="X20"/>
      <c r="Y20"/>
      <c r="Z20"/>
    </row>
    <row r="21" spans="1:26" x14ac:dyDescent="0.35">
      <c r="A21" s="93" t="s">
        <v>70</v>
      </c>
      <c r="B21" s="93"/>
      <c r="C21" s="111" t="s">
        <v>172</v>
      </c>
      <c r="D21" s="111"/>
      <c r="E21" s="111" t="s">
        <v>13</v>
      </c>
      <c r="F21" s="111"/>
      <c r="G21" s="111">
        <v>400022</v>
      </c>
      <c r="H21" s="111"/>
      <c r="S21" s="45"/>
      <c r="T21" s="45"/>
      <c r="U21" s="45"/>
      <c r="V21" s="45" t="s">
        <v>200</v>
      </c>
      <c r="W21" s="45" t="s">
        <v>217</v>
      </c>
      <c r="X21"/>
      <c r="Y21"/>
      <c r="Z21"/>
    </row>
    <row r="22" spans="1:26" ht="32.25" customHeight="1" x14ac:dyDescent="0.35">
      <c r="A22" s="93" t="s">
        <v>118</v>
      </c>
      <c r="B22" s="93"/>
      <c r="C22" s="111" t="s">
        <v>365</v>
      </c>
      <c r="D22" s="111"/>
      <c r="E22" s="110" t="s">
        <v>14</v>
      </c>
      <c r="F22" s="110"/>
      <c r="G22" s="111" t="s">
        <v>413</v>
      </c>
      <c r="H22" s="111"/>
      <c r="S22" s="45"/>
      <c r="T22" s="45"/>
      <c r="U22" s="45"/>
      <c r="V22" s="45" t="s">
        <v>201</v>
      </c>
      <c r="W22" s="45" t="s">
        <v>218</v>
      </c>
      <c r="X22"/>
      <c r="Y22"/>
      <c r="Z22"/>
    </row>
    <row r="23" spans="1:26" ht="15" customHeight="1" x14ac:dyDescent="0.35">
      <c r="A23" s="110" t="s">
        <v>72</v>
      </c>
      <c r="B23" s="110"/>
      <c r="C23" s="110"/>
      <c r="D23" s="110"/>
      <c r="E23" s="121" t="s">
        <v>15</v>
      </c>
      <c r="F23" s="121"/>
      <c r="G23" s="121"/>
      <c r="H23" s="121"/>
      <c r="S23" s="45"/>
      <c r="T23" s="45"/>
      <c r="U23" s="45"/>
      <c r="V23" s="45" t="s">
        <v>202</v>
      </c>
      <c r="W23" s="45" t="s">
        <v>219</v>
      </c>
      <c r="X23"/>
      <c r="Y23"/>
      <c r="Z23"/>
    </row>
    <row r="24" spans="1:26" ht="18.75" customHeight="1" x14ac:dyDescent="0.35">
      <c r="A24" s="110"/>
      <c r="B24" s="110"/>
      <c r="C24" s="110"/>
      <c r="D24" s="110"/>
      <c r="E24" s="121"/>
      <c r="F24" s="121"/>
      <c r="G24" s="121"/>
      <c r="H24" s="121"/>
      <c r="S24" s="45"/>
      <c r="T24" s="45"/>
      <c r="U24" s="45"/>
      <c r="V24" s="45" t="s">
        <v>203</v>
      </c>
      <c r="W24" s="45" t="s">
        <v>220</v>
      </c>
      <c r="X24"/>
      <c r="Y24"/>
      <c r="Z24"/>
    </row>
    <row r="25" spans="1:26" ht="15" customHeight="1" x14ac:dyDescent="0.35">
      <c r="A25" s="110" t="s">
        <v>16</v>
      </c>
      <c r="B25" s="110"/>
      <c r="C25" s="110"/>
      <c r="D25" s="110"/>
      <c r="E25" s="111" t="s">
        <v>17</v>
      </c>
      <c r="F25" s="111"/>
      <c r="G25" s="111"/>
      <c r="H25" s="111"/>
      <c r="S25" s="45"/>
      <c r="T25" s="45"/>
      <c r="U25" s="45"/>
      <c r="V25" s="45" t="s">
        <v>204</v>
      </c>
      <c r="W25" s="45" t="s">
        <v>221</v>
      </c>
      <c r="X25"/>
      <c r="Y25"/>
      <c r="Z25"/>
    </row>
    <row r="26" spans="1:26" ht="15" customHeight="1" x14ac:dyDescent="0.35">
      <c r="A26" s="93" t="s">
        <v>18</v>
      </c>
      <c r="B26" s="93"/>
      <c r="C26" s="93"/>
      <c r="D26" s="93"/>
      <c r="E26" s="111" t="str">
        <f>IF(AND(G20="Mumbai"),"Upper Class","Middle Class")</f>
        <v>Upper Class</v>
      </c>
      <c r="F26" s="111"/>
      <c r="G26" s="111"/>
      <c r="H26" s="111"/>
      <c r="S26" s="45"/>
      <c r="T26" s="45"/>
      <c r="U26" s="45"/>
      <c r="V26" s="45" t="s">
        <v>205</v>
      </c>
      <c r="W26" s="45" t="s">
        <v>222</v>
      </c>
      <c r="X26"/>
      <c r="Y26"/>
      <c r="Z26"/>
    </row>
    <row r="27" spans="1:26" x14ac:dyDescent="0.35">
      <c r="A27" s="93" t="s">
        <v>19</v>
      </c>
      <c r="B27" s="93"/>
      <c r="C27" s="93"/>
      <c r="D27" s="93"/>
      <c r="E27" s="111" t="s">
        <v>20</v>
      </c>
      <c r="F27" s="111"/>
      <c r="G27" s="111"/>
      <c r="H27" s="111"/>
      <c r="S27" s="45"/>
      <c r="T27" s="45"/>
      <c r="U27" s="45"/>
      <c r="V27" s="45" t="s">
        <v>206</v>
      </c>
      <c r="W27" s="45" t="s">
        <v>223</v>
      </c>
      <c r="X27"/>
      <c r="Y27"/>
      <c r="Z27"/>
    </row>
    <row r="28" spans="1:26" ht="15.75" customHeight="1" x14ac:dyDescent="0.35">
      <c r="A28" s="93" t="s">
        <v>21</v>
      </c>
      <c r="B28" s="93"/>
      <c r="C28" s="93"/>
      <c r="D28" s="93"/>
      <c r="E28" s="111" t="str">
        <f>IF(AND(G20="Mumbai"),"Developed","Developing")</f>
        <v>Developed</v>
      </c>
      <c r="F28" s="111"/>
      <c r="G28" s="111"/>
      <c r="H28" s="111"/>
    </row>
    <row r="29" spans="1:26" x14ac:dyDescent="0.35">
      <c r="A29" s="93" t="s">
        <v>22</v>
      </c>
      <c r="B29" s="93"/>
      <c r="C29" s="93"/>
      <c r="D29" s="93"/>
      <c r="E29" s="111" t="s">
        <v>23</v>
      </c>
      <c r="F29" s="111"/>
      <c r="G29" s="111"/>
      <c r="H29" s="111"/>
    </row>
    <row r="30" spans="1:26" ht="15.75" customHeight="1" x14ac:dyDescent="0.35">
      <c r="A30" s="93" t="s">
        <v>77</v>
      </c>
      <c r="B30" s="93"/>
      <c r="C30" s="93"/>
      <c r="D30" s="93"/>
      <c r="E30" s="111" t="s">
        <v>78</v>
      </c>
      <c r="F30" s="111"/>
      <c r="G30" s="111"/>
      <c r="H30" s="111"/>
    </row>
    <row r="31" spans="1:26" ht="15" customHeight="1" x14ac:dyDescent="0.35">
      <c r="A31" s="93" t="s">
        <v>30</v>
      </c>
      <c r="B31" s="93"/>
      <c r="C31" s="93"/>
      <c r="D31" s="93"/>
      <c r="E31" s="111"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Commercial</v>
      </c>
      <c r="F31" s="111"/>
      <c r="G31" s="111"/>
      <c r="H31" s="111"/>
    </row>
    <row r="32" spans="1:26" ht="15.75" customHeight="1" x14ac:dyDescent="0.35">
      <c r="A32" s="93" t="s">
        <v>87</v>
      </c>
      <c r="B32" s="93"/>
      <c r="C32" s="93"/>
      <c r="D32" s="93"/>
      <c r="E32" s="111" t="s">
        <v>31</v>
      </c>
      <c r="F32" s="111"/>
      <c r="G32" s="111"/>
      <c r="H32" s="111"/>
    </row>
    <row r="33" spans="1:19" s="18" customFormat="1" x14ac:dyDescent="0.35">
      <c r="A33" s="169" t="s">
        <v>88</v>
      </c>
      <c r="B33" s="169"/>
      <c r="C33" s="168" t="s">
        <v>173</v>
      </c>
      <c r="D33" s="168"/>
      <c r="E33" s="168"/>
      <c r="F33" s="168" t="s">
        <v>29</v>
      </c>
      <c r="G33" s="168"/>
      <c r="H33" s="168"/>
      <c r="S33" s="18" t="e">
        <f ca="1">OFFSET($S$13,1,MATCH($G20,$S$13:$W$13,0)-1,15,1)</f>
        <v>#VALUE!</v>
      </c>
    </row>
    <row r="34" spans="1:19" s="18" customFormat="1" x14ac:dyDescent="0.35">
      <c r="A34" s="166" t="s">
        <v>24</v>
      </c>
      <c r="B34" s="166" t="s">
        <v>28</v>
      </c>
      <c r="C34" s="167" t="s">
        <v>368</v>
      </c>
      <c r="D34" s="167"/>
      <c r="E34" s="167"/>
      <c r="F34" s="167" t="s">
        <v>361</v>
      </c>
      <c r="G34" s="167"/>
      <c r="H34" s="167"/>
    </row>
    <row r="35" spans="1:19" x14ac:dyDescent="0.35">
      <c r="A35" s="166" t="s">
        <v>25</v>
      </c>
      <c r="B35" s="166" t="s">
        <v>28</v>
      </c>
      <c r="C35" s="167" t="s">
        <v>367</v>
      </c>
      <c r="D35" s="167"/>
      <c r="E35" s="167"/>
      <c r="F35" s="167" t="s">
        <v>359</v>
      </c>
      <c r="G35" s="167"/>
      <c r="H35" s="167"/>
    </row>
    <row r="36" spans="1:19" s="18" customFormat="1" x14ac:dyDescent="0.35">
      <c r="A36" s="166" t="s">
        <v>27</v>
      </c>
      <c r="B36" s="166" t="s">
        <v>28</v>
      </c>
      <c r="C36" s="167" t="s">
        <v>369</v>
      </c>
      <c r="D36" s="167"/>
      <c r="E36" s="167"/>
      <c r="F36" s="167" t="s">
        <v>370</v>
      </c>
      <c r="G36" s="167"/>
      <c r="H36" s="167"/>
    </row>
    <row r="37" spans="1:19" x14ac:dyDescent="0.35">
      <c r="A37" s="166" t="s">
        <v>26</v>
      </c>
      <c r="B37" s="166" t="s">
        <v>28</v>
      </c>
      <c r="C37" s="167" t="s">
        <v>368</v>
      </c>
      <c r="D37" s="167"/>
      <c r="E37" s="167"/>
      <c r="F37" s="167" t="s">
        <v>361</v>
      </c>
      <c r="G37" s="167"/>
      <c r="H37" s="167"/>
    </row>
    <row r="38" spans="1:19" x14ac:dyDescent="0.35">
      <c r="A38" s="93" t="s">
        <v>279</v>
      </c>
      <c r="B38" s="93"/>
      <c r="C38" s="93"/>
      <c r="D38" s="93"/>
      <c r="E38" s="93"/>
      <c r="F38" s="93"/>
      <c r="G38" s="93"/>
      <c r="H38" s="93"/>
    </row>
    <row r="39" spans="1:19" ht="15.75" customHeight="1" x14ac:dyDescent="0.35">
      <c r="A39" s="93" t="s">
        <v>165</v>
      </c>
      <c r="B39" s="93"/>
      <c r="C39" s="155" t="s">
        <v>411</v>
      </c>
      <c r="D39" s="155"/>
      <c r="E39" s="155"/>
      <c r="F39" s="155"/>
      <c r="G39" s="155"/>
      <c r="H39" s="155"/>
    </row>
    <row r="40" spans="1:19" x14ac:dyDescent="0.35">
      <c r="A40" s="93" t="s">
        <v>161</v>
      </c>
      <c r="B40" s="93"/>
      <c r="C40" s="199" t="s">
        <v>412</v>
      </c>
      <c r="D40" s="111"/>
      <c r="E40" s="111"/>
      <c r="F40" s="111"/>
      <c r="G40" s="111"/>
      <c r="H40" s="111"/>
    </row>
    <row r="41" spans="1:19" x14ac:dyDescent="0.35">
      <c r="A41" s="161" t="s">
        <v>32</v>
      </c>
      <c r="B41" s="161"/>
      <c r="C41" s="161"/>
      <c r="D41" s="161"/>
      <c r="E41" s="161"/>
      <c r="F41" s="161"/>
      <c r="G41" s="161"/>
      <c r="H41" s="161"/>
    </row>
    <row r="42" spans="1:19" x14ac:dyDescent="0.35">
      <c r="A42" s="93" t="s">
        <v>33</v>
      </c>
      <c r="B42" s="93"/>
      <c r="C42" s="93"/>
      <c r="D42" s="93"/>
      <c r="E42" s="177">
        <v>44812.91</v>
      </c>
      <c r="F42" s="177"/>
      <c r="G42" s="177"/>
      <c r="H42" s="177"/>
    </row>
    <row r="43" spans="1:19" x14ac:dyDescent="0.35">
      <c r="A43" s="93" t="s">
        <v>34</v>
      </c>
      <c r="B43" s="93"/>
      <c r="C43" s="93"/>
      <c r="D43" s="93"/>
      <c r="E43" s="104">
        <f>146619.61/E42</f>
        <v>3.2718163136471157</v>
      </c>
      <c r="F43" s="104"/>
      <c r="G43" s="104"/>
      <c r="H43" s="104"/>
      <c r="I43" s="93" t="s">
        <v>34</v>
      </c>
      <c r="J43" s="93"/>
      <c r="K43" s="93"/>
      <c r="L43" s="93"/>
    </row>
    <row r="44" spans="1:19" x14ac:dyDescent="0.35">
      <c r="A44" s="93" t="s">
        <v>35</v>
      </c>
      <c r="B44" s="93"/>
      <c r="C44" s="93"/>
      <c r="D44" s="93"/>
      <c r="E44" s="104">
        <f>E46/E42-E43</f>
        <v>0.35031735274500209</v>
      </c>
      <c r="F44" s="104"/>
      <c r="G44" s="104"/>
      <c r="H44" s="104"/>
    </row>
    <row r="45" spans="1:19" x14ac:dyDescent="0.35">
      <c r="A45" s="93" t="s">
        <v>36</v>
      </c>
      <c r="B45" s="93"/>
      <c r="C45" s="93"/>
      <c r="D45" s="93"/>
      <c r="E45" s="104">
        <f>E43+E44</f>
        <v>3.6221336663921178</v>
      </c>
      <c r="F45" s="104"/>
      <c r="G45" s="104"/>
      <c r="H45" s="104"/>
    </row>
    <row r="46" spans="1:19" x14ac:dyDescent="0.35">
      <c r="A46" s="93" t="s">
        <v>401</v>
      </c>
      <c r="B46" s="93"/>
      <c r="C46" s="93"/>
      <c r="D46" s="93"/>
      <c r="E46" s="202">
        <v>162318.35</v>
      </c>
      <c r="F46" s="202"/>
      <c r="G46" s="202"/>
      <c r="H46" s="202"/>
    </row>
    <row r="47" spans="1:19" x14ac:dyDescent="0.35">
      <c r="A47" s="121" t="s">
        <v>37</v>
      </c>
      <c r="B47" s="121"/>
      <c r="C47" s="121"/>
      <c r="D47" s="121"/>
      <c r="E47" s="121" t="s">
        <v>117</v>
      </c>
      <c r="F47" s="121"/>
      <c r="G47" s="121"/>
      <c r="H47" s="121"/>
    </row>
    <row r="48" spans="1:19" x14ac:dyDescent="0.35">
      <c r="A48" s="155" t="s">
        <v>38</v>
      </c>
      <c r="B48" s="155"/>
      <c r="C48" s="155"/>
      <c r="D48" s="155"/>
      <c r="E48" s="155"/>
      <c r="F48" s="155"/>
      <c r="G48" s="155"/>
      <c r="H48" s="155"/>
    </row>
    <row r="49" spans="1:24" ht="33.75" customHeight="1" x14ac:dyDescent="0.35">
      <c r="A49" s="106" t="s">
        <v>151</v>
      </c>
      <c r="B49" s="107"/>
      <c r="C49" s="170" t="s">
        <v>253</v>
      </c>
      <c r="D49" s="171"/>
      <c r="E49" s="171"/>
      <c r="F49" s="171"/>
      <c r="G49" s="171"/>
      <c r="H49" s="172"/>
      <c r="R49" t="s">
        <v>252</v>
      </c>
      <c r="S49" s="50" t="s">
        <v>172</v>
      </c>
      <c r="T49" s="50" t="s">
        <v>178</v>
      </c>
      <c r="U49" s="50" t="s">
        <v>192</v>
      </c>
      <c r="V49" s="50" t="s">
        <v>187</v>
      </c>
    </row>
    <row r="50" spans="1:24" ht="30.75" customHeight="1" x14ac:dyDescent="0.35">
      <c r="A50" s="106" t="s">
        <v>39</v>
      </c>
      <c r="B50" s="107"/>
      <c r="C50" s="106" t="s">
        <v>362</v>
      </c>
      <c r="D50" s="108"/>
      <c r="E50" s="107"/>
      <c r="F50" s="15" t="s">
        <v>40</v>
      </c>
      <c r="G50" s="173">
        <v>45471</v>
      </c>
      <c r="H50" s="107"/>
      <c r="R50"/>
      <c r="S50" s="50" t="s">
        <v>253</v>
      </c>
      <c r="T50" s="50" t="s">
        <v>258</v>
      </c>
      <c r="U50" s="50" t="s">
        <v>269</v>
      </c>
      <c r="V50" s="50" t="s">
        <v>274</v>
      </c>
    </row>
    <row r="51" spans="1:24" ht="30.75" customHeight="1" x14ac:dyDescent="0.35">
      <c r="A51" s="106" t="s">
        <v>41</v>
      </c>
      <c r="B51" s="107"/>
      <c r="C51" s="106" t="str">
        <f>C50</f>
        <v>F-N/MCGM/0015/20200623/AP/B-7/Amended Plans</v>
      </c>
      <c r="D51" s="108"/>
      <c r="E51" s="107"/>
      <c r="F51" s="15" t="s">
        <v>40</v>
      </c>
      <c r="G51" s="173">
        <f>G50</f>
        <v>45471</v>
      </c>
      <c r="H51" s="107"/>
      <c r="R51"/>
      <c r="S51" s="50" t="s">
        <v>254</v>
      </c>
      <c r="T51" s="50" t="s">
        <v>259</v>
      </c>
      <c r="U51" s="50" t="s">
        <v>267</v>
      </c>
      <c r="V51" s="50" t="s">
        <v>275</v>
      </c>
    </row>
    <row r="52" spans="1:24" s="19" customFormat="1" x14ac:dyDescent="0.35">
      <c r="A52" s="182" t="s">
        <v>155</v>
      </c>
      <c r="B52" s="183"/>
      <c r="C52" s="106" t="s">
        <v>363</v>
      </c>
      <c r="D52" s="108"/>
      <c r="E52" s="107"/>
      <c r="F52" s="15" t="s">
        <v>40</v>
      </c>
      <c r="G52" s="173">
        <v>45451</v>
      </c>
      <c r="H52" s="107"/>
      <c r="R52"/>
      <c r="S52" s="50" t="s">
        <v>255</v>
      </c>
      <c r="T52" s="50" t="s">
        <v>260</v>
      </c>
      <c r="U52" s="50" t="s">
        <v>257</v>
      </c>
      <c r="V52" s="50" t="s">
        <v>276</v>
      </c>
    </row>
    <row r="53" spans="1:24" s="19" customFormat="1" ht="66.75" customHeight="1" x14ac:dyDescent="0.35">
      <c r="A53" s="184"/>
      <c r="B53" s="185"/>
      <c r="C53" s="131" t="s">
        <v>408</v>
      </c>
      <c r="D53" s="132"/>
      <c r="E53" s="132"/>
      <c r="F53" s="132"/>
      <c r="G53" s="132"/>
      <c r="H53" s="133"/>
      <c r="R53"/>
      <c r="S53" s="50" t="s">
        <v>256</v>
      </c>
      <c r="T53" s="50" t="s">
        <v>263</v>
      </c>
      <c r="U53" s="50" t="s">
        <v>270</v>
      </c>
      <c r="V53" s="70"/>
    </row>
    <row r="54" spans="1:24" s="19" customFormat="1" ht="32.25" customHeight="1" x14ac:dyDescent="0.35">
      <c r="A54" s="127" t="s">
        <v>280</v>
      </c>
      <c r="B54" s="128"/>
      <c r="C54" s="131" t="s">
        <v>407</v>
      </c>
      <c r="D54" s="132"/>
      <c r="E54" s="133"/>
      <c r="F54" s="81" t="s">
        <v>40</v>
      </c>
      <c r="G54" s="134">
        <v>45480</v>
      </c>
      <c r="H54" s="133"/>
      <c r="R54"/>
      <c r="S54" s="50" t="s">
        <v>255</v>
      </c>
      <c r="T54" s="50" t="s">
        <v>260</v>
      </c>
      <c r="U54" s="50" t="s">
        <v>257</v>
      </c>
      <c r="V54" s="50" t="s">
        <v>276</v>
      </c>
    </row>
    <row r="55" spans="1:24" s="19" customFormat="1" ht="36" customHeight="1" x14ac:dyDescent="0.35">
      <c r="A55" s="129"/>
      <c r="B55" s="130"/>
      <c r="C55" s="189" t="s">
        <v>410</v>
      </c>
      <c r="D55" s="190"/>
      <c r="E55" s="190"/>
      <c r="F55" s="190"/>
      <c r="G55" s="190"/>
      <c r="H55" s="191"/>
      <c r="R55"/>
      <c r="S55" s="50" t="s">
        <v>257</v>
      </c>
      <c r="T55" s="50" t="s">
        <v>261</v>
      </c>
      <c r="U55" s="50" t="s">
        <v>271</v>
      </c>
      <c r="V55" s="71"/>
      <c r="W55" s="17"/>
      <c r="X55" s="17"/>
    </row>
    <row r="56" spans="1:24" s="19" customFormat="1" x14ac:dyDescent="0.35">
      <c r="A56" s="127" t="s">
        <v>281</v>
      </c>
      <c r="B56" s="128"/>
      <c r="C56" s="131" t="s">
        <v>404</v>
      </c>
      <c r="D56" s="132"/>
      <c r="E56" s="133"/>
      <c r="F56" s="81" t="s">
        <v>40</v>
      </c>
      <c r="G56" s="134">
        <v>45027</v>
      </c>
      <c r="H56" s="133"/>
      <c r="R56"/>
      <c r="S56" s="71"/>
      <c r="T56" s="50" t="s">
        <v>262</v>
      </c>
      <c r="U56" s="50" t="s">
        <v>272</v>
      </c>
      <c r="V56" s="71"/>
      <c r="W56" s="17"/>
      <c r="X56" s="17"/>
    </row>
    <row r="57" spans="1:24" s="19" customFormat="1" ht="33" customHeight="1" x14ac:dyDescent="0.35">
      <c r="A57" s="129"/>
      <c r="B57" s="130"/>
      <c r="C57" s="131" t="s">
        <v>405</v>
      </c>
      <c r="D57" s="132"/>
      <c r="E57" s="132"/>
      <c r="F57" s="132"/>
      <c r="G57" s="132"/>
      <c r="H57" s="133"/>
      <c r="I57" s="19" t="s">
        <v>406</v>
      </c>
      <c r="R57"/>
      <c r="S57" s="71"/>
      <c r="T57" s="50" t="s">
        <v>264</v>
      </c>
      <c r="U57" s="50" t="s">
        <v>273</v>
      </c>
      <c r="V57" s="71"/>
      <c r="W57" s="17"/>
      <c r="X57" s="17"/>
    </row>
    <row r="58" spans="1:24" s="19" customFormat="1" ht="15.75" hidden="1" customHeight="1" x14ac:dyDescent="0.35">
      <c r="A58" s="178" t="s">
        <v>282</v>
      </c>
      <c r="B58" s="179"/>
      <c r="C58" s="106" t="str">
        <f>C57</f>
        <v xml:space="preserve">S.C No.6 (Pt) Of F/North Ward
</v>
      </c>
      <c r="D58" s="108"/>
      <c r="E58" s="107"/>
      <c r="F58" s="15" t="s">
        <v>40</v>
      </c>
      <c r="G58" s="106">
        <f>G57</f>
        <v>0</v>
      </c>
      <c r="H58" s="107"/>
      <c r="R58"/>
      <c r="S58" s="71"/>
      <c r="T58" s="50" t="s">
        <v>265</v>
      </c>
      <c r="U58" s="71" t="s">
        <v>296</v>
      </c>
      <c r="V58" s="71"/>
      <c r="W58" s="17"/>
      <c r="X58" s="17"/>
    </row>
    <row r="59" spans="1:24" s="19" customFormat="1" ht="33.75" hidden="1" customHeight="1" x14ac:dyDescent="0.35">
      <c r="A59" s="180"/>
      <c r="B59" s="181"/>
      <c r="C59" s="106"/>
      <c r="D59" s="108"/>
      <c r="E59" s="108"/>
      <c r="F59" s="108"/>
      <c r="G59" s="108"/>
      <c r="H59" s="107"/>
      <c r="R59"/>
      <c r="S59" s="71"/>
      <c r="T59" s="50" t="s">
        <v>266</v>
      </c>
      <c r="U59" s="71"/>
      <c r="V59" s="71"/>
      <c r="W59" s="17"/>
      <c r="X59" s="17"/>
    </row>
    <row r="60" spans="1:24" x14ac:dyDescent="0.35">
      <c r="A60" s="117" t="s">
        <v>42</v>
      </c>
      <c r="B60" s="118"/>
      <c r="C60" s="117" t="s">
        <v>100</v>
      </c>
      <c r="D60" s="119"/>
      <c r="E60" s="118"/>
      <c r="F60" s="39" t="s">
        <v>40</v>
      </c>
      <c r="G60" s="125" t="s">
        <v>28</v>
      </c>
      <c r="H60" s="126"/>
      <c r="R60"/>
      <c r="S60" s="71"/>
      <c r="T60" s="50" t="s">
        <v>268</v>
      </c>
      <c r="U60" s="71"/>
      <c r="V60" s="71"/>
    </row>
    <row r="61" spans="1:24" x14ac:dyDescent="0.35">
      <c r="A61" s="174" t="s">
        <v>44</v>
      </c>
      <c r="B61" s="174"/>
      <c r="C61" s="174"/>
      <c r="D61" s="174"/>
      <c r="E61" s="174"/>
      <c r="F61" s="174"/>
      <c r="G61" s="174"/>
      <c r="H61" s="174"/>
      <c r="S61" s="71"/>
      <c r="T61" s="50" t="s">
        <v>277</v>
      </c>
      <c r="U61" s="71"/>
      <c r="V61" s="71"/>
    </row>
    <row r="62" spans="1:24" ht="33.75" customHeight="1" x14ac:dyDescent="0.35">
      <c r="A62" s="111" t="s">
        <v>402</v>
      </c>
      <c r="B62" s="111"/>
      <c r="C62" s="111"/>
      <c r="D62" s="120">
        <f>E46</f>
        <v>162318.35</v>
      </c>
      <c r="E62" s="121"/>
      <c r="F62" s="121"/>
      <c r="G62" s="121"/>
      <c r="H62" s="121"/>
      <c r="R62"/>
    </row>
    <row r="63" spans="1:24" x14ac:dyDescent="0.35">
      <c r="A63" s="111" t="s">
        <v>45</v>
      </c>
      <c r="B63" s="121"/>
      <c r="C63" s="121"/>
      <c r="D63" s="121" t="s">
        <v>403</v>
      </c>
      <c r="E63" s="121"/>
      <c r="F63" s="121"/>
      <c r="G63" s="121"/>
      <c r="H63" s="121"/>
      <c r="I63" s="210" t="s">
        <v>148</v>
      </c>
      <c r="J63" s="210"/>
      <c r="K63" s="210"/>
      <c r="L63" s="210"/>
      <c r="M63" s="210"/>
      <c r="R63"/>
    </row>
    <row r="64" spans="1:24" x14ac:dyDescent="0.35">
      <c r="A64" s="111" t="s">
        <v>46</v>
      </c>
      <c r="B64" s="111"/>
      <c r="C64" s="111"/>
      <c r="D64" s="163" t="s">
        <v>372</v>
      </c>
      <c r="E64" s="164"/>
      <c r="F64" s="164"/>
      <c r="G64" s="164"/>
      <c r="H64" s="164"/>
      <c r="R64"/>
    </row>
    <row r="65" spans="1:19" x14ac:dyDescent="0.35">
      <c r="A65" s="111" t="s">
        <v>85</v>
      </c>
      <c r="B65" s="111"/>
      <c r="C65" s="111"/>
      <c r="D65" s="163" t="s">
        <v>372</v>
      </c>
      <c r="E65" s="164"/>
      <c r="F65" s="164"/>
      <c r="G65" s="164"/>
      <c r="H65" s="164"/>
      <c r="R65"/>
    </row>
    <row r="66" spans="1:19" ht="15.75" customHeight="1" x14ac:dyDescent="0.35">
      <c r="A66" s="93" t="s">
        <v>43</v>
      </c>
      <c r="B66" s="93"/>
      <c r="C66" s="93"/>
      <c r="D66" s="110" t="s">
        <v>364</v>
      </c>
      <c r="E66" s="110"/>
      <c r="F66" s="110"/>
      <c r="G66" s="110"/>
      <c r="H66" s="110"/>
      <c r="J66" s="21"/>
      <c r="K66" s="20"/>
      <c r="N66" s="20"/>
      <c r="S66"/>
    </row>
    <row r="67" spans="1:19" ht="15.75" customHeight="1" x14ac:dyDescent="0.35">
      <c r="A67" s="93" t="s">
        <v>83</v>
      </c>
      <c r="B67" s="93"/>
      <c r="C67" s="93"/>
      <c r="D67" s="201" t="str">
        <f>(IF(G60="NA","60 Years After Completion",IF(G60&lt;&gt;"NA",""&amp;60-ROUNDDOWN((E3-G60)/360,0)&amp;" Years"," ")))</f>
        <v>60 Years After Completion</v>
      </c>
      <c r="E67" s="201"/>
      <c r="F67" s="201"/>
      <c r="G67" s="201"/>
      <c r="H67" s="201"/>
      <c r="N67" s="20"/>
      <c r="S67"/>
    </row>
    <row r="68" spans="1:19" ht="15.75" customHeight="1" x14ac:dyDescent="0.35">
      <c r="A68" s="93" t="s">
        <v>84</v>
      </c>
      <c r="B68" s="93"/>
      <c r="C68" s="93"/>
      <c r="D68" s="110" t="s">
        <v>23</v>
      </c>
      <c r="E68" s="110"/>
      <c r="F68" s="110"/>
      <c r="G68" s="110"/>
      <c r="H68" s="110"/>
      <c r="J68" s="22"/>
      <c r="K68" s="22"/>
      <c r="S68"/>
    </row>
    <row r="69" spans="1:19" ht="46.5" customHeight="1" x14ac:dyDescent="0.35">
      <c r="A69" s="164" t="s">
        <v>391</v>
      </c>
      <c r="B69" s="164"/>
      <c r="C69" s="164"/>
      <c r="D69" s="163" t="s">
        <v>400</v>
      </c>
      <c r="E69" s="163"/>
      <c r="F69" s="163"/>
      <c r="G69" s="163"/>
      <c r="H69" s="163"/>
      <c r="S69"/>
    </row>
    <row r="70" spans="1:19" x14ac:dyDescent="0.35">
      <c r="A70" s="110" t="s">
        <v>146</v>
      </c>
      <c r="B70" s="110"/>
      <c r="C70" s="110"/>
      <c r="D70" s="110" t="s">
        <v>28</v>
      </c>
      <c r="E70" s="110"/>
      <c r="F70" s="110"/>
      <c r="G70" s="110"/>
      <c r="H70" s="110"/>
      <c r="I70" s="23"/>
      <c r="J70" s="23"/>
      <c r="K70" s="23"/>
      <c r="L70" s="23"/>
      <c r="M70" s="23"/>
      <c r="N70" s="23"/>
    </row>
    <row r="71" spans="1:19" ht="15.75" customHeight="1" x14ac:dyDescent="0.35">
      <c r="A71" s="93" t="s">
        <v>82</v>
      </c>
      <c r="B71" s="93"/>
      <c r="C71" s="93"/>
      <c r="D71" s="111" t="str">
        <f ca="1">(IF(G77&gt;95%,"Nothing",IF(G77&gt;0%,"Cement, Aggregate, Steel, etc",IF(G77=0%,"Work not yet Started"))))</f>
        <v>Cement, Aggregate, Steel, etc</v>
      </c>
      <c r="E71" s="111"/>
      <c r="F71" s="111"/>
      <c r="G71" s="111"/>
      <c r="H71" s="111"/>
      <c r="J71" s="22"/>
      <c r="S71"/>
    </row>
    <row r="72" spans="1:19" ht="33.75" customHeight="1" thickBot="1" x14ac:dyDescent="0.4">
      <c r="A72" s="110" t="s">
        <v>113</v>
      </c>
      <c r="B72" s="110"/>
      <c r="C72" s="110"/>
      <c r="D72" s="111" t="str">
        <f ca="1">(IF(D71="Nothing","Yes",IF(D71="Cement, Aggregate, Steel, etc","Under Construction",IF(D71="Work not yet Started","Work not yet Started"))))</f>
        <v>Under Construction</v>
      </c>
      <c r="E72" s="111"/>
      <c r="F72" s="111" t="str">
        <f ca="1">(IF(D71="Nothing","Yes",IF(D71="Cement, Aggregate, Steel, etc","Under Construction",IF(D71="Work not yet Started","Work not yet Started"))))</f>
        <v>Under Construction</v>
      </c>
      <c r="G72" s="111"/>
      <c r="H72" s="111"/>
      <c r="S72"/>
    </row>
    <row r="73" spans="1:19" ht="15.75" customHeight="1" x14ac:dyDescent="0.35">
      <c r="A73" s="176" t="s">
        <v>136</v>
      </c>
      <c r="B73" s="176"/>
      <c r="C73" s="176" t="str">
        <f>D65</f>
        <v>Sale Building No.7 = 4B + Gr + P1 to P10 + 11th to 18th Floor</v>
      </c>
      <c r="D73" s="176"/>
      <c r="E73" s="176"/>
      <c r="F73" s="176"/>
      <c r="G73" s="176"/>
      <c r="H73" s="176"/>
      <c r="I73" s="87" t="str">
        <f ca="1">IF(D86=100%,"All work Completed. Possession granted to the Building.",IF(D85=100%,"All work Completed, Waiting for OC",I74&amp;""&amp;I75&amp;""&amp;J74&amp;""&amp;J73&amp;" "&amp;J75))</f>
        <v xml:space="preserve">Excavation Completed, Footing work is process </v>
      </c>
      <c r="J73" s="41" t="str">
        <f ca="1">(IF(C79=(D74+F74+H74),"",IF(C79&gt;0,", RCC upto "&amp;C79&amp;" Slab","")))&amp;(IF(C80=H74,"",IF(C80&gt;0,", Brickwork upto "&amp;C80&amp;" Floor","")))&amp;(IF(C81=H74,"",IF(C81&gt;0,", Internal Plaster upto "&amp;C81&amp;" Floor","")))&amp;(IF(C82=H74,"",IF(C82&gt;0,", External Plaster upto "&amp;C82&amp;" Floor","")))&amp;(IF(C83=H74,"",IF(C83&gt;0,", Flooring upto "&amp;C83&amp;" Floor","")))&amp;(IF(C84=H74,"",IF(C84&gt;0,", Painting upto "&amp;C84&amp;" Floor","")))&amp;(IF(C85=H74,"",IF(C85&gt;0,", Finishing upto "&amp;C85&amp;" Floor","")))&amp;(IF(C86=H74,"",IF(C86&gt;0,", Possession upto "&amp;C86&amp;" Floor","")))</f>
        <v/>
      </c>
      <c r="S73"/>
    </row>
    <row r="74" spans="1:19" x14ac:dyDescent="0.35">
      <c r="A74" s="82" t="s">
        <v>138</v>
      </c>
      <c r="B74" s="82">
        <f>IF(AND(ISNUMBER(SEARCH("1B",C73))),1,IF(AND(ISNUMBER(SEARCH("2B",C73))),2,IF(AND(ISNUMBER(SEARCH("3B",C73))),3,IF(AND(ISNUMBER(SEARCH("4B",C73))),4,IF(ISNUMBER(SEARCH("5B",C73)),5,0)))))</f>
        <v>4</v>
      </c>
      <c r="C74" s="82" t="s">
        <v>68</v>
      </c>
      <c r="D74" s="82">
        <v>1</v>
      </c>
      <c r="E74" s="82" t="s">
        <v>67</v>
      </c>
      <c r="F74" s="82">
        <v>0</v>
      </c>
      <c r="G74" s="82" t="s">
        <v>76</v>
      </c>
      <c r="H74" s="82">
        <f ca="1">--TRIM(RIGHT(SUBSTITUTE(LEFT(C73,_xlfn.AGGREGATE(16,6,FIND({0,1,2,3,4,5,6,7,8,9},C73,ROW(INDIRECT("1:"&amp;LEN(C73)))),1))," ",REPT(" ",LEN(C73))),LEN(C73)))</f>
        <v>18</v>
      </c>
      <c r="I74" s="89" t="str">
        <f ca="1">IF(D77=100%,"Excavation","")&amp;IF(D78=100%,", Plinth","")&amp;IF(D79=100%,", RCC Slab","")&amp;IF(D80=100%,", Brickwork","")&amp;IF(D81=100%,", Internal Plaster","")&amp;IF(D82=100%,", External Plaster","")&amp;IF(D83=100%,", Flooring","")&amp;IF(D84=100%,", Painting","")&amp;IF(D85=100%,", Building common Amenities","")</f>
        <v>Excavation</v>
      </c>
      <c r="J74" s="42" t="str">
        <f ca="1">(IF(C77=0,"Work not yet Started.",IF(D77=25%,"Piling work in process",IF(D77=50%,"Excavation work in process",IF(D77=100%,"","0")))))&amp;(IF(C78=0%,"",IF(C78=J79,", Footing work is process",IF(C78=J80,", Footing work Completed",IF(C78=J81,", 1st Basement Completed",IF(C78=J82,", 1st &amp; 2nd Basement Completed",IF(C78=J83,", 1st to 3rd Basement Completed",IF(C78=J84,", 1st to 4th Basement Completed",IF(C78=J85,", Plinth work is process",IF(C78=J86,"","0"))))))))))</f>
        <v>, Footing work is process</v>
      </c>
      <c r="S74"/>
    </row>
    <row r="75" spans="1:19" x14ac:dyDescent="0.35">
      <c r="A75" s="175" t="s">
        <v>86</v>
      </c>
      <c r="B75" s="175"/>
      <c r="C75" s="176" t="str">
        <f ca="1">I73</f>
        <v xml:space="preserve">Excavation Completed, Footing work is process </v>
      </c>
      <c r="D75" s="176"/>
      <c r="E75" s="176"/>
      <c r="F75" s="176"/>
      <c r="G75" s="176"/>
      <c r="H75" s="176"/>
      <c r="I75" s="89" t="str">
        <f ca="1">IF(I74&lt;&gt;""," Completed","")</f>
        <v xml:space="preserve"> Completed</v>
      </c>
      <c r="J75" s="42" t="str">
        <f ca="1">IF(J73&lt;&gt;"","Completed","")</f>
        <v/>
      </c>
      <c r="S75"/>
    </row>
    <row r="76" spans="1:19" ht="15.75" customHeight="1" x14ac:dyDescent="0.35">
      <c r="A76" s="105" t="s">
        <v>47</v>
      </c>
      <c r="B76" s="105"/>
      <c r="C76" s="88" t="s">
        <v>135</v>
      </c>
      <c r="D76" s="88" t="s">
        <v>79</v>
      </c>
      <c r="E76" s="105" t="s">
        <v>81</v>
      </c>
      <c r="F76" s="105"/>
      <c r="G76" s="105" t="s">
        <v>80</v>
      </c>
      <c r="H76" s="105"/>
      <c r="I76" s="13" t="s">
        <v>137</v>
      </c>
      <c r="J76" s="24">
        <f ca="1">H74*25%</f>
        <v>4.5</v>
      </c>
      <c r="S76"/>
    </row>
    <row r="77" spans="1:19" x14ac:dyDescent="0.35">
      <c r="A77" s="105" t="s">
        <v>124</v>
      </c>
      <c r="B77" s="105"/>
      <c r="C77" s="88">
        <f ca="1">J78</f>
        <v>18</v>
      </c>
      <c r="D77" s="16">
        <f ca="1">((100/H74)*C77)/100</f>
        <v>1</v>
      </c>
      <c r="E77" s="211">
        <f ca="1">(((C78/H74*10)+(40/(D74+F74+H74)*C79)+(7.5/(H74)*C80)+(7.5/(H74)*C81)+(10/H74*C82)+(10/H74*C83)+(5/H74*C84)+(5/H74*C85)+(5/H74*C86))/100)</f>
        <v>1.6666666666666666E-2</v>
      </c>
      <c r="F77" s="211"/>
      <c r="G77" s="211">
        <f ca="1">((((C77/H74)*20)+((C78/H74)*25)+(30/(H74+F74+D74)*C79)+(5/H74*C80)+(5/H74*C81)+(5/H74*C82)+(5/H74*C83)+(0/H74*C84)+(0/H74*C85)+(5/H74*C86))/100)</f>
        <v>0.24166666666666664</v>
      </c>
      <c r="H77" s="211"/>
      <c r="I77" s="13" t="s">
        <v>95</v>
      </c>
      <c r="J77" s="25">
        <f ca="1">H74*50%</f>
        <v>9</v>
      </c>
    </row>
    <row r="78" spans="1:19" x14ac:dyDescent="0.35">
      <c r="A78" s="105" t="s">
        <v>48</v>
      </c>
      <c r="B78" s="105"/>
      <c r="C78" s="220">
        <f ca="1">J79</f>
        <v>3</v>
      </c>
      <c r="D78" s="16">
        <f ca="1">((100/H74)*C78)/100</f>
        <v>0.16666666666666663</v>
      </c>
      <c r="E78" s="211"/>
      <c r="F78" s="211"/>
      <c r="G78" s="211"/>
      <c r="H78" s="211"/>
      <c r="I78" s="13" t="s">
        <v>96</v>
      </c>
      <c r="J78" s="25">
        <f ca="1">H74</f>
        <v>18</v>
      </c>
      <c r="S78"/>
    </row>
    <row r="79" spans="1:19" ht="15.75" customHeight="1" x14ac:dyDescent="0.35">
      <c r="A79" s="105" t="s">
        <v>125</v>
      </c>
      <c r="B79" s="105"/>
      <c r="C79" s="88">
        <v>0</v>
      </c>
      <c r="D79" s="16">
        <f ca="1">((100/(D74+F74+H74))*C79)/100</f>
        <v>0</v>
      </c>
      <c r="E79" s="211"/>
      <c r="F79" s="211"/>
      <c r="G79" s="211"/>
      <c r="H79" s="211"/>
      <c r="I79" s="13" t="s">
        <v>97</v>
      </c>
      <c r="J79" s="26">
        <f ca="1">(IF(B74&gt;1,(H74/(B74+2)),H74/4))</f>
        <v>3</v>
      </c>
      <c r="S79"/>
    </row>
    <row r="80" spans="1:19" ht="15.75" customHeight="1" x14ac:dyDescent="0.35">
      <c r="A80" s="105" t="s">
        <v>132</v>
      </c>
      <c r="B80" s="105" t="s">
        <v>126</v>
      </c>
      <c r="C80" s="88">
        <v>0</v>
      </c>
      <c r="D80" s="16">
        <f ca="1">((100/H74)*C80)/100</f>
        <v>0</v>
      </c>
      <c r="E80" s="211"/>
      <c r="F80" s="211"/>
      <c r="G80" s="211"/>
      <c r="H80" s="211"/>
      <c r="I80" s="13" t="s">
        <v>98</v>
      </c>
      <c r="J80" s="26">
        <f ca="1">(IF(B74&gt;1,(H74/(B74+2)+J79),H74/4+J79))</f>
        <v>6</v>
      </c>
    </row>
    <row r="81" spans="1:22" ht="15.75" customHeight="1" x14ac:dyDescent="0.35">
      <c r="A81" s="105" t="s">
        <v>133</v>
      </c>
      <c r="B81" s="105" t="s">
        <v>126</v>
      </c>
      <c r="C81" s="88">
        <v>0</v>
      </c>
      <c r="D81" s="16">
        <f ca="1">((100/H74)*C81)/100</f>
        <v>0</v>
      </c>
      <c r="E81" s="211"/>
      <c r="F81" s="211"/>
      <c r="G81" s="211"/>
      <c r="H81" s="211"/>
      <c r="I81" s="13" t="s">
        <v>144</v>
      </c>
      <c r="J81" s="26">
        <f ca="1">(IF(B74&gt;1,(H74/(B74+2)+J80),0))</f>
        <v>9</v>
      </c>
    </row>
    <row r="82" spans="1:22" ht="15" customHeight="1" x14ac:dyDescent="0.35">
      <c r="A82" s="105" t="s">
        <v>131</v>
      </c>
      <c r="B82" s="105" t="s">
        <v>128</v>
      </c>
      <c r="C82" s="88">
        <v>0</v>
      </c>
      <c r="D82" s="16">
        <f ca="1">((100/(H74))*C82)/100</f>
        <v>0</v>
      </c>
      <c r="E82" s="211"/>
      <c r="F82" s="211"/>
      <c r="G82" s="211"/>
      <c r="H82" s="211"/>
      <c r="I82" s="13" t="s">
        <v>139</v>
      </c>
      <c r="J82" s="26">
        <f ca="1">(IF(B74&gt;2,(H74/(B74+2)+J81),0))</f>
        <v>12</v>
      </c>
    </row>
    <row r="83" spans="1:22" ht="15.75" customHeight="1" x14ac:dyDescent="0.35">
      <c r="A83" s="105" t="s">
        <v>127</v>
      </c>
      <c r="B83" s="105" t="s">
        <v>127</v>
      </c>
      <c r="C83" s="88">
        <v>0</v>
      </c>
      <c r="D83" s="16">
        <f ca="1">((100/H74)*C83)/100</f>
        <v>0</v>
      </c>
      <c r="E83" s="211"/>
      <c r="F83" s="211"/>
      <c r="G83" s="211"/>
      <c r="H83" s="211"/>
      <c r="I83" s="13" t="s">
        <v>140</v>
      </c>
      <c r="J83" s="27">
        <f ca="1">(IF(B74&gt;3,(H74/(B74+2)+J82),0))</f>
        <v>15</v>
      </c>
    </row>
    <row r="84" spans="1:22" ht="15.75" customHeight="1" x14ac:dyDescent="0.35">
      <c r="A84" s="105" t="s">
        <v>134</v>
      </c>
      <c r="B84" s="105"/>
      <c r="C84" s="88">
        <v>0</v>
      </c>
      <c r="D84" s="16">
        <f ca="1">((100/H74)*C84)/100</f>
        <v>0</v>
      </c>
      <c r="E84" s="211"/>
      <c r="F84" s="211"/>
      <c r="G84" s="211"/>
      <c r="H84" s="211"/>
      <c r="I84" s="13" t="s">
        <v>141</v>
      </c>
      <c r="J84" s="26">
        <f>(IF(B74&gt;4,(H74/(B74+2)+J83),0))</f>
        <v>0</v>
      </c>
    </row>
    <row r="85" spans="1:22" ht="15.75" customHeight="1" x14ac:dyDescent="0.35">
      <c r="A85" s="105" t="s">
        <v>129</v>
      </c>
      <c r="B85" s="105" t="s">
        <v>129</v>
      </c>
      <c r="C85" s="88">
        <v>0</v>
      </c>
      <c r="D85" s="16">
        <f ca="1">((100/(H74))*C85)/100</f>
        <v>0</v>
      </c>
      <c r="E85" s="211"/>
      <c r="F85" s="211"/>
      <c r="G85" s="211"/>
      <c r="H85" s="211"/>
      <c r="I85" s="13" t="s">
        <v>145</v>
      </c>
      <c r="J85" s="26">
        <f>(IF(B74=1,(H74/(B74+3)+J80),IF(B74=0,(H74/4+J80),IF(B74&gt;1,0))))</f>
        <v>0</v>
      </c>
    </row>
    <row r="86" spans="1:22" ht="16" thickBot="1" x14ac:dyDescent="0.4">
      <c r="A86" s="105" t="s">
        <v>130</v>
      </c>
      <c r="B86" s="105"/>
      <c r="C86" s="88">
        <v>0</v>
      </c>
      <c r="D86" s="16">
        <f ca="1">((100/(H74))*C86)/100</f>
        <v>0</v>
      </c>
      <c r="E86" s="211"/>
      <c r="F86" s="211"/>
      <c r="G86" s="211"/>
      <c r="H86" s="211"/>
      <c r="I86" s="14" t="s">
        <v>99</v>
      </c>
      <c r="J86" s="28">
        <f ca="1">(IF(B74&gt;1.5,(H74/(B74+2)+J80+MAX(0,J81-J80)+MAX(0,J82-J81)+MAX(0,J83-J82)+MAX(0,J84-J83)+MAX(0,J85-J84)),IF(B74=1,(H74/(B74+3)+J85),IF(B74=0,H74/4+J85))))</f>
        <v>18</v>
      </c>
    </row>
    <row r="87" spans="1:22" x14ac:dyDescent="0.35">
      <c r="A87" s="212" t="s">
        <v>156</v>
      </c>
      <c r="B87" s="212"/>
      <c r="C87" s="212"/>
      <c r="D87" s="212"/>
      <c r="E87" s="212"/>
      <c r="F87" s="208" t="s">
        <v>160</v>
      </c>
      <c r="G87" s="208"/>
      <c r="H87" s="208"/>
      <c r="R87" t="s">
        <v>252</v>
      </c>
      <c r="S87" t="s">
        <v>172</v>
      </c>
      <c r="T87" t="s">
        <v>178</v>
      </c>
      <c r="U87" t="s">
        <v>192</v>
      </c>
      <c r="V87" t="s">
        <v>187</v>
      </c>
    </row>
    <row r="88" spans="1:22" hidden="1" x14ac:dyDescent="0.35">
      <c r="A88" s="93" t="s">
        <v>158</v>
      </c>
      <c r="B88" s="93"/>
      <c r="C88" s="93"/>
      <c r="D88" s="93"/>
      <c r="E88" s="93"/>
      <c r="F88" s="112"/>
      <c r="G88" s="112"/>
      <c r="H88" s="112"/>
      <c r="R88"/>
      <c r="S88">
        <v>800000</v>
      </c>
      <c r="T88">
        <v>150000</v>
      </c>
      <c r="U88">
        <v>100000</v>
      </c>
      <c r="V88">
        <v>100000</v>
      </c>
    </row>
    <row r="89" spans="1:22" hidden="1" x14ac:dyDescent="0.35">
      <c r="A89" s="93" t="s">
        <v>157</v>
      </c>
      <c r="B89" s="93"/>
      <c r="C89" s="93"/>
      <c r="D89" s="93"/>
      <c r="E89" s="93"/>
      <c r="F89" s="112"/>
      <c r="G89" s="112"/>
      <c r="H89" s="112"/>
      <c r="R89"/>
      <c r="S89">
        <v>900000</v>
      </c>
      <c r="T89">
        <v>200000</v>
      </c>
      <c r="U89">
        <v>150000</v>
      </c>
      <c r="V89">
        <v>150000</v>
      </c>
    </row>
    <row r="90" spans="1:22" x14ac:dyDescent="0.35">
      <c r="A90" s="93" t="s">
        <v>159</v>
      </c>
      <c r="B90" s="93"/>
      <c r="C90" s="93"/>
      <c r="D90" s="93"/>
      <c r="E90" s="93"/>
      <c r="F90" s="112">
        <v>30900</v>
      </c>
      <c r="G90" s="112"/>
      <c r="H90" s="112"/>
      <c r="I90" s="17" t="s">
        <v>419</v>
      </c>
      <c r="R90"/>
      <c r="S90">
        <v>1000000</v>
      </c>
      <c r="T90">
        <v>250000</v>
      </c>
      <c r="U90">
        <v>200000</v>
      </c>
      <c r="V90">
        <v>200000</v>
      </c>
    </row>
    <row r="91" spans="1:22" s="29" customFormat="1" hidden="1" x14ac:dyDescent="0.35">
      <c r="A91" s="93" t="s">
        <v>174</v>
      </c>
      <c r="B91" s="93"/>
      <c r="C91" s="93"/>
      <c r="D91" s="93"/>
      <c r="E91" s="93"/>
      <c r="F91" s="112"/>
      <c r="G91" s="112"/>
      <c r="H91" s="112"/>
      <c r="R91"/>
      <c r="S91">
        <v>1100000</v>
      </c>
      <c r="T91">
        <v>300000</v>
      </c>
      <c r="U91">
        <v>250000</v>
      </c>
      <c r="V91" s="19">
        <v>250000</v>
      </c>
    </row>
    <row r="92" spans="1:22" s="29" customFormat="1" hidden="1" x14ac:dyDescent="0.35">
      <c r="A92" s="93" t="s">
        <v>89</v>
      </c>
      <c r="B92" s="93"/>
      <c r="C92" s="93"/>
      <c r="D92" s="93"/>
      <c r="E92" s="93"/>
      <c r="F92" s="112"/>
      <c r="G92" s="112"/>
      <c r="H92" s="112"/>
      <c r="R92"/>
      <c r="S92">
        <v>1200000</v>
      </c>
      <c r="T92">
        <v>350000</v>
      </c>
      <c r="U92">
        <v>300000</v>
      </c>
      <c r="V92">
        <v>300000</v>
      </c>
    </row>
    <row r="93" spans="1:22" s="29" customFormat="1" hidden="1" x14ac:dyDescent="0.35">
      <c r="A93" s="93" t="s">
        <v>90</v>
      </c>
      <c r="B93" s="93"/>
      <c r="C93" s="93"/>
      <c r="D93" s="93"/>
      <c r="E93" s="93"/>
      <c r="F93" s="112"/>
      <c r="G93" s="112"/>
      <c r="H93" s="112"/>
      <c r="R93"/>
      <c r="S93">
        <v>1300000</v>
      </c>
      <c r="T93">
        <v>400000</v>
      </c>
      <c r="U93">
        <v>350000</v>
      </c>
      <c r="V93" s="19">
        <v>400000</v>
      </c>
    </row>
    <row r="94" spans="1:22" s="29" customFormat="1" hidden="1" x14ac:dyDescent="0.35">
      <c r="A94" s="93" t="s">
        <v>91</v>
      </c>
      <c r="B94" s="93"/>
      <c r="C94" s="93"/>
      <c r="D94" s="93"/>
      <c r="E94" s="93"/>
      <c r="F94" s="112"/>
      <c r="G94" s="112"/>
      <c r="H94" s="112"/>
      <c r="R94"/>
      <c r="S94">
        <v>1400000</v>
      </c>
      <c r="T94">
        <v>500000</v>
      </c>
      <c r="U94">
        <v>400000</v>
      </c>
      <c r="V94"/>
    </row>
    <row r="95" spans="1:22" s="29" customFormat="1" hidden="1" x14ac:dyDescent="0.35">
      <c r="A95" s="93" t="s">
        <v>92</v>
      </c>
      <c r="B95" s="93"/>
      <c r="C95" s="93"/>
      <c r="D95" s="93"/>
      <c r="E95" s="93"/>
      <c r="F95" s="112"/>
      <c r="G95" s="112"/>
      <c r="H95" s="112"/>
      <c r="R95"/>
      <c r="S95">
        <v>1500000</v>
      </c>
      <c r="T95">
        <v>600000</v>
      </c>
      <c r="U95">
        <v>500000</v>
      </c>
      <c r="V95" s="19"/>
    </row>
    <row r="96" spans="1:22" s="29" customFormat="1" hidden="1" x14ac:dyDescent="0.35">
      <c r="A96" s="93" t="s">
        <v>93</v>
      </c>
      <c r="B96" s="93"/>
      <c r="C96" s="93"/>
      <c r="D96" s="93"/>
      <c r="E96" s="93"/>
      <c r="F96" s="112"/>
      <c r="G96" s="112"/>
      <c r="H96" s="112"/>
      <c r="R96"/>
      <c r="S96">
        <v>1600000</v>
      </c>
      <c r="T96">
        <v>700000</v>
      </c>
      <c r="U96">
        <v>600000</v>
      </c>
      <c r="V96"/>
    </row>
    <row r="97" spans="1:22" s="29" customFormat="1" hidden="1" x14ac:dyDescent="0.35">
      <c r="A97" s="93" t="s">
        <v>94</v>
      </c>
      <c r="B97" s="93"/>
      <c r="C97" s="93"/>
      <c r="D97" s="93"/>
      <c r="E97" s="93"/>
      <c r="F97" s="112"/>
      <c r="G97" s="112"/>
      <c r="H97" s="112"/>
      <c r="R97"/>
      <c r="S97">
        <v>1700000</v>
      </c>
      <c r="T97">
        <v>800000</v>
      </c>
      <c r="U97"/>
      <c r="V97" s="19"/>
    </row>
    <row r="98" spans="1:22" x14ac:dyDescent="0.35">
      <c r="A98" s="93" t="s">
        <v>49</v>
      </c>
      <c r="B98" s="93"/>
      <c r="C98" s="93"/>
      <c r="D98" s="93"/>
      <c r="E98" s="93"/>
      <c r="F98" s="112">
        <v>1200000</v>
      </c>
      <c r="G98" s="112"/>
      <c r="H98" s="112"/>
      <c r="R98"/>
      <c r="S98">
        <v>1800000</v>
      </c>
      <c r="T98">
        <v>900000</v>
      </c>
      <c r="U98"/>
    </row>
    <row r="99" spans="1:22" s="30" customFormat="1" x14ac:dyDescent="0.35">
      <c r="A99" s="155" t="s">
        <v>50</v>
      </c>
      <c r="B99" s="155"/>
      <c r="C99" s="155"/>
      <c r="D99" s="155"/>
      <c r="E99" s="155"/>
      <c r="F99" s="112">
        <f>F90*0.8</f>
        <v>24720</v>
      </c>
      <c r="G99" s="112"/>
      <c r="H99" s="112"/>
      <c r="R99" s="17"/>
      <c r="S99" s="17"/>
      <c r="T99">
        <v>1000000</v>
      </c>
      <c r="U99"/>
      <c r="V99" s="17"/>
    </row>
    <row r="100" spans="1:22" s="31" customFormat="1" ht="15.75" customHeight="1" x14ac:dyDescent="0.35">
      <c r="A100" s="154" t="s">
        <v>71</v>
      </c>
      <c r="B100" s="154"/>
      <c r="C100" s="154"/>
      <c r="D100" s="154"/>
      <c r="E100" s="154"/>
      <c r="F100" s="154"/>
      <c r="G100" s="154"/>
      <c r="H100" s="154"/>
      <c r="R100"/>
      <c r="S100" s="17"/>
      <c r="T100"/>
      <c r="U100"/>
      <c r="V100" s="17"/>
    </row>
    <row r="101" spans="1:22" s="31" customFormat="1" ht="15.75" customHeight="1" x14ac:dyDescent="0.35">
      <c r="A101" s="116" t="s">
        <v>51</v>
      </c>
      <c r="B101" s="116"/>
      <c r="C101" s="124" t="s">
        <v>74</v>
      </c>
      <c r="D101" s="124"/>
      <c r="E101" s="122" t="s">
        <v>52</v>
      </c>
      <c r="F101" s="122"/>
      <c r="G101" s="116" t="s">
        <v>53</v>
      </c>
      <c r="H101" s="116"/>
      <c r="R101"/>
      <c r="S101" s="17"/>
      <c r="T101"/>
      <c r="U101" s="17"/>
      <c r="V101" s="17"/>
    </row>
    <row r="102" spans="1:22" s="31" customFormat="1" x14ac:dyDescent="0.35">
      <c r="A102" s="123" t="s">
        <v>382</v>
      </c>
      <c r="B102" s="123"/>
      <c r="C102" s="200">
        <f>COUNT(F127:F150)+COUNT(F152:F175)</f>
        <v>48</v>
      </c>
      <c r="D102" s="200"/>
      <c r="E102" s="135">
        <f>SUM(F127:F150)+SUM(F152:F175)</f>
        <v>22606.678437408002</v>
      </c>
      <c r="F102" s="135"/>
      <c r="G102" s="135">
        <f>SUM(H127:H150)+SUM(H152:H175)</f>
        <v>33910.017656112002</v>
      </c>
      <c r="H102" s="135"/>
      <c r="R102"/>
      <c r="S102" s="17"/>
      <c r="T102"/>
      <c r="U102" s="17"/>
      <c r="V102" s="17"/>
    </row>
    <row r="103" spans="1:22" s="31" customFormat="1" x14ac:dyDescent="0.35">
      <c r="A103" s="123" t="s">
        <v>387</v>
      </c>
      <c r="B103" s="123"/>
      <c r="C103" s="200">
        <f>COUNT(F177:F200)+COUNT(F202:F226)*4</f>
        <v>124</v>
      </c>
      <c r="D103" s="200"/>
      <c r="E103" s="135">
        <f>SUM(F177:F200)+SUM(F202:F226)*4</f>
        <v>56683.167424416009</v>
      </c>
      <c r="F103" s="135"/>
      <c r="G103" s="135">
        <f>SUM(H177:H200)+SUM(H202:H226)*4</f>
        <v>85024.751136623992</v>
      </c>
      <c r="H103" s="135"/>
      <c r="R103"/>
      <c r="S103" s="17"/>
      <c r="T103"/>
      <c r="U103" s="17"/>
      <c r="V103" s="17"/>
    </row>
    <row r="104" spans="1:22" s="31" customFormat="1" x14ac:dyDescent="0.35">
      <c r="A104" s="154" t="s">
        <v>150</v>
      </c>
      <c r="B104" s="154"/>
      <c r="C104" s="206">
        <f t="shared" ref="C104:G104" si="0">SUM(C102:D103)</f>
        <v>172</v>
      </c>
      <c r="D104" s="124"/>
      <c r="E104" s="207">
        <f t="shared" si="0"/>
        <v>79289.845861824011</v>
      </c>
      <c r="F104" s="122"/>
      <c r="G104" s="116">
        <f t="shared" si="0"/>
        <v>118934.76879273599</v>
      </c>
      <c r="H104" s="116"/>
      <c r="R104"/>
      <c r="S104" s="17"/>
      <c r="T104"/>
      <c r="U104" s="17"/>
      <c r="V104" s="17"/>
    </row>
    <row r="105" spans="1:22" s="31" customFormat="1" hidden="1" x14ac:dyDescent="0.35">
      <c r="A105" s="154" t="s">
        <v>66</v>
      </c>
      <c r="B105" s="154"/>
      <c r="C105" s="154"/>
      <c r="D105" s="154"/>
      <c r="E105" s="154"/>
      <c r="F105" s="154"/>
      <c r="G105" s="154"/>
      <c r="H105" s="154"/>
      <c r="T105"/>
    </row>
    <row r="106" spans="1:22" s="31" customFormat="1" ht="15.75" hidden="1" customHeight="1" x14ac:dyDescent="0.35">
      <c r="A106" s="116" t="s">
        <v>51</v>
      </c>
      <c r="B106" s="116"/>
      <c r="C106" s="124" t="s">
        <v>74</v>
      </c>
      <c r="D106" s="124"/>
      <c r="E106" s="122" t="s">
        <v>52</v>
      </c>
      <c r="F106" s="122"/>
      <c r="G106" s="116" t="s">
        <v>53</v>
      </c>
      <c r="H106" s="116"/>
      <c r="T106"/>
    </row>
    <row r="107" spans="1:22" s="31" customFormat="1" hidden="1" x14ac:dyDescent="0.35">
      <c r="A107" s="123"/>
      <c r="B107" s="123"/>
      <c r="C107" s="192"/>
      <c r="D107" s="192"/>
      <c r="E107" s="193"/>
      <c r="F107" s="193"/>
      <c r="G107" s="194"/>
      <c r="H107" s="194"/>
      <c r="T107"/>
    </row>
    <row r="108" spans="1:22" s="31" customFormat="1" hidden="1" x14ac:dyDescent="0.35">
      <c r="A108" s="123"/>
      <c r="B108" s="123"/>
      <c r="C108" s="192"/>
      <c r="D108" s="192"/>
      <c r="E108" s="193"/>
      <c r="F108" s="193"/>
      <c r="G108" s="194"/>
      <c r="H108" s="194"/>
      <c r="T108"/>
    </row>
    <row r="109" spans="1:22" s="31" customFormat="1" ht="16" hidden="1" thickBot="1" x14ac:dyDescent="0.4">
      <c r="A109" s="203" t="s">
        <v>150</v>
      </c>
      <c r="B109" s="203"/>
      <c r="C109" s="136"/>
      <c r="D109" s="136"/>
      <c r="E109" s="204"/>
      <c r="F109" s="204"/>
      <c r="G109" s="205"/>
      <c r="H109" s="205"/>
      <c r="T109"/>
    </row>
    <row r="110" spans="1:22" s="31" customFormat="1" ht="16" hidden="1" thickBot="1" x14ac:dyDescent="0.4">
      <c r="A110" s="143" t="s">
        <v>166</v>
      </c>
      <c r="B110" s="144"/>
      <c r="C110" s="145">
        <f>C104+C109</f>
        <v>172</v>
      </c>
      <c r="D110" s="145"/>
      <c r="E110" s="146">
        <f>E104+E109</f>
        <v>79289.845861824011</v>
      </c>
      <c r="F110" s="146"/>
      <c r="G110" s="187">
        <f>G104+G109</f>
        <v>118934.76879273599</v>
      </c>
      <c r="H110" s="188"/>
      <c r="T110"/>
    </row>
    <row r="111" spans="1:22" s="30" customFormat="1" x14ac:dyDescent="0.35">
      <c r="A111" s="208" t="s">
        <v>396</v>
      </c>
      <c r="B111" s="208"/>
      <c r="C111" s="208"/>
      <c r="D111" s="208"/>
      <c r="E111" s="208"/>
      <c r="F111" s="208"/>
      <c r="G111" s="208"/>
      <c r="H111" s="208"/>
      <c r="T111" s="31"/>
    </row>
    <row r="112" spans="1:22" x14ac:dyDescent="0.35">
      <c r="A112" s="115" t="s">
        <v>394</v>
      </c>
      <c r="B112" s="115"/>
      <c r="C112" s="115"/>
      <c r="D112" s="115"/>
      <c r="E112" s="115"/>
      <c r="F112" s="115"/>
      <c r="G112" s="115"/>
      <c r="H112" s="115"/>
      <c r="T112" s="31"/>
    </row>
    <row r="113" spans="1:20" ht="47.25" customHeight="1" x14ac:dyDescent="0.35">
      <c r="A113" s="150" t="s">
        <v>383</v>
      </c>
      <c r="B113" s="197" t="s">
        <v>392</v>
      </c>
      <c r="C113" s="150" t="s">
        <v>54</v>
      </c>
      <c r="D113" s="197" t="s">
        <v>231</v>
      </c>
      <c r="E113" s="195" t="s">
        <v>393</v>
      </c>
      <c r="F113" s="150" t="s">
        <v>55</v>
      </c>
      <c r="G113" s="195" t="s">
        <v>56</v>
      </c>
      <c r="H113" s="80" t="s">
        <v>147</v>
      </c>
      <c r="T113" s="31"/>
    </row>
    <row r="114" spans="1:20" s="33" customFormat="1" x14ac:dyDescent="0.35">
      <c r="A114" s="151"/>
      <c r="B114" s="198"/>
      <c r="C114" s="151"/>
      <c r="D114" s="198"/>
      <c r="E114" s="196"/>
      <c r="F114" s="151"/>
      <c r="G114" s="196"/>
      <c r="H114" s="84">
        <v>0.5</v>
      </c>
      <c r="T114" s="31"/>
    </row>
    <row r="115" spans="1:20" s="33" customFormat="1" x14ac:dyDescent="0.35">
      <c r="A115" s="98" t="s">
        <v>399</v>
      </c>
      <c r="B115" s="99"/>
      <c r="C115" s="99"/>
      <c r="D115" s="99"/>
      <c r="E115" s="99"/>
      <c r="F115" s="99"/>
      <c r="G115" s="99"/>
      <c r="H115" s="100"/>
      <c r="J115" s="32"/>
      <c r="T115" s="31"/>
    </row>
    <row r="116" spans="1:20" s="77" customFormat="1" x14ac:dyDescent="0.35">
      <c r="A116" s="98" t="s">
        <v>373</v>
      </c>
      <c r="B116" s="99"/>
      <c r="C116" s="99"/>
      <c r="D116" s="99"/>
      <c r="E116" s="99"/>
      <c r="F116" s="99"/>
      <c r="G116" s="99"/>
      <c r="H116" s="100"/>
      <c r="J116" s="32"/>
      <c r="T116" s="31"/>
    </row>
    <row r="117" spans="1:20" s="33" customFormat="1" ht="15.75" customHeight="1" x14ac:dyDescent="0.35">
      <c r="A117" s="98" t="s">
        <v>374</v>
      </c>
      <c r="B117" s="99"/>
      <c r="C117" s="99"/>
      <c r="D117" s="99"/>
      <c r="E117" s="99"/>
      <c r="F117" s="99"/>
      <c r="G117" s="99"/>
      <c r="H117" s="100"/>
      <c r="I117" s="32"/>
      <c r="L117" s="186"/>
      <c r="M117" s="186"/>
      <c r="N117" s="32"/>
      <c r="T117" s="31"/>
    </row>
    <row r="118" spans="1:20" s="33" customFormat="1" ht="15.75" customHeight="1" x14ac:dyDescent="0.35">
      <c r="A118" s="98" t="s">
        <v>375</v>
      </c>
      <c r="B118" s="99"/>
      <c r="C118" s="99"/>
      <c r="D118" s="99"/>
      <c r="E118" s="99"/>
      <c r="F118" s="99"/>
      <c r="G118" s="99"/>
      <c r="H118" s="100"/>
      <c r="I118" s="32"/>
      <c r="L118" s="186"/>
      <c r="M118" s="186"/>
      <c r="N118" s="32"/>
      <c r="T118" s="30"/>
    </row>
    <row r="119" spans="1:20" s="33" customFormat="1" ht="15.75" customHeight="1" x14ac:dyDescent="0.35">
      <c r="A119" s="98" t="s">
        <v>376</v>
      </c>
      <c r="B119" s="99"/>
      <c r="C119" s="99"/>
      <c r="D119" s="99"/>
      <c r="E119" s="99"/>
      <c r="F119" s="99"/>
      <c r="G119" s="99"/>
      <c r="H119" s="100"/>
      <c r="I119" s="32"/>
      <c r="L119" s="186"/>
      <c r="M119" s="186"/>
      <c r="N119" s="32"/>
      <c r="T119" s="17"/>
    </row>
    <row r="120" spans="1:20" s="33" customFormat="1" ht="15.75" customHeight="1" x14ac:dyDescent="0.35">
      <c r="A120" s="98" t="s">
        <v>371</v>
      </c>
      <c r="B120" s="99"/>
      <c r="C120" s="99"/>
      <c r="D120" s="99"/>
      <c r="E120" s="99"/>
      <c r="F120" s="99"/>
      <c r="G120" s="99"/>
      <c r="H120" s="100"/>
      <c r="I120" s="32"/>
      <c r="L120" s="186"/>
      <c r="M120" s="186"/>
      <c r="N120" s="32"/>
      <c r="T120" s="17"/>
    </row>
    <row r="121" spans="1:20" s="33" customFormat="1" x14ac:dyDescent="0.35">
      <c r="A121" s="98" t="s">
        <v>377</v>
      </c>
      <c r="B121" s="99"/>
      <c r="C121" s="99"/>
      <c r="D121" s="99"/>
      <c r="E121" s="99"/>
      <c r="F121" s="99"/>
      <c r="G121" s="99"/>
      <c r="H121" s="100"/>
      <c r="I121" s="32"/>
      <c r="N121" s="32"/>
    </row>
    <row r="122" spans="1:20" x14ac:dyDescent="0.35">
      <c r="A122" s="98" t="s">
        <v>380</v>
      </c>
      <c r="B122" s="99"/>
      <c r="C122" s="99"/>
      <c r="D122" s="99"/>
      <c r="E122" s="99"/>
      <c r="F122" s="99"/>
      <c r="G122" s="99"/>
      <c r="H122" s="100"/>
      <c r="I122" s="32"/>
      <c r="T122" s="33"/>
    </row>
    <row r="123" spans="1:20" s="33" customFormat="1" x14ac:dyDescent="0.35">
      <c r="A123" s="97" t="s">
        <v>378</v>
      </c>
      <c r="B123" s="97"/>
      <c r="C123" s="97"/>
      <c r="D123" s="97"/>
      <c r="E123" s="97"/>
      <c r="F123" s="97"/>
      <c r="G123" s="97"/>
      <c r="H123" s="97"/>
      <c r="I123" s="32"/>
    </row>
    <row r="124" spans="1:20" s="33" customFormat="1" x14ac:dyDescent="0.35">
      <c r="A124" s="97" t="s">
        <v>379</v>
      </c>
      <c r="B124" s="97"/>
      <c r="C124" s="97"/>
      <c r="D124" s="97"/>
      <c r="E124" s="97"/>
      <c r="F124" s="97"/>
      <c r="G124" s="97"/>
      <c r="H124" s="97"/>
      <c r="J124" s="32"/>
    </row>
    <row r="125" spans="1:20" s="33" customFormat="1" ht="15.75" customHeight="1" x14ac:dyDescent="0.35">
      <c r="A125" s="97" t="s">
        <v>381</v>
      </c>
      <c r="B125" s="97"/>
      <c r="C125" s="97"/>
      <c r="D125" s="97"/>
      <c r="E125" s="97"/>
      <c r="F125" s="97"/>
      <c r="G125" s="97"/>
      <c r="H125" s="97"/>
      <c r="I125" s="79">
        <v>10.763999999999999</v>
      </c>
      <c r="L125" s="186"/>
      <c r="M125" s="186"/>
      <c r="N125" s="32"/>
    </row>
    <row r="126" spans="1:20" s="33" customFormat="1" ht="15.75" customHeight="1" x14ac:dyDescent="0.35">
      <c r="A126" s="97" t="s">
        <v>385</v>
      </c>
      <c r="B126" s="97"/>
      <c r="C126" s="97"/>
      <c r="D126" s="97"/>
      <c r="E126" s="97"/>
      <c r="F126" s="97"/>
      <c r="G126" s="97"/>
      <c r="H126" s="97"/>
      <c r="I126" s="32"/>
      <c r="L126" s="186"/>
      <c r="M126" s="186"/>
      <c r="N126" s="32"/>
    </row>
    <row r="127" spans="1:20" s="33" customFormat="1" ht="15.75" customHeight="1" x14ac:dyDescent="0.35">
      <c r="A127" s="94">
        <v>1</v>
      </c>
      <c r="B127" s="94"/>
      <c r="C127" s="85" t="s">
        <v>382</v>
      </c>
      <c r="D127" s="79">
        <f>(3.14*1.75+3.57*6.01+3.12*1.4+1.72*1.27+0.28*0.28*0.5+(1.43+1.33)*0.1*0.5+(0.35+1.33)*0.98*0.5+1.3*1.45)*10.764</f>
        <v>391.68581399999988</v>
      </c>
      <c r="E127" s="79">
        <f>(3.14*0.75)*10.764</f>
        <v>25.349219999999999</v>
      </c>
      <c r="F127" s="85">
        <f>D127+(IF(E127&lt;201,E127,IF(E127&lt;301,E127/2,E127/3)))</f>
        <v>417.03503399999988</v>
      </c>
      <c r="G127" s="54">
        <v>0</v>
      </c>
      <c r="H127" s="85">
        <f>(F127+(IF(G127&lt;101,G127,IF(G127&lt;201,G127/2,IF(G127&lt;=301,G127/3,G127/4)))))*(($H$114)+1)</f>
        <v>625.55255099999977</v>
      </c>
      <c r="I127" s="32">
        <f>(0.28*0.28*0.5)</f>
        <v>3.9200000000000006E-2</v>
      </c>
      <c r="L127" s="186"/>
      <c r="M127" s="186"/>
      <c r="N127" s="32"/>
    </row>
    <row r="128" spans="1:20" s="33" customFormat="1" ht="15.75" customHeight="1" x14ac:dyDescent="0.35">
      <c r="A128" s="94">
        <f>A127+1</f>
        <v>2</v>
      </c>
      <c r="B128" s="94"/>
      <c r="C128" s="85" t="s">
        <v>382</v>
      </c>
      <c r="D128" s="79">
        <f>(3.35*9.16+1.3*1.45+1.95*1.27+0.28*0.28*0.5+(1.67+1.56)*0.11*0.5+(0.58+1.56)*0.98*0.5)*10.764</f>
        <v>390.8725938</v>
      </c>
      <c r="E128" s="79">
        <f>(3.35*0.75)*10.764</f>
        <v>27.044550000000001</v>
      </c>
      <c r="F128" s="85">
        <f t="shared" ref="F128:F130" si="1">D128+(IF(E128&lt;201,E128,IF(E128&lt;301,E128/2,E128/3)))</f>
        <v>417.91714380000002</v>
      </c>
      <c r="G128" s="85">
        <v>0</v>
      </c>
      <c r="H128" s="85">
        <f t="shared" ref="H128:H130" si="2">(F128+(IF(G128&lt;101,G128,IF(G128&lt;201,G128/2,IF(G128&lt;=301,G128/3,G128/4)))))*(($H$114)+1)</f>
        <v>626.8757157</v>
      </c>
      <c r="I128" s="32"/>
      <c r="L128" s="186"/>
      <c r="M128" s="186"/>
      <c r="N128" s="32"/>
      <c r="T128" s="17"/>
    </row>
    <row r="129" spans="1:14" s="33" customFormat="1" x14ac:dyDescent="0.35">
      <c r="A129" s="94">
        <f>A128+1</f>
        <v>3</v>
      </c>
      <c r="B129" s="94"/>
      <c r="C129" s="85" t="s">
        <v>382</v>
      </c>
      <c r="D129" s="79">
        <f>(3.23*1.75+3.35*6.01+3.18*1.4+1.78*1.27+0.11*0.11*0.5+(1.56+1.8)*0.1*0.5+(0.63+1.56)*0.98*0.5+1.3*1.45)*10.764</f>
        <v>383.52939299999991</v>
      </c>
      <c r="E129" s="79">
        <f>(3.35*0.75)*10.764</f>
        <v>27.044550000000001</v>
      </c>
      <c r="F129" s="85">
        <f t="shared" si="1"/>
        <v>410.57394299999993</v>
      </c>
      <c r="G129" s="85">
        <v>0</v>
      </c>
      <c r="H129" s="85">
        <f t="shared" si="2"/>
        <v>615.86091449999992</v>
      </c>
      <c r="I129" s="32"/>
      <c r="L129" s="186"/>
      <c r="M129" s="186"/>
    </row>
    <row r="130" spans="1:14" s="33" customFormat="1" x14ac:dyDescent="0.35">
      <c r="A130" s="94">
        <f>A129+1</f>
        <v>4</v>
      </c>
      <c r="B130" s="94"/>
      <c r="C130" s="85" t="s">
        <v>382</v>
      </c>
      <c r="D130" s="79">
        <f>(3.23*1.75+3.57*6.01+3.18*1.4+1.3*1.45+1.78*1.27+0.28*0.28*0.5+(1.39+1.8)*0.11*0.5+(1.39+0.41)*0.98*0.5+0.6*0.18)*10.764</f>
        <v>397.30408379999989</v>
      </c>
      <c r="E130" s="79">
        <f>(3.35*0.75)*10.764</f>
        <v>27.044550000000001</v>
      </c>
      <c r="F130" s="85">
        <f t="shared" si="1"/>
        <v>424.3486337999999</v>
      </c>
      <c r="G130" s="85">
        <v>0</v>
      </c>
      <c r="H130" s="85">
        <f t="shared" si="2"/>
        <v>636.52295069999991</v>
      </c>
      <c r="I130" s="32"/>
      <c r="N130" s="32"/>
    </row>
    <row r="131" spans="1:14" s="33" customFormat="1" x14ac:dyDescent="0.35">
      <c r="A131" s="94">
        <v>5</v>
      </c>
      <c r="B131" s="94"/>
      <c r="C131" s="85" t="s">
        <v>382</v>
      </c>
      <c r="D131" s="79">
        <f>(3.35*9.16+1.95*1.27+0.28*0.28*0.5+(1.56+1.67)*0.11*0.5+(1.58+0.58)*0.98*0.5+1.3*1.45)*10.764</f>
        <v>390.97808099999997</v>
      </c>
      <c r="E131" s="79">
        <f>(3.35*0.75)*10.764</f>
        <v>27.044550000000001</v>
      </c>
      <c r="F131" s="85">
        <f>D131+(IF(E131&lt;201,E131,IF(E131&lt;301,E131/2,E131/3)))</f>
        <v>418.02263099999999</v>
      </c>
      <c r="G131" s="54">
        <v>0</v>
      </c>
      <c r="H131" s="85">
        <f>(F131+(IF(G131&lt;101,G131,IF(G131&lt;201,G131/2,IF(G131&lt;=301,G131/3,G131/4)))))*(($H$114)+1)</f>
        <v>627.03394649999996</v>
      </c>
      <c r="I131" s="32"/>
      <c r="N131" s="32"/>
    </row>
    <row r="132" spans="1:14" s="33" customFormat="1" x14ac:dyDescent="0.35">
      <c r="A132" s="95">
        <f>A131+1</f>
        <v>6</v>
      </c>
      <c r="B132" s="96"/>
      <c r="C132" s="76" t="s">
        <v>382</v>
      </c>
      <c r="D132" s="79">
        <f>(3.23*1.75+3.35*6.01+3.18*1.4+1.78*1.42+0.28*0.28*0.5+(1.56+1.67)*0.11*0.5+(0.41+1.39)*0.98*0.5+1.3*1.45)*10.764</f>
        <v>384.80707979999994</v>
      </c>
      <c r="E132" s="79">
        <f>(3.35*0.75)*10.764</f>
        <v>27.044550000000001</v>
      </c>
      <c r="F132" s="76">
        <f t="shared" ref="F132:F134" si="3">D132+(IF(E132&lt;201,E132,IF(E132&lt;301,E132/2,E132/3)))</f>
        <v>411.85162979999996</v>
      </c>
      <c r="G132" s="76">
        <v>0</v>
      </c>
      <c r="H132" s="76">
        <f t="shared" ref="H132:H134" si="4">(F132+(IF(G132&lt;101,G132,IF(G132&lt;201,G132/2,IF(G132&lt;=301,G132/3,G132/4)))))*(($H$114)+1)</f>
        <v>617.77744469999993</v>
      </c>
      <c r="I132" s="32"/>
      <c r="N132" s="32"/>
    </row>
    <row r="133" spans="1:14" s="33" customFormat="1" x14ac:dyDescent="0.35">
      <c r="A133" s="95">
        <f>A132+1</f>
        <v>7</v>
      </c>
      <c r="B133" s="96"/>
      <c r="C133" s="76" t="s">
        <v>382</v>
      </c>
      <c r="D133" s="79">
        <f>(10.1*1.75+10.35*6.01+4.93*1.4+3.53*1.27+0.28*0.28*0.5+(3.25+3.14)*0.11*0.5+(3.14+2.16)*0.98*0.5+1.3*1.45)*10.764</f>
        <v>1034.8105949999999</v>
      </c>
      <c r="E133" s="79">
        <f>(10.35*0.75)*10.764</f>
        <v>83.555549999999982</v>
      </c>
      <c r="F133" s="76">
        <f t="shared" si="3"/>
        <v>1118.366145</v>
      </c>
      <c r="G133" s="76">
        <v>0</v>
      </c>
      <c r="H133" s="76">
        <f t="shared" si="4"/>
        <v>1677.5492174999999</v>
      </c>
      <c r="I133" s="32"/>
      <c r="N133" s="32"/>
    </row>
    <row r="134" spans="1:14" s="33" customFormat="1" x14ac:dyDescent="0.35">
      <c r="A134" s="95">
        <f>A133+1</f>
        <v>8</v>
      </c>
      <c r="B134" s="96"/>
      <c r="C134" s="76" t="s">
        <v>382</v>
      </c>
      <c r="D134" s="79">
        <f>(9.38*1.75+0.4*0.4+4.8*1.75+14.95*6.01+4.14*1.4+2.74*1.27+(2.71+2.6)*0.11*0.5+(2.6+1.62)*1.08*0.5+1.3*1.45)*10.764</f>
        <v>1383.7783985999999</v>
      </c>
      <c r="E134" s="79">
        <f>(14.9*0.75)*10.764</f>
        <v>120.2877</v>
      </c>
      <c r="F134" s="76">
        <f t="shared" si="3"/>
        <v>1504.0660986</v>
      </c>
      <c r="G134" s="76">
        <v>0</v>
      </c>
      <c r="H134" s="76">
        <f t="shared" si="4"/>
        <v>2256.0991478999999</v>
      </c>
      <c r="I134" s="78">
        <f>9.38+0.4+4.8</f>
        <v>14.580000000000002</v>
      </c>
      <c r="N134" s="32"/>
    </row>
    <row r="135" spans="1:14" s="33" customFormat="1" ht="15.75" customHeight="1" x14ac:dyDescent="0.35">
      <c r="A135" s="95">
        <v>9</v>
      </c>
      <c r="B135" s="96"/>
      <c r="C135" s="76" t="s">
        <v>382</v>
      </c>
      <c r="D135" s="79">
        <f>(5.1*9.16+3.85*1.27+0.28*0.28*0.5+(3.37+3.26)*0.11*0.5+(3.33+3.26)*0.98*0.5+1.3*1.45)*10.764</f>
        <v>614.87681579999992</v>
      </c>
      <c r="E135" s="79">
        <f>(5.1*0.75)*10.764</f>
        <v>41.172299999999993</v>
      </c>
      <c r="F135" s="76">
        <f>D135+(IF(E135&lt;201,E135,IF(E135&lt;301,E135/2,E135/3)))</f>
        <v>656.04911579999987</v>
      </c>
      <c r="G135" s="54">
        <v>0</v>
      </c>
      <c r="H135" s="76">
        <f>(F135+(IF(G135&lt;101,G135,IF(G135&lt;201,G135/2,IF(G135&lt;=301,G135/3,G135/4)))))*(($H$114)+1)</f>
        <v>984.07367369999974</v>
      </c>
      <c r="I135" s="32"/>
    </row>
    <row r="136" spans="1:14" s="33" customFormat="1" ht="15.75" customHeight="1" x14ac:dyDescent="0.35">
      <c r="A136" s="95">
        <f>A135+1</f>
        <v>10</v>
      </c>
      <c r="B136" s="96"/>
      <c r="C136" s="76" t="s">
        <v>382</v>
      </c>
      <c r="D136" s="79">
        <f>(3.34*1.25+3.34*1.25+7.07*0.5+7.5*6.01+3.71*1.2+3.36*1.8+1.86*1.46+0.28*0.28*0.5+(1.58+1.47)*0.11*0.5+(1.47+0.49)*0.98*0.5+1.3*1.65)*10.764</f>
        <v>791.02429379999967</v>
      </c>
      <c r="E136" s="79">
        <f>(7.5*0.75)*10.764</f>
        <v>60.547499999999999</v>
      </c>
      <c r="F136" s="76">
        <f t="shared" ref="F136:F138" si="5">D136+(IF(E136&lt;201,E136,IF(E136&lt;301,E136/2,E136/3)))</f>
        <v>851.57179379999968</v>
      </c>
      <c r="G136" s="76">
        <v>0</v>
      </c>
      <c r="H136" s="76">
        <f t="shared" ref="H136:H138" si="6">(F136+(IF(G136&lt;101,G136,IF(G136&lt;201,G136/2,IF(G136&lt;=301,G136/3,G136/4)))))*(($H$114)+1)</f>
        <v>1277.3576906999995</v>
      </c>
      <c r="I136" s="32"/>
    </row>
    <row r="137" spans="1:14" s="33" customFormat="1" ht="15.75" customHeight="1" x14ac:dyDescent="0.35">
      <c r="A137" s="95">
        <f>A136+1</f>
        <v>11</v>
      </c>
      <c r="B137" s="96"/>
      <c r="C137" s="76" t="s">
        <v>382</v>
      </c>
      <c r="D137" s="79">
        <f>(3.17*1.65+4.25*0.43+4.97*3.4+4.45*0.95+(5.05+2.7)*2.42*0.5+(0.6*0.45)*0.15*0.5+3.58*0.76*0.67+1.65*0.9+0.9*0.6)*10.764</f>
        <v>445.94375810399993</v>
      </c>
      <c r="E137" s="79">
        <f>(2.4*0.75)*10.764</f>
        <v>19.375199999999996</v>
      </c>
      <c r="F137" s="76">
        <f t="shared" si="5"/>
        <v>465.31895810399993</v>
      </c>
      <c r="G137" s="76">
        <v>0</v>
      </c>
      <c r="H137" s="76">
        <f t="shared" si="6"/>
        <v>697.97843715599993</v>
      </c>
      <c r="I137" s="32"/>
    </row>
    <row r="138" spans="1:14" s="33" customFormat="1" ht="15.75" customHeight="1" x14ac:dyDescent="0.35">
      <c r="A138" s="95">
        <f>A137+1</f>
        <v>12</v>
      </c>
      <c r="B138" s="96"/>
      <c r="C138" s="76" t="s">
        <v>382</v>
      </c>
      <c r="D138" s="79">
        <f>(2.05*1.65+3.85*6.76+0.9*0.6+1.65*0.9)*10.764</f>
        <v>338.35019399999999</v>
      </c>
      <c r="E138" s="79">
        <f>(3.85*0.75)*10.764</f>
        <v>31.081050000000001</v>
      </c>
      <c r="F138" s="76">
        <f t="shared" si="5"/>
        <v>369.43124399999999</v>
      </c>
      <c r="G138" s="76">
        <v>0</v>
      </c>
      <c r="H138" s="76">
        <f t="shared" si="6"/>
        <v>554.14686600000005</v>
      </c>
      <c r="I138" s="32"/>
    </row>
    <row r="139" spans="1:14" s="33" customFormat="1" ht="15.75" customHeight="1" x14ac:dyDescent="0.35">
      <c r="A139" s="95">
        <v>14</v>
      </c>
      <c r="B139" s="96"/>
      <c r="C139" s="76" t="s">
        <v>382</v>
      </c>
      <c r="D139" s="79">
        <f>(1.6*1.65+3.4*3.4+3.2*3.37+1.65*0.9+0.9*0.6)*10.764</f>
        <v>290.72487599999999</v>
      </c>
      <c r="E139" s="79">
        <f>(3.2*0.75)*10.764</f>
        <v>25.833600000000001</v>
      </c>
      <c r="F139" s="76">
        <f>D139+(IF(E139&lt;201,E139,IF(E139&lt;301,E139/2,E139/3)))</f>
        <v>316.55847599999998</v>
      </c>
      <c r="G139" s="54">
        <v>0</v>
      </c>
      <c r="H139" s="76">
        <f>(F139+(IF(G139&lt;101,G139,IF(G139&lt;201,G139/2,IF(G139&lt;=301,G139/3,G139/4)))))*(($H$114)+1)</f>
        <v>474.83771400000001</v>
      </c>
      <c r="I139" s="32"/>
    </row>
    <row r="140" spans="1:14" s="33" customFormat="1" ht="15.75" customHeight="1" x14ac:dyDescent="0.35">
      <c r="A140" s="95">
        <f>A139+1</f>
        <v>15</v>
      </c>
      <c r="B140" s="96"/>
      <c r="C140" s="76" t="s">
        <v>382</v>
      </c>
      <c r="D140" s="79">
        <f>(1.6*1.65+3.4*3.4+3.2*3.37+1.65*0.9+0.9*0.6)*10.764</f>
        <v>290.72487599999999</v>
      </c>
      <c r="E140" s="79">
        <f>(3.2*0.75)*10.764</f>
        <v>25.833600000000001</v>
      </c>
      <c r="F140" s="76">
        <f t="shared" ref="F140:F142" si="7">D140+(IF(E140&lt;201,E140,IF(E140&lt;301,E140/2,E140/3)))</f>
        <v>316.55847599999998</v>
      </c>
      <c r="G140" s="76">
        <v>0</v>
      </c>
      <c r="H140" s="76">
        <f t="shared" ref="H140:H142" si="8">(F140+(IF(G140&lt;101,G140,IF(G140&lt;201,G140/2,IF(G140&lt;=301,G140/3,G140/4)))))*(($H$114)+1)</f>
        <v>474.83771400000001</v>
      </c>
      <c r="I140" s="32"/>
    </row>
    <row r="141" spans="1:14" s="33" customFormat="1" x14ac:dyDescent="0.35">
      <c r="A141" s="95">
        <f>A140+1</f>
        <v>16</v>
      </c>
      <c r="B141" s="96"/>
      <c r="C141" s="76" t="s">
        <v>382</v>
      </c>
      <c r="D141" s="79">
        <f>(3.85*6.76+1.55*1.65+0.9*0.6+1.65*0.9)*10.764</f>
        <v>329.46989399999995</v>
      </c>
      <c r="E141" s="79">
        <f>(3.85*0.75)*10.764</f>
        <v>31.081050000000001</v>
      </c>
      <c r="F141" s="76">
        <f t="shared" si="7"/>
        <v>360.55094399999996</v>
      </c>
      <c r="G141" s="76">
        <v>0</v>
      </c>
      <c r="H141" s="76">
        <f t="shared" si="8"/>
        <v>540.82641599999988</v>
      </c>
      <c r="I141" s="32"/>
    </row>
    <row r="142" spans="1:14" s="33" customFormat="1" ht="15.75" customHeight="1" x14ac:dyDescent="0.35">
      <c r="A142" s="95">
        <f>A141+1</f>
        <v>17</v>
      </c>
      <c r="B142" s="96"/>
      <c r="C142" s="76" t="s">
        <v>382</v>
      </c>
      <c r="D142" s="79">
        <f>(1.55*1.65+3.35*3.4+3.18*3.37+0.9*0.6+1.65*0.9)*10.764</f>
        <v>287.28147240000004</v>
      </c>
      <c r="E142" s="79">
        <f t="shared" ref="E142:E149" si="9">(3.35*0.75)*10.764</f>
        <v>27.044550000000001</v>
      </c>
      <c r="F142" s="76">
        <f t="shared" si="7"/>
        <v>314.32602240000006</v>
      </c>
      <c r="G142" s="76">
        <v>0</v>
      </c>
      <c r="H142" s="76">
        <f t="shared" si="8"/>
        <v>471.48903360000008</v>
      </c>
      <c r="I142" s="32"/>
    </row>
    <row r="143" spans="1:14" s="33" customFormat="1" ht="15.75" customHeight="1" x14ac:dyDescent="0.35">
      <c r="A143" s="95">
        <v>18</v>
      </c>
      <c r="B143" s="96"/>
      <c r="C143" s="76" t="s">
        <v>382</v>
      </c>
      <c r="D143" s="79">
        <f>(1.55*1.65+3.35*3.4+3.18*3.37+0.9*0.6+1.65*0.9)*10.764</f>
        <v>287.28147240000004</v>
      </c>
      <c r="E143" s="79">
        <f t="shared" si="9"/>
        <v>27.044550000000001</v>
      </c>
      <c r="F143" s="76">
        <f>D143+(IF(E143&lt;201,E143,IF(E143&lt;301,E143/2,E143/3)))</f>
        <v>314.32602240000006</v>
      </c>
      <c r="G143" s="54">
        <v>0</v>
      </c>
      <c r="H143" s="76">
        <f>(F143+(IF(G143&lt;101,G143,IF(G143&lt;201,G143/2,IF(G143&lt;=301,G143/3,G143/4)))))*(($H$114)+1)</f>
        <v>471.48903360000008</v>
      </c>
      <c r="I143" s="32"/>
    </row>
    <row r="144" spans="1:14" s="33" customFormat="1" ht="15.75" customHeight="1" x14ac:dyDescent="0.35">
      <c r="A144" s="95">
        <f>A143+1</f>
        <v>19</v>
      </c>
      <c r="B144" s="96"/>
      <c r="C144" s="76" t="s">
        <v>382</v>
      </c>
      <c r="D144" s="79">
        <f>(1.55*1.65+3.35*6.76+1.65*0.9+0.9*0.6)*10.764</f>
        <v>293.08757399999996</v>
      </c>
      <c r="E144" s="79">
        <f t="shared" si="9"/>
        <v>27.044550000000001</v>
      </c>
      <c r="F144" s="76">
        <f t="shared" ref="F144:F146" si="10">D144+(IF(E144&lt;201,E144,IF(E144&lt;301,E144/2,E144/3)))</f>
        <v>320.13212399999998</v>
      </c>
      <c r="G144" s="76">
        <v>0</v>
      </c>
      <c r="H144" s="76">
        <f t="shared" ref="H144:H146" si="11">(F144+(IF(G144&lt;101,G144,IF(G144&lt;201,G144/2,IF(G144&lt;=301,G144/3,G144/4)))))*(($H$114)+1)</f>
        <v>480.19818599999996</v>
      </c>
      <c r="I144" s="32"/>
    </row>
    <row r="145" spans="1:20" s="33" customFormat="1" ht="15.75" customHeight="1" x14ac:dyDescent="0.35">
      <c r="A145" s="95">
        <f>A144+1</f>
        <v>20</v>
      </c>
      <c r="B145" s="96"/>
      <c r="C145" s="76" t="s">
        <v>382</v>
      </c>
      <c r="D145" s="79">
        <f>(1.55*1.65+3.35*3.4+3.18*3.37+0.9*0.6+1.65*0.9)*10.764</f>
        <v>287.28147240000004</v>
      </c>
      <c r="E145" s="79">
        <f t="shared" si="9"/>
        <v>27.044550000000001</v>
      </c>
      <c r="F145" s="76">
        <f t="shared" si="10"/>
        <v>314.32602240000006</v>
      </c>
      <c r="G145" s="76">
        <v>0</v>
      </c>
      <c r="H145" s="76">
        <f t="shared" si="11"/>
        <v>471.48903360000008</v>
      </c>
      <c r="I145" s="32"/>
    </row>
    <row r="146" spans="1:20" s="33" customFormat="1" ht="15.75" customHeight="1" x14ac:dyDescent="0.35">
      <c r="A146" s="95">
        <f>A145+1</f>
        <v>21</v>
      </c>
      <c r="B146" s="96"/>
      <c r="C146" s="76" t="s">
        <v>382</v>
      </c>
      <c r="D146" s="79">
        <f>(1.55*1.65+3.35*3.4+3.18*3.37+0.9*0.6+1.65*0.9)*10.764</f>
        <v>287.28147240000004</v>
      </c>
      <c r="E146" s="79">
        <f t="shared" si="9"/>
        <v>27.044550000000001</v>
      </c>
      <c r="F146" s="76">
        <f t="shared" si="10"/>
        <v>314.32602240000006</v>
      </c>
      <c r="G146" s="76">
        <v>0</v>
      </c>
      <c r="H146" s="76">
        <f t="shared" si="11"/>
        <v>471.48903360000008</v>
      </c>
      <c r="I146" s="32"/>
    </row>
    <row r="147" spans="1:20" s="33" customFormat="1" x14ac:dyDescent="0.35">
      <c r="A147" s="95">
        <v>22</v>
      </c>
      <c r="B147" s="96"/>
      <c r="C147" s="76" t="s">
        <v>382</v>
      </c>
      <c r="D147" s="79">
        <f>(1.55*1.65+3.35*6.76+1.65*0.9+0.9*0.6)*10.764</f>
        <v>293.08757399999996</v>
      </c>
      <c r="E147" s="79">
        <f t="shared" si="9"/>
        <v>27.044550000000001</v>
      </c>
      <c r="F147" s="76">
        <f>D147+(IF(E147&lt;201,E147,IF(E147&lt;301,E147/2,E147/3)))</f>
        <v>320.13212399999998</v>
      </c>
      <c r="G147" s="54">
        <v>0</v>
      </c>
      <c r="H147" s="76">
        <f>(F147+(IF(G147&lt;101,G147,IF(G147&lt;201,G147/2,IF(G147&lt;=301,G147/3,G147/4)))))*(($H$114)+1)</f>
        <v>480.19818599999996</v>
      </c>
      <c r="I147" s="32"/>
    </row>
    <row r="148" spans="1:20" s="33" customFormat="1" ht="15.75" customHeight="1" x14ac:dyDescent="0.35">
      <c r="A148" s="95">
        <f>A147+1</f>
        <v>23</v>
      </c>
      <c r="B148" s="96"/>
      <c r="C148" s="76" t="s">
        <v>382</v>
      </c>
      <c r="D148" s="79">
        <f>(1.55*1.65+3.35*3.4+3.18*3.37+0.9*0.6+1.65*0.9)*10.764</f>
        <v>287.28147240000004</v>
      </c>
      <c r="E148" s="79">
        <f t="shared" si="9"/>
        <v>27.044550000000001</v>
      </c>
      <c r="F148" s="76">
        <f t="shared" ref="F148:F150" si="12">D148+(IF(E148&lt;201,E148,IF(E148&lt;301,E148/2,E148/3)))</f>
        <v>314.32602240000006</v>
      </c>
      <c r="G148" s="76">
        <v>0</v>
      </c>
      <c r="H148" s="76">
        <f t="shared" ref="H148:H150" si="13">(F148+(IF(G148&lt;101,G148,IF(G148&lt;201,G148/2,IF(G148&lt;=301,G148/3,G148/4)))))*(($H$114)+1)</f>
        <v>471.48903360000008</v>
      </c>
      <c r="I148" s="32"/>
    </row>
    <row r="149" spans="1:20" s="33" customFormat="1" ht="15.75" customHeight="1" x14ac:dyDescent="0.35">
      <c r="A149" s="95">
        <f>A148+1</f>
        <v>24</v>
      </c>
      <c r="B149" s="96"/>
      <c r="C149" s="76" t="s">
        <v>382</v>
      </c>
      <c r="D149" s="79">
        <f>(1.55*1.65+3.35*3.4+3.18*3.37+0.9*0.6+1.65*0.9)*10.764</f>
        <v>287.28147240000004</v>
      </c>
      <c r="E149" s="79">
        <f t="shared" si="9"/>
        <v>27.044550000000001</v>
      </c>
      <c r="F149" s="76">
        <f t="shared" si="12"/>
        <v>314.32602240000006</v>
      </c>
      <c r="G149" s="76">
        <v>0</v>
      </c>
      <c r="H149" s="76">
        <f t="shared" si="13"/>
        <v>471.48903360000008</v>
      </c>
      <c r="I149" s="32"/>
    </row>
    <row r="150" spans="1:20" s="33" customFormat="1" ht="15.75" customHeight="1" x14ac:dyDescent="0.35">
      <c r="A150" s="95">
        <f>A149+1</f>
        <v>25</v>
      </c>
      <c r="B150" s="96"/>
      <c r="C150" s="76" t="s">
        <v>382</v>
      </c>
      <c r="D150" s="79">
        <f>(1.6*1.65+3.4*4.15+3.22*2.62+0.9*0.6+1.65*0.9)*10.764</f>
        <v>292.90350959999995</v>
      </c>
      <c r="E150" s="79">
        <f>(3.22*0.75)*10.764</f>
        <v>25.995059999999999</v>
      </c>
      <c r="F150" s="76">
        <f t="shared" si="12"/>
        <v>318.89856959999997</v>
      </c>
      <c r="G150" s="76">
        <v>0</v>
      </c>
      <c r="H150" s="76">
        <f t="shared" si="13"/>
        <v>478.34785439999996</v>
      </c>
      <c r="I150" s="32"/>
    </row>
    <row r="151" spans="1:20" s="33" customFormat="1" ht="15.75" customHeight="1" x14ac:dyDescent="0.35">
      <c r="A151" s="98" t="s">
        <v>386</v>
      </c>
      <c r="B151" s="99"/>
      <c r="C151" s="99"/>
      <c r="D151" s="99"/>
      <c r="E151" s="99"/>
      <c r="F151" s="99"/>
      <c r="G151" s="99"/>
      <c r="H151" s="100"/>
      <c r="I151" s="32"/>
    </row>
    <row r="152" spans="1:20" s="33" customFormat="1" ht="15.75" customHeight="1" x14ac:dyDescent="0.35">
      <c r="A152" s="95">
        <v>1</v>
      </c>
      <c r="B152" s="96"/>
      <c r="C152" s="76" t="s">
        <v>382</v>
      </c>
      <c r="D152" s="79">
        <f>(3.14*1.75+3.57*6.01+3.12*1.4+1.72*1.27+0.28*0.28*0.5+(1.43+1.33)*0.1*0.5+(0.35+1.33)*0.98*0.5+1.3*1.45)*10.764</f>
        <v>391.68581399999988</v>
      </c>
      <c r="E152" s="79">
        <f>(3.14*0.75)*10.764</f>
        <v>25.349219999999999</v>
      </c>
      <c r="F152" s="76">
        <f>D152+(IF(E152&lt;201,E152,IF(E152&lt;301,E152/2,E152/3)))</f>
        <v>417.03503399999988</v>
      </c>
      <c r="G152" s="54">
        <v>0</v>
      </c>
      <c r="H152" s="76">
        <f>(F152+(IF(G152&lt;101,G152,IF(G152&lt;201,G152/2,IF(G152&lt;=301,G152/3,G152/4)))))*(($H$114)+1)</f>
        <v>625.55255099999977</v>
      </c>
      <c r="I152" s="32"/>
    </row>
    <row r="153" spans="1:20" s="31" customFormat="1" x14ac:dyDescent="0.35">
      <c r="A153" s="95">
        <f>A152+1</f>
        <v>2</v>
      </c>
      <c r="B153" s="96"/>
      <c r="C153" s="76" t="s">
        <v>382</v>
      </c>
      <c r="D153" s="79">
        <f>(3.35*9.16+1.3*1.45+1.95*1.27+0.28*0.28*0.5+(1.67+1.56)*0.11*0.5+(0.58+1.56)*0.98*0.5)*10.764</f>
        <v>390.8725938</v>
      </c>
      <c r="E153" s="79">
        <f>(3.35*0.75)*10.764</f>
        <v>27.044550000000001</v>
      </c>
      <c r="F153" s="76">
        <f t="shared" ref="F153:F155" si="14">D153+(IF(E153&lt;201,E153,IF(E153&lt;301,E153/2,E153/3)))</f>
        <v>417.91714380000002</v>
      </c>
      <c r="G153" s="76">
        <v>0</v>
      </c>
      <c r="H153" s="76">
        <f t="shared" ref="H153:H155" si="15">(F153+(IF(G153&lt;101,G153,IF(G153&lt;201,G153/2,IF(G153&lt;=301,G153/3,G153/4)))))*(($H$114)+1)</f>
        <v>626.8757157</v>
      </c>
      <c r="T153" s="33"/>
    </row>
    <row r="154" spans="1:20" s="31" customFormat="1" x14ac:dyDescent="0.35">
      <c r="A154" s="95">
        <f>A153+1</f>
        <v>3</v>
      </c>
      <c r="B154" s="96"/>
      <c r="C154" s="76" t="s">
        <v>382</v>
      </c>
      <c r="D154" s="79">
        <f>(3.23*1.75+3.35*6.01+3.18*1.4+1.78*1.27+0.11*0.11*0.5+(1.56+1.8)*0.1*0.5+(0.63+1.56)*0.98*0.5+1.3*1.45)*10.764</f>
        <v>383.52939299999991</v>
      </c>
      <c r="E154" s="79">
        <f>(3.35*0.75)*10.764</f>
        <v>27.044550000000001</v>
      </c>
      <c r="F154" s="76">
        <f t="shared" si="14"/>
        <v>410.57394299999993</v>
      </c>
      <c r="G154" s="76">
        <v>0</v>
      </c>
      <c r="H154" s="76">
        <f t="shared" si="15"/>
        <v>615.86091449999992</v>
      </c>
      <c r="T154" s="33"/>
    </row>
    <row r="155" spans="1:20" s="31" customFormat="1" x14ac:dyDescent="0.35">
      <c r="A155" s="95">
        <f>A154+1</f>
        <v>4</v>
      </c>
      <c r="B155" s="96"/>
      <c r="C155" s="76" t="s">
        <v>382</v>
      </c>
      <c r="D155" s="79">
        <f>(3.23*1.75+3.57*6.01+3.18*1.4+1.3*1.45+1.78*1.27+0.28*0.28*0.5+(1.39+1.8)*0.11*0.5+(1.39+0.41)*0.98*0.5+0.6*0.18)*10.764</f>
        <v>397.30408379999989</v>
      </c>
      <c r="E155" s="79">
        <f>(3.35*0.75)*10.764</f>
        <v>27.044550000000001</v>
      </c>
      <c r="F155" s="76">
        <f t="shared" si="14"/>
        <v>424.3486337999999</v>
      </c>
      <c r="G155" s="76">
        <v>0</v>
      </c>
      <c r="H155" s="76">
        <f t="shared" si="15"/>
        <v>636.52295069999991</v>
      </c>
      <c r="T155" s="33"/>
    </row>
    <row r="156" spans="1:20" s="31" customFormat="1" x14ac:dyDescent="0.35">
      <c r="A156" s="95">
        <v>5</v>
      </c>
      <c r="B156" s="96"/>
      <c r="C156" s="76" t="s">
        <v>382</v>
      </c>
      <c r="D156" s="79">
        <f>(3.35*9.16+1.95*1.27+0.28*0.28*0.5+(1.56+1.67)*0.11*0.5+(1.58+0.58)*0.98*0.5+1.3*1.45)*10.764</f>
        <v>390.97808099999997</v>
      </c>
      <c r="E156" s="79">
        <f>(3.35*0.75)*10.764</f>
        <v>27.044550000000001</v>
      </c>
      <c r="F156" s="76">
        <f>D156+(IF(E156&lt;201,E156,IF(E156&lt;301,E156/2,E156/3)))</f>
        <v>418.02263099999999</v>
      </c>
      <c r="G156" s="54">
        <v>0</v>
      </c>
      <c r="H156" s="76">
        <f>(F156+(IF(G156&lt;101,G156,IF(G156&lt;201,G156/2,IF(G156&lt;=301,G156/3,G156/4)))))*(($H$114)+1)</f>
        <v>627.03394649999996</v>
      </c>
      <c r="T156" s="33"/>
    </row>
    <row r="157" spans="1:20" s="31" customFormat="1" x14ac:dyDescent="0.35">
      <c r="A157" s="95">
        <f>A156+1</f>
        <v>6</v>
      </c>
      <c r="B157" s="96"/>
      <c r="C157" s="76" t="s">
        <v>382</v>
      </c>
      <c r="D157" s="79">
        <f>(3.23*1.75+3.35*6.01+3.18*1.4+1.78*1.42+0.28*0.28*0.5+(1.56+1.67)*0.11*0.5+(0.41+1.39)*0.98*0.5+1.3*1.45)*10.764</f>
        <v>384.80707979999994</v>
      </c>
      <c r="E157" s="79">
        <f>(3.35*0.75)*10.764</f>
        <v>27.044550000000001</v>
      </c>
      <c r="F157" s="76">
        <f t="shared" ref="F157:F159" si="16">D157+(IF(E157&lt;201,E157,IF(E157&lt;301,E157/2,E157/3)))</f>
        <v>411.85162979999996</v>
      </c>
      <c r="G157" s="76">
        <v>0</v>
      </c>
      <c r="H157" s="76">
        <f t="shared" ref="H157:H159" si="17">(F157+(IF(G157&lt;101,G157,IF(G157&lt;201,G157/2,IF(G157&lt;=301,G157/3,G157/4)))))*(($H$114)+1)</f>
        <v>617.77744469999993</v>
      </c>
      <c r="T157" s="33"/>
    </row>
    <row r="158" spans="1:20" s="31" customFormat="1" x14ac:dyDescent="0.35">
      <c r="A158" s="95">
        <f>A157+1</f>
        <v>7</v>
      </c>
      <c r="B158" s="96"/>
      <c r="C158" s="76" t="s">
        <v>382</v>
      </c>
      <c r="D158" s="79">
        <f>(10.1*1.75+10.35*6.01+4.93*1.4+3.53*1.27+0.28*0.28*0.5+(3.25+3.14)*0.11*0.5+(3.14+2.16)*0.98*0.5+1.3*1.45)*10.764</f>
        <v>1034.8105949999999</v>
      </c>
      <c r="E158" s="79">
        <f>(10.35*0.75)*10.764</f>
        <v>83.555549999999982</v>
      </c>
      <c r="F158" s="76">
        <f t="shared" si="16"/>
        <v>1118.366145</v>
      </c>
      <c r="G158" s="76">
        <v>0</v>
      </c>
      <c r="H158" s="76">
        <f t="shared" si="17"/>
        <v>1677.5492174999999</v>
      </c>
      <c r="T158" s="33"/>
    </row>
    <row r="159" spans="1:20" s="31" customFormat="1" x14ac:dyDescent="0.35">
      <c r="A159" s="95">
        <f>A158+1</f>
        <v>8</v>
      </c>
      <c r="B159" s="96"/>
      <c r="C159" s="76" t="s">
        <v>382</v>
      </c>
      <c r="D159" s="79">
        <f>(9.38*1.75+0.4*0.4+4.8*1.75+14.95*6.01+4.14*1.4+2.74*1.27+(2.71+2.6)*0.11*0.5+(2.6+1.62)*1.08*0.5+1.3*1.45)*10.764</f>
        <v>1383.7783985999999</v>
      </c>
      <c r="E159" s="79">
        <f>(14.9*0.75)*10.764</f>
        <v>120.2877</v>
      </c>
      <c r="F159" s="76">
        <f t="shared" si="16"/>
        <v>1504.0660986</v>
      </c>
      <c r="G159" s="76">
        <v>0</v>
      </c>
      <c r="H159" s="76">
        <f t="shared" si="17"/>
        <v>2256.0991478999999</v>
      </c>
    </row>
    <row r="160" spans="1:20" s="31" customFormat="1" x14ac:dyDescent="0.35">
      <c r="A160" s="95">
        <v>9</v>
      </c>
      <c r="B160" s="96"/>
      <c r="C160" s="76" t="s">
        <v>382</v>
      </c>
      <c r="D160" s="79">
        <f>(5.1*9.16+3.85*1.27+0.28*0.28*0.5+(3.37+3.26)*0.11*0.5+(3.33+3.26)*0.98*0.5+1.3*1.45)*10.764</f>
        <v>614.87681579999992</v>
      </c>
      <c r="E160" s="79">
        <f>(5.1*0.75)*10.764</f>
        <v>41.172299999999993</v>
      </c>
      <c r="F160" s="76">
        <f>D160+(IF(E160&lt;201,E160,IF(E160&lt;301,E160/2,E160/3)))</f>
        <v>656.04911579999987</v>
      </c>
      <c r="G160" s="54">
        <v>0</v>
      </c>
      <c r="H160" s="76">
        <f>(F160+(IF(G160&lt;101,G160,IF(G160&lt;201,G160/2,IF(G160&lt;=301,G160/3,G160/4)))))*(($H$114)+1)</f>
        <v>984.07367369999974</v>
      </c>
    </row>
    <row r="161" spans="1:20" s="31" customFormat="1" x14ac:dyDescent="0.35">
      <c r="A161" s="95">
        <f>A160+1</f>
        <v>10</v>
      </c>
      <c r="B161" s="96"/>
      <c r="C161" s="76" t="s">
        <v>382</v>
      </c>
      <c r="D161" s="79">
        <f>(3.34*1.25+3.34*1.25+7.07*0.5+7.5*6.01+3.71*1.2+3.36*1.8+1.86*1.46+0.28*0.28*0.5+(1.58+1.47)*0.11*0.5+(1.47+0.49)*0.98*0.5+1.3*1.65)*10.764</f>
        <v>791.02429379999967</v>
      </c>
      <c r="E161" s="79">
        <f>(7.5*0.75)*10.764</f>
        <v>60.547499999999999</v>
      </c>
      <c r="F161" s="76">
        <f t="shared" ref="F161:F163" si="18">D161+(IF(E161&lt;201,E161,IF(E161&lt;301,E161/2,E161/3)))</f>
        <v>851.57179379999968</v>
      </c>
      <c r="G161" s="76">
        <v>0</v>
      </c>
      <c r="H161" s="76">
        <f t="shared" ref="H161:H163" si="19">(F161+(IF(G161&lt;101,G161,IF(G161&lt;201,G161/2,IF(G161&lt;=301,G161/3,G161/4)))))*(($H$114)+1)</f>
        <v>1277.3576906999995</v>
      </c>
    </row>
    <row r="162" spans="1:20" s="31" customFormat="1" x14ac:dyDescent="0.35">
      <c r="A162" s="95">
        <f>A161+1</f>
        <v>11</v>
      </c>
      <c r="B162" s="96"/>
      <c r="C162" s="76" t="s">
        <v>382</v>
      </c>
      <c r="D162" s="79">
        <f>(3.17*1.65+4.25*0.43+4.97*3.4+4.45*0.95+(5.05+2.7)*2.42*0.5+(0.6*0.45)*0.15*0.5+3.58*0.76*0.67+1.65*0.9+0.9*0.6)*10.764</f>
        <v>445.94375810399993</v>
      </c>
      <c r="E162" s="79">
        <f>(2.4*0.75)*10.764</f>
        <v>19.375199999999996</v>
      </c>
      <c r="F162" s="76">
        <f t="shared" si="18"/>
        <v>465.31895810399993</v>
      </c>
      <c r="G162" s="76">
        <v>0</v>
      </c>
      <c r="H162" s="76">
        <f t="shared" si="19"/>
        <v>697.97843715599993</v>
      </c>
    </row>
    <row r="163" spans="1:20" s="31" customFormat="1" x14ac:dyDescent="0.35">
      <c r="A163" s="95">
        <f>A162+1</f>
        <v>12</v>
      </c>
      <c r="B163" s="96"/>
      <c r="C163" s="76" t="s">
        <v>382</v>
      </c>
      <c r="D163" s="79">
        <f>(2.05*1.65+3.85*6.76+0.9*0.6+1.65*0.9)*10.764</f>
        <v>338.35019399999999</v>
      </c>
      <c r="E163" s="79">
        <f>(3.85*0.75)*10.764</f>
        <v>31.081050000000001</v>
      </c>
      <c r="F163" s="76">
        <f t="shared" si="18"/>
        <v>369.43124399999999</v>
      </c>
      <c r="G163" s="76">
        <v>0</v>
      </c>
      <c r="H163" s="76">
        <f t="shared" si="19"/>
        <v>554.14686600000005</v>
      </c>
    </row>
    <row r="164" spans="1:20" s="31" customFormat="1" x14ac:dyDescent="0.35">
      <c r="A164" s="95">
        <v>14</v>
      </c>
      <c r="B164" s="96"/>
      <c r="C164" s="76" t="s">
        <v>382</v>
      </c>
      <c r="D164" s="79">
        <f>(1.6*1.65+3.4*3.4+3.2*3.37+1.65*0.9+0.9*0.6)*10.764</f>
        <v>290.72487599999999</v>
      </c>
      <c r="E164" s="79">
        <f>(3.2*0.75)*10.764</f>
        <v>25.833600000000001</v>
      </c>
      <c r="F164" s="76">
        <f>D164+(IF(E164&lt;201,E164,IF(E164&lt;301,E164/2,E164/3)))</f>
        <v>316.55847599999998</v>
      </c>
      <c r="G164" s="54">
        <v>0</v>
      </c>
      <c r="H164" s="76">
        <f>(F164+(IF(G164&lt;101,G164,IF(G164&lt;201,G164/2,IF(G164&lt;=301,G164/3,G164/4)))))*(($H$114)+1)</f>
        <v>474.83771400000001</v>
      </c>
    </row>
    <row r="165" spans="1:20" x14ac:dyDescent="0.35">
      <c r="A165" s="95">
        <f>A164+1</f>
        <v>15</v>
      </c>
      <c r="B165" s="96"/>
      <c r="C165" s="76" t="s">
        <v>382</v>
      </c>
      <c r="D165" s="79">
        <f>(1.6*1.65+3.4*3.4+3.2*3.37+1.65*0.9+0.9*0.6)*10.764</f>
        <v>290.72487599999999</v>
      </c>
      <c r="E165" s="79">
        <f>(3.2*0.75)*10.764</f>
        <v>25.833600000000001</v>
      </c>
      <c r="F165" s="76">
        <f t="shared" ref="F165:F167" si="20">D165+(IF(E165&lt;201,E165,IF(E165&lt;301,E165/2,E165/3)))</f>
        <v>316.55847599999998</v>
      </c>
      <c r="G165" s="76">
        <v>0</v>
      </c>
      <c r="H165" s="76">
        <f t="shared" ref="H165:H167" si="21">(F165+(IF(G165&lt;101,G165,IF(G165&lt;201,G165/2,IF(G165&lt;=301,G165/3,G165/4)))))*(($H$114)+1)</f>
        <v>474.83771400000001</v>
      </c>
      <c r="T165" s="31"/>
    </row>
    <row r="166" spans="1:20" x14ac:dyDescent="0.35">
      <c r="A166" s="95">
        <f>A165+1</f>
        <v>16</v>
      </c>
      <c r="B166" s="96"/>
      <c r="C166" s="76" t="s">
        <v>382</v>
      </c>
      <c r="D166" s="79">
        <f>(3.85*6.76+1.55*1.65+0.9*0.6+1.65*0.9)*10.764</f>
        <v>329.46989399999995</v>
      </c>
      <c r="E166" s="79">
        <f>(3.85*0.75)*10.764</f>
        <v>31.081050000000001</v>
      </c>
      <c r="F166" s="76">
        <f t="shared" si="20"/>
        <v>360.55094399999996</v>
      </c>
      <c r="G166" s="76">
        <v>0</v>
      </c>
      <c r="H166" s="76">
        <f t="shared" si="21"/>
        <v>540.82641599999988</v>
      </c>
      <c r="T166" s="31"/>
    </row>
    <row r="167" spans="1:20" x14ac:dyDescent="0.35">
      <c r="A167" s="94">
        <f>A166+1</f>
        <v>17</v>
      </c>
      <c r="B167" s="94"/>
      <c r="C167" s="85" t="s">
        <v>382</v>
      </c>
      <c r="D167" s="79">
        <f>(1.55*1.65+3.35*3.4+3.18*3.37+0.9*0.6+1.65*0.9)*10.764</f>
        <v>287.28147240000004</v>
      </c>
      <c r="E167" s="79">
        <f t="shared" ref="E167:E174" si="22">(3.35*0.75)*10.764</f>
        <v>27.044550000000001</v>
      </c>
      <c r="F167" s="85">
        <f t="shared" si="20"/>
        <v>314.32602240000006</v>
      </c>
      <c r="G167" s="85">
        <v>0</v>
      </c>
      <c r="H167" s="85">
        <f t="shared" si="21"/>
        <v>471.48903360000008</v>
      </c>
      <c r="T167" s="31"/>
    </row>
    <row r="168" spans="1:20" x14ac:dyDescent="0.35">
      <c r="A168" s="94">
        <v>18</v>
      </c>
      <c r="B168" s="94"/>
      <c r="C168" s="85" t="s">
        <v>382</v>
      </c>
      <c r="D168" s="79">
        <f>(1.55*1.65+3.35*3.4+3.18*3.37+0.9*0.6+1.65*0.9)*10.764</f>
        <v>287.28147240000004</v>
      </c>
      <c r="E168" s="79">
        <f t="shared" si="22"/>
        <v>27.044550000000001</v>
      </c>
      <c r="F168" s="85">
        <f>D168+(IF(E168&lt;201,E168,IF(E168&lt;301,E168/2,E168/3)))</f>
        <v>314.32602240000006</v>
      </c>
      <c r="G168" s="54">
        <v>0</v>
      </c>
      <c r="H168" s="85">
        <f>(F168+(IF(G168&lt;101,G168,IF(G168&lt;201,G168/2,IF(G168&lt;=301,G168/3,G168/4)))))*(($H$114)+1)</f>
        <v>471.48903360000008</v>
      </c>
      <c r="T168" s="31"/>
    </row>
    <row r="169" spans="1:20" x14ac:dyDescent="0.35">
      <c r="A169" s="94">
        <f>A168+1</f>
        <v>19</v>
      </c>
      <c r="B169" s="94"/>
      <c r="C169" s="85" t="s">
        <v>382</v>
      </c>
      <c r="D169" s="79">
        <f>(1.55*1.65+3.35*6.76+1.65*0.9+0.9*0.6)*10.764</f>
        <v>293.08757399999996</v>
      </c>
      <c r="E169" s="79">
        <f t="shared" si="22"/>
        <v>27.044550000000001</v>
      </c>
      <c r="F169" s="85">
        <f t="shared" ref="F169:F171" si="23">D169+(IF(E169&lt;201,E169,IF(E169&lt;301,E169/2,E169/3)))</f>
        <v>320.13212399999998</v>
      </c>
      <c r="G169" s="85">
        <v>0</v>
      </c>
      <c r="H169" s="85">
        <f t="shared" ref="H169:H171" si="24">(F169+(IF(G169&lt;101,G169,IF(G169&lt;201,G169/2,IF(G169&lt;=301,G169/3,G169/4)))))*(($H$114)+1)</f>
        <v>480.19818599999996</v>
      </c>
      <c r="T169" s="31"/>
    </row>
    <row r="170" spans="1:20" x14ac:dyDescent="0.35">
      <c r="A170" s="95">
        <f>A169+1</f>
        <v>20</v>
      </c>
      <c r="B170" s="96"/>
      <c r="C170" s="76" t="s">
        <v>382</v>
      </c>
      <c r="D170" s="79">
        <f>(1.55*1.65+3.35*3.4+3.18*3.37+0.9*0.6+1.65*0.9)*10.764</f>
        <v>287.28147240000004</v>
      </c>
      <c r="E170" s="79">
        <f t="shared" si="22"/>
        <v>27.044550000000001</v>
      </c>
      <c r="F170" s="76">
        <f t="shared" si="23"/>
        <v>314.32602240000006</v>
      </c>
      <c r="G170" s="76">
        <v>0</v>
      </c>
      <c r="H170" s="76">
        <f t="shared" si="24"/>
        <v>471.48903360000008</v>
      </c>
      <c r="T170" s="31"/>
    </row>
    <row r="171" spans="1:20" x14ac:dyDescent="0.35">
      <c r="A171" s="95">
        <f>A170+1</f>
        <v>21</v>
      </c>
      <c r="B171" s="96"/>
      <c r="C171" s="76" t="s">
        <v>382</v>
      </c>
      <c r="D171" s="79">
        <f>(1.55*1.65+3.35*3.4+3.18*3.37+0.9*0.6+1.65*0.9)*10.764</f>
        <v>287.28147240000004</v>
      </c>
      <c r="E171" s="79">
        <f t="shared" si="22"/>
        <v>27.044550000000001</v>
      </c>
      <c r="F171" s="76">
        <f t="shared" si="23"/>
        <v>314.32602240000006</v>
      </c>
      <c r="G171" s="76">
        <v>0</v>
      </c>
      <c r="H171" s="76">
        <f t="shared" si="24"/>
        <v>471.48903360000008</v>
      </c>
    </row>
    <row r="172" spans="1:20" x14ac:dyDescent="0.35">
      <c r="A172" s="95">
        <v>22</v>
      </c>
      <c r="B172" s="96"/>
      <c r="C172" s="76" t="s">
        <v>382</v>
      </c>
      <c r="D172" s="79">
        <f>(1.55*1.65+3.35*6.76+1.65*0.9+0.9*0.6)*10.764</f>
        <v>293.08757399999996</v>
      </c>
      <c r="E172" s="79">
        <f t="shared" si="22"/>
        <v>27.044550000000001</v>
      </c>
      <c r="F172" s="76">
        <f>D172+(IF(E172&lt;201,E172,IF(E172&lt;301,E172/2,E172/3)))</f>
        <v>320.13212399999998</v>
      </c>
      <c r="G172" s="54">
        <v>0</v>
      </c>
      <c r="H172" s="76">
        <f>(F172+(IF(G172&lt;101,G172,IF(G172&lt;201,G172/2,IF(G172&lt;=301,G172/3,G172/4)))))*(($H$114)+1)</f>
        <v>480.19818599999996</v>
      </c>
    </row>
    <row r="173" spans="1:20" x14ac:dyDescent="0.35">
      <c r="A173" s="95">
        <f>A172+1</f>
        <v>23</v>
      </c>
      <c r="B173" s="96"/>
      <c r="C173" s="76" t="s">
        <v>382</v>
      </c>
      <c r="D173" s="79">
        <f>(1.55*1.65+3.35*3.4+3.18*3.37+0.9*0.6+1.65*0.9)*10.764</f>
        <v>287.28147240000004</v>
      </c>
      <c r="E173" s="79">
        <f t="shared" si="22"/>
        <v>27.044550000000001</v>
      </c>
      <c r="F173" s="76">
        <f t="shared" ref="F173:F175" si="25">D173+(IF(E173&lt;201,E173,IF(E173&lt;301,E173/2,E173/3)))</f>
        <v>314.32602240000006</v>
      </c>
      <c r="G173" s="76">
        <v>0</v>
      </c>
      <c r="H173" s="76">
        <f t="shared" ref="H173:H175" si="26">(F173+(IF(G173&lt;101,G173,IF(G173&lt;201,G173/2,IF(G173&lt;=301,G173/3,G173/4)))))*(($H$114)+1)</f>
        <v>471.48903360000008</v>
      </c>
    </row>
    <row r="174" spans="1:20" x14ac:dyDescent="0.35">
      <c r="A174" s="95">
        <f>A173+1</f>
        <v>24</v>
      </c>
      <c r="B174" s="96"/>
      <c r="C174" s="76" t="s">
        <v>382</v>
      </c>
      <c r="D174" s="79">
        <f>(1.55*1.65+3.35*3.4+3.18*3.37+0.9*0.6+1.65*0.9)*10.764</f>
        <v>287.28147240000004</v>
      </c>
      <c r="E174" s="79">
        <f t="shared" si="22"/>
        <v>27.044550000000001</v>
      </c>
      <c r="F174" s="76">
        <f t="shared" si="25"/>
        <v>314.32602240000006</v>
      </c>
      <c r="G174" s="76">
        <v>0</v>
      </c>
      <c r="H174" s="76">
        <f t="shared" si="26"/>
        <v>471.48903360000008</v>
      </c>
    </row>
    <row r="175" spans="1:20" x14ac:dyDescent="0.35">
      <c r="A175" s="95">
        <f>A174+1</f>
        <v>25</v>
      </c>
      <c r="B175" s="96"/>
      <c r="C175" s="76" t="s">
        <v>382</v>
      </c>
      <c r="D175" s="79">
        <f>(1.6*1.65+3.4*4.15+3.22*2.62+0.9*0.6+1.65*0.9)*10.764</f>
        <v>292.90350959999995</v>
      </c>
      <c r="E175" s="79">
        <f>(3.22*0.75)*10.764</f>
        <v>25.995059999999999</v>
      </c>
      <c r="F175" s="76">
        <f t="shared" si="25"/>
        <v>318.89856959999997</v>
      </c>
      <c r="G175" s="76">
        <v>0</v>
      </c>
      <c r="H175" s="76">
        <f t="shared" si="26"/>
        <v>478.34785439999996</v>
      </c>
    </row>
    <row r="176" spans="1:20" x14ac:dyDescent="0.35">
      <c r="A176" s="98" t="s">
        <v>389</v>
      </c>
      <c r="B176" s="99"/>
      <c r="C176" s="99"/>
      <c r="D176" s="99"/>
      <c r="E176" s="99"/>
      <c r="F176" s="99"/>
      <c r="G176" s="99"/>
      <c r="H176" s="100"/>
    </row>
    <row r="177" spans="1:10" x14ac:dyDescent="0.35">
      <c r="A177" s="95">
        <v>1</v>
      </c>
      <c r="B177" s="96"/>
      <c r="C177" s="76" t="s">
        <v>387</v>
      </c>
      <c r="D177" s="79">
        <f>(3.14*1.75+3.57*6.01+3.12*1.4+1.72*1.27+0.28*0.28*0.5+(1.43+1.33)*0.1*0.5+(0.35+1.33)*0.98*0.5+1.3*1.45)*10.764</f>
        <v>391.68581399999988</v>
      </c>
      <c r="E177" s="79">
        <f>(3.14*0.75)*10.764</f>
        <v>25.349219999999999</v>
      </c>
      <c r="F177" s="76">
        <f>D177+(IF(E177&lt;201,E177,IF(E177&lt;301,E177/2,E177/3)))</f>
        <v>417.03503399999988</v>
      </c>
      <c r="G177" s="54">
        <v>0</v>
      </c>
      <c r="H177" s="76">
        <f>(F177+(IF(G177&lt;101,G177,IF(G177&lt;201,G177/2,IF(G177&lt;=301,G177/3,G177/4)))))*(($H$114)+1)</f>
        <v>625.55255099999977</v>
      </c>
    </row>
    <row r="178" spans="1:10" x14ac:dyDescent="0.35">
      <c r="A178" s="95">
        <f>A177+1</f>
        <v>2</v>
      </c>
      <c r="B178" s="96"/>
      <c r="C178" s="76" t="s">
        <v>387</v>
      </c>
      <c r="D178" s="79">
        <f>(3.35*9.16+1.3*1.45+1.95*1.27+0.28*0.28*0.5+(1.67+1.56)*0.11*0.5+(0.58+1.56)*0.98*0.5)*10.764</f>
        <v>390.8725938</v>
      </c>
      <c r="E178" s="79">
        <f>(3.35*0.75)*10.764</f>
        <v>27.044550000000001</v>
      </c>
      <c r="F178" s="76">
        <f t="shared" ref="F178:F180" si="27">D178+(IF(E178&lt;201,E178,IF(E178&lt;301,E178/2,E178/3)))</f>
        <v>417.91714380000002</v>
      </c>
      <c r="G178" s="76">
        <v>0</v>
      </c>
      <c r="H178" s="76">
        <f t="shared" ref="H178:H180" si="28">(F178+(IF(G178&lt;101,G178,IF(G178&lt;201,G178/2,IF(G178&lt;=301,G178/3,G178/4)))))*(($H$114)+1)</f>
        <v>626.8757157</v>
      </c>
    </row>
    <row r="179" spans="1:10" x14ac:dyDescent="0.35">
      <c r="A179" s="95">
        <f>A178+1</f>
        <v>3</v>
      </c>
      <c r="B179" s="96"/>
      <c r="C179" s="76" t="s">
        <v>387</v>
      </c>
      <c r="D179" s="79">
        <f>(3.23*1.75+3.35*6.01+3.18*1.4+1.78*1.27+0.11*0.11*0.5+(1.56+1.8)*0.1*0.5+(0.63+1.56)*0.98*0.5+1.3*1.45)*10.764</f>
        <v>383.52939299999991</v>
      </c>
      <c r="E179" s="79">
        <f>(3.35*0.75)*10.764</f>
        <v>27.044550000000001</v>
      </c>
      <c r="F179" s="76">
        <f t="shared" si="27"/>
        <v>410.57394299999993</v>
      </c>
      <c r="G179" s="76">
        <v>0</v>
      </c>
      <c r="H179" s="76">
        <f t="shared" si="28"/>
        <v>615.86091449999992</v>
      </c>
      <c r="I179" s="17">
        <f>14200000/H179</f>
        <v>23057.154084097998</v>
      </c>
    </row>
    <row r="180" spans="1:10" ht="15" customHeight="1" x14ac:dyDescent="0.35">
      <c r="A180" s="95">
        <f>A179+1</f>
        <v>4</v>
      </c>
      <c r="B180" s="96"/>
      <c r="C180" s="76" t="s">
        <v>387</v>
      </c>
      <c r="D180" s="79">
        <f>(3.23*1.75+3.57*6.01+3.18*1.4+1.3*1.45+1.78*1.27+0.28*0.28*0.5+(1.39+1.8)*0.11*0.5+(1.39+0.41)*0.98*0.5+0.6*0.18)*10.764</f>
        <v>397.30408379999989</v>
      </c>
      <c r="E180" s="79">
        <f>(3.35*0.75)*10.764</f>
        <v>27.044550000000001</v>
      </c>
      <c r="F180" s="76">
        <f t="shared" si="27"/>
        <v>424.3486337999999</v>
      </c>
      <c r="G180" s="76">
        <v>0</v>
      </c>
      <c r="H180" s="76">
        <f t="shared" si="28"/>
        <v>636.52295069999991</v>
      </c>
    </row>
    <row r="181" spans="1:10" x14ac:dyDescent="0.35">
      <c r="A181" s="95">
        <v>5</v>
      </c>
      <c r="B181" s="96"/>
      <c r="C181" s="76" t="s">
        <v>387</v>
      </c>
      <c r="D181" s="79">
        <f>(3.35*9.16+1.95*1.27+0.28*0.28*0.5+(1.56+1.67)*0.11*0.5+(1.58+0.58)*0.98*0.5+1.3*1.45)*10.764</f>
        <v>390.97808099999997</v>
      </c>
      <c r="E181" s="79">
        <f>(3.35*0.75)*10.764</f>
        <v>27.044550000000001</v>
      </c>
      <c r="F181" s="76">
        <f>D181+(IF(E181&lt;201,E181,IF(E181&lt;301,E181/2,E181/3)))</f>
        <v>418.02263099999999</v>
      </c>
      <c r="G181" s="54">
        <v>0</v>
      </c>
      <c r="H181" s="76">
        <f>(F181+(IF(G181&lt;101,G181,IF(G181&lt;201,G181/2,IF(G181&lt;=301,G181/3,G181/4)))))*(($H$114)+1)</f>
        <v>627.03394649999996</v>
      </c>
    </row>
    <row r="182" spans="1:10" x14ac:dyDescent="0.35">
      <c r="A182" s="95">
        <f>A181+1</f>
        <v>6</v>
      </c>
      <c r="B182" s="96"/>
      <c r="C182" s="76" t="s">
        <v>387</v>
      </c>
      <c r="D182" s="79">
        <f>(3.23*1.75+3.35*6.01+3.18*1.4+1.78*1.42+0.28*0.28*0.5+(1.56+1.67)*0.11*0.5+(0.41+1.39)*0.98*0.5+1.3*1.45)*10.764</f>
        <v>384.80707979999994</v>
      </c>
      <c r="E182" s="79">
        <f>(3.35*0.75)*10.764</f>
        <v>27.044550000000001</v>
      </c>
      <c r="F182" s="76">
        <f t="shared" ref="F182:F184" si="29">D182+(IF(E182&lt;201,E182,IF(E182&lt;301,E182/2,E182/3)))</f>
        <v>411.85162979999996</v>
      </c>
      <c r="G182" s="76">
        <v>0</v>
      </c>
      <c r="H182" s="76">
        <f t="shared" ref="H182:H184" si="30">(F182+(IF(G182&lt;101,G182,IF(G182&lt;201,G182/2,IF(G182&lt;=301,G182/3,G182/4)))))*(($H$114)+1)</f>
        <v>617.77744469999993</v>
      </c>
    </row>
    <row r="183" spans="1:10" x14ac:dyDescent="0.35">
      <c r="A183" s="95">
        <f>A182+1</f>
        <v>7</v>
      </c>
      <c r="B183" s="96"/>
      <c r="C183" s="76" t="s">
        <v>387</v>
      </c>
      <c r="D183" s="79">
        <f>(10.1*1.75+10.35*6.01+4.93*1.4+3.53*1.27+0.28*0.28*0.5+(3.25+3.14)*0.11*0.5+(3.14+2.16)*0.98*0.5+1.3*1.45)*10.764</f>
        <v>1034.8105949999999</v>
      </c>
      <c r="E183" s="79">
        <f>(10.35*0.75)*10.764</f>
        <v>83.555549999999982</v>
      </c>
      <c r="F183" s="76">
        <f t="shared" si="29"/>
        <v>1118.366145</v>
      </c>
      <c r="G183" s="76">
        <v>0</v>
      </c>
      <c r="H183" s="76">
        <f t="shared" si="30"/>
        <v>1677.5492174999999</v>
      </c>
    </row>
    <row r="184" spans="1:10" x14ac:dyDescent="0.35">
      <c r="A184" s="95">
        <f>A183+1</f>
        <v>8</v>
      </c>
      <c r="B184" s="96"/>
      <c r="C184" s="76" t="s">
        <v>387</v>
      </c>
      <c r="D184" s="79">
        <f>(9.38*1.75+0.4*0.4+4.8*1.75+14.95*6.01+4.14*1.4+2.74*1.27+(2.71+2.6)*0.11*0.5+(2.6+1.62)*1.08*0.5+1.3*1.45)*10.764</f>
        <v>1383.7783985999999</v>
      </c>
      <c r="E184" s="79">
        <f>(14.9*0.75)*10.764</f>
        <v>120.2877</v>
      </c>
      <c r="F184" s="76">
        <f t="shared" si="29"/>
        <v>1504.0660986</v>
      </c>
      <c r="G184" s="76">
        <v>0</v>
      </c>
      <c r="H184" s="76">
        <f t="shared" si="30"/>
        <v>2256.0991478999999</v>
      </c>
    </row>
    <row r="185" spans="1:10" x14ac:dyDescent="0.35">
      <c r="A185" s="95">
        <v>9</v>
      </c>
      <c r="B185" s="96"/>
      <c r="C185" s="76" t="s">
        <v>387</v>
      </c>
      <c r="D185" s="79">
        <f>(5.1*9.16+3.85*1.27+0.28*0.28*0.5+(3.37+3.26)*0.11*0.5+(3.33+3.26)*0.98*0.5+1.3*1.45)*10.764</f>
        <v>614.87681579999992</v>
      </c>
      <c r="E185" s="79">
        <f>(5.1*0.75)*10.764</f>
        <v>41.172299999999993</v>
      </c>
      <c r="F185" s="76">
        <f>D185+(IF(E185&lt;201,E185,IF(E185&lt;301,E185/2,E185/3)))</f>
        <v>656.04911579999987</v>
      </c>
      <c r="G185" s="54">
        <v>0</v>
      </c>
      <c r="H185" s="76">
        <f>(F185+(IF(G185&lt;101,G185,IF(G185&lt;201,G185/2,IF(G185&lt;=301,G185/3,G185/4)))))*(($H$114)+1)</f>
        <v>984.07367369999974</v>
      </c>
    </row>
    <row r="186" spans="1:10" x14ac:dyDescent="0.35">
      <c r="A186" s="95">
        <f>A185+1</f>
        <v>10</v>
      </c>
      <c r="B186" s="96"/>
      <c r="C186" s="76" t="s">
        <v>387</v>
      </c>
      <c r="D186" s="79">
        <f>(3.34*1.25+3.34*1.25+7.07*0.5+7.5*6.01+3.71*1.2+3.36*1.8+1.86*1.46+0.28*0.28*0.5+(1.58+1.47)*0.11*0.5+(1.47+0.49)*0.98*0.5+1.3*1.65)*10.764</f>
        <v>791.02429379999967</v>
      </c>
      <c r="E186" s="79">
        <f>(7.5*0.75)*10.764</f>
        <v>60.547499999999999</v>
      </c>
      <c r="F186" s="76">
        <f t="shared" ref="F186:F188" si="31">D186+(IF(E186&lt;201,E186,IF(E186&lt;301,E186/2,E186/3)))</f>
        <v>851.57179379999968</v>
      </c>
      <c r="G186" s="76">
        <v>0</v>
      </c>
      <c r="H186" s="76">
        <f t="shared" ref="H186:H188" si="32">(F186+(IF(G186&lt;101,G186,IF(G186&lt;201,G186/2,IF(G186&lt;=301,G186/3,G186/4)))))*(($H$114)+1)</f>
        <v>1277.3576906999995</v>
      </c>
    </row>
    <row r="187" spans="1:10" x14ac:dyDescent="0.35">
      <c r="A187" s="95">
        <f>A186+1</f>
        <v>11</v>
      </c>
      <c r="B187" s="96"/>
      <c r="C187" s="76" t="s">
        <v>387</v>
      </c>
      <c r="D187" s="79">
        <f>(3.17*1.65+4.25*0.43+4.97*3.4+4.45*0.95+(5.05+2.7)*2.42*0.5+(0.6*0.45)*0.15*0.5+3.58*0.76*0.67+1.65*0.9+0.9*0.6)*10.764</f>
        <v>445.94375810399993</v>
      </c>
      <c r="E187" s="79">
        <f>(2.4*0.75)*10.764</f>
        <v>19.375199999999996</v>
      </c>
      <c r="F187" s="76">
        <f t="shared" si="31"/>
        <v>465.31895810399993</v>
      </c>
      <c r="G187" s="76">
        <v>0</v>
      </c>
      <c r="H187" s="76">
        <f t="shared" si="32"/>
        <v>697.97843715599993</v>
      </c>
    </row>
    <row r="188" spans="1:10" x14ac:dyDescent="0.35">
      <c r="A188" s="95">
        <f>A187+1</f>
        <v>12</v>
      </c>
      <c r="B188" s="96"/>
      <c r="C188" s="76" t="s">
        <v>387</v>
      </c>
      <c r="D188" s="79">
        <f>(2.05*1.65+3.85*6.76+0.9*0.6+1.65*0.9)*10.764</f>
        <v>338.35019399999999</v>
      </c>
      <c r="E188" s="79">
        <f>(3.85*0.75)*10.764</f>
        <v>31.081050000000001</v>
      </c>
      <c r="F188" s="76">
        <f t="shared" si="31"/>
        <v>369.43124399999999</v>
      </c>
      <c r="G188" s="76">
        <v>0</v>
      </c>
      <c r="H188" s="76">
        <f t="shared" si="32"/>
        <v>554.14686600000005</v>
      </c>
    </row>
    <row r="189" spans="1:10" x14ac:dyDescent="0.35">
      <c r="A189" s="95">
        <v>14</v>
      </c>
      <c r="B189" s="96"/>
      <c r="C189" s="76" t="s">
        <v>387</v>
      </c>
      <c r="D189" s="79">
        <f>(1.6*1.65+3.4*3.4+3.2*3.37+1.65*0.9+0.9*0.6)*10.764</f>
        <v>290.72487599999999</v>
      </c>
      <c r="E189" s="79">
        <f>(3.2*0.75)*10.764</f>
        <v>25.833600000000001</v>
      </c>
      <c r="F189" s="76">
        <f>D189+(IF(E189&lt;201,E189,IF(E189&lt;301,E189/2,E189/3)))</f>
        <v>316.55847599999998</v>
      </c>
      <c r="G189" s="54">
        <v>0</v>
      </c>
      <c r="H189" s="76">
        <f>(F189+(IF(G189&lt;101,G189,IF(G189&lt;201,G189/2,IF(G189&lt;=301,G189/3,G189/4)))))*(($H$114)+1)</f>
        <v>474.83771400000001</v>
      </c>
      <c r="J189" s="17">
        <f>142000000/H189</f>
        <v>299049.54011298268</v>
      </c>
    </row>
    <row r="190" spans="1:10" x14ac:dyDescent="0.35">
      <c r="A190" s="95">
        <f>A189+1</f>
        <v>15</v>
      </c>
      <c r="B190" s="96"/>
      <c r="C190" s="76" t="s">
        <v>387</v>
      </c>
      <c r="D190" s="79">
        <f>(1.6*1.65+3.4*3.4+3.2*3.37+1.65*0.9+0.9*0.6)*10.764</f>
        <v>290.72487599999999</v>
      </c>
      <c r="E190" s="79">
        <f>(3.2*0.75)*10.764</f>
        <v>25.833600000000001</v>
      </c>
      <c r="F190" s="76">
        <f t="shared" ref="F190:F192" si="33">D190+(IF(E190&lt;201,E190,IF(E190&lt;301,E190/2,E190/3)))</f>
        <v>316.55847599999998</v>
      </c>
      <c r="G190" s="76">
        <v>0</v>
      </c>
      <c r="H190" s="76">
        <f t="shared" ref="H190:H192" si="34">(F190+(IF(G190&lt;101,G190,IF(G190&lt;201,G190/2,IF(G190&lt;=301,G190/3,G190/4)))))*(($H$114)+1)</f>
        <v>474.83771400000001</v>
      </c>
    </row>
    <row r="191" spans="1:10" x14ac:dyDescent="0.35">
      <c r="A191" s="95">
        <f>A190+1</f>
        <v>16</v>
      </c>
      <c r="B191" s="96"/>
      <c r="C191" s="76" t="s">
        <v>387</v>
      </c>
      <c r="D191" s="79">
        <f>(3.85*6.76+1.55*1.65+0.9*0.6+1.65*0.9)*10.764</f>
        <v>329.46989399999995</v>
      </c>
      <c r="E191" s="79">
        <f>(3.85*0.75)*10.764</f>
        <v>31.081050000000001</v>
      </c>
      <c r="F191" s="76">
        <f t="shared" si="33"/>
        <v>360.55094399999996</v>
      </c>
      <c r="G191" s="76">
        <v>0</v>
      </c>
      <c r="H191" s="76">
        <f t="shared" si="34"/>
        <v>540.82641599999988</v>
      </c>
    </row>
    <row r="192" spans="1:10" x14ac:dyDescent="0.35">
      <c r="A192" s="95">
        <f>A191+1</f>
        <v>17</v>
      </c>
      <c r="B192" s="96"/>
      <c r="C192" s="76" t="s">
        <v>387</v>
      </c>
      <c r="D192" s="79">
        <f>(1.55*1.65+3.35*3.4+3.18*3.37+0.9*0.6+1.65*0.9)*10.764</f>
        <v>287.28147240000004</v>
      </c>
      <c r="E192" s="79">
        <f t="shared" ref="E192:E199" si="35">(3.35*0.75)*10.764</f>
        <v>27.044550000000001</v>
      </c>
      <c r="F192" s="76">
        <f t="shared" si="33"/>
        <v>314.32602240000006</v>
      </c>
      <c r="G192" s="76">
        <v>0</v>
      </c>
      <c r="H192" s="76">
        <f t="shared" si="34"/>
        <v>471.48903360000008</v>
      </c>
    </row>
    <row r="193" spans="1:8" x14ac:dyDescent="0.35">
      <c r="A193" s="95">
        <v>18</v>
      </c>
      <c r="B193" s="96"/>
      <c r="C193" s="76" t="s">
        <v>387</v>
      </c>
      <c r="D193" s="79">
        <f>(1.55*1.65+3.35*3.4+3.18*3.37+0.9*0.6+1.65*0.9)*10.764</f>
        <v>287.28147240000004</v>
      </c>
      <c r="E193" s="79">
        <f t="shared" si="35"/>
        <v>27.044550000000001</v>
      </c>
      <c r="F193" s="76">
        <f>D193+(IF(E193&lt;201,E193,IF(E193&lt;301,E193/2,E193/3)))</f>
        <v>314.32602240000006</v>
      </c>
      <c r="G193" s="54">
        <v>0</v>
      </c>
      <c r="H193" s="76">
        <f>(F193+(IF(G193&lt;101,G193,IF(G193&lt;201,G193/2,IF(G193&lt;=301,G193/3,G193/4)))))*(($H$114)+1)</f>
        <v>471.48903360000008</v>
      </c>
    </row>
    <row r="194" spans="1:8" x14ac:dyDescent="0.35">
      <c r="A194" s="95">
        <f>A193+1</f>
        <v>19</v>
      </c>
      <c r="B194" s="96"/>
      <c r="C194" s="76" t="s">
        <v>387</v>
      </c>
      <c r="D194" s="79">
        <f>(1.55*1.65+3.35*6.76+1.65*0.9+0.9*0.6)*10.764</f>
        <v>293.08757399999996</v>
      </c>
      <c r="E194" s="79">
        <f t="shared" si="35"/>
        <v>27.044550000000001</v>
      </c>
      <c r="F194" s="76">
        <f t="shared" ref="F194:F196" si="36">D194+(IF(E194&lt;201,E194,IF(E194&lt;301,E194/2,E194/3)))</f>
        <v>320.13212399999998</v>
      </c>
      <c r="G194" s="76">
        <v>0</v>
      </c>
      <c r="H194" s="76">
        <f t="shared" ref="H194:H196" si="37">(F194+(IF(G194&lt;101,G194,IF(G194&lt;201,G194/2,IF(G194&lt;=301,G194/3,G194/4)))))*(($H$114)+1)</f>
        <v>480.19818599999996</v>
      </c>
    </row>
    <row r="195" spans="1:8" x14ac:dyDescent="0.35">
      <c r="A195" s="95">
        <f>A194+1</f>
        <v>20</v>
      </c>
      <c r="B195" s="96"/>
      <c r="C195" s="76" t="s">
        <v>387</v>
      </c>
      <c r="D195" s="79">
        <f>(1.55*1.65+3.35*3.4+3.18*3.37+0.9*0.6+1.65*0.9)*10.764</f>
        <v>287.28147240000004</v>
      </c>
      <c r="E195" s="79">
        <f t="shared" si="35"/>
        <v>27.044550000000001</v>
      </c>
      <c r="F195" s="76">
        <f t="shared" si="36"/>
        <v>314.32602240000006</v>
      </c>
      <c r="G195" s="76">
        <v>0</v>
      </c>
      <c r="H195" s="76">
        <f t="shared" si="37"/>
        <v>471.48903360000008</v>
      </c>
    </row>
    <row r="196" spans="1:8" x14ac:dyDescent="0.35">
      <c r="A196" s="95">
        <f>A195+1</f>
        <v>21</v>
      </c>
      <c r="B196" s="96"/>
      <c r="C196" s="76" t="s">
        <v>387</v>
      </c>
      <c r="D196" s="79">
        <f>(1.55*1.65+3.35*3.4+3.18*3.37+0.9*0.6+1.65*0.9)*10.764</f>
        <v>287.28147240000004</v>
      </c>
      <c r="E196" s="79">
        <f t="shared" si="35"/>
        <v>27.044550000000001</v>
      </c>
      <c r="F196" s="76">
        <f t="shared" si="36"/>
        <v>314.32602240000006</v>
      </c>
      <c r="G196" s="76">
        <v>0</v>
      </c>
      <c r="H196" s="76">
        <f t="shared" si="37"/>
        <v>471.48903360000008</v>
      </c>
    </row>
    <row r="197" spans="1:8" x14ac:dyDescent="0.35">
      <c r="A197" s="95">
        <v>22</v>
      </c>
      <c r="B197" s="96"/>
      <c r="C197" s="76" t="s">
        <v>387</v>
      </c>
      <c r="D197" s="79">
        <f>(1.55*1.65+3.35*6.76+1.65*0.9+0.9*0.6)*10.764</f>
        <v>293.08757399999996</v>
      </c>
      <c r="E197" s="79">
        <f t="shared" si="35"/>
        <v>27.044550000000001</v>
      </c>
      <c r="F197" s="76">
        <f>D197+(IF(E197&lt;201,E197,IF(E197&lt;301,E197/2,E197/3)))</f>
        <v>320.13212399999998</v>
      </c>
      <c r="G197" s="54">
        <v>0</v>
      </c>
      <c r="H197" s="76">
        <f>(F197+(IF(G197&lt;101,G197,IF(G197&lt;201,G197/2,IF(G197&lt;=301,G197/3,G197/4)))))*(($H$114)+1)</f>
        <v>480.19818599999996</v>
      </c>
    </row>
    <row r="198" spans="1:8" x14ac:dyDescent="0.35">
      <c r="A198" s="95">
        <f>A197+1</f>
        <v>23</v>
      </c>
      <c r="B198" s="96"/>
      <c r="C198" s="76" t="s">
        <v>387</v>
      </c>
      <c r="D198" s="79">
        <f>(1.55*1.65+3.35*3.4+3.18*3.37+0.9*0.6+1.65*0.9)*10.764</f>
        <v>287.28147240000004</v>
      </c>
      <c r="E198" s="79">
        <f t="shared" si="35"/>
        <v>27.044550000000001</v>
      </c>
      <c r="F198" s="76">
        <f t="shared" ref="F198:F200" si="38">D198+(IF(E198&lt;201,E198,IF(E198&lt;301,E198/2,E198/3)))</f>
        <v>314.32602240000006</v>
      </c>
      <c r="G198" s="76">
        <v>0</v>
      </c>
      <c r="H198" s="76">
        <f t="shared" ref="H198:H200" si="39">(F198+(IF(G198&lt;101,G198,IF(G198&lt;201,G198/2,IF(G198&lt;=301,G198/3,G198/4)))))*(($H$114)+1)</f>
        <v>471.48903360000008</v>
      </c>
    </row>
    <row r="199" spans="1:8" x14ac:dyDescent="0.35">
      <c r="A199" s="95">
        <f>A198+1</f>
        <v>24</v>
      </c>
      <c r="B199" s="96"/>
      <c r="C199" s="76" t="s">
        <v>387</v>
      </c>
      <c r="D199" s="79">
        <f>(1.55*1.65+3.35*3.4+3.18*3.37+0.9*0.6+1.65*0.9)*10.764</f>
        <v>287.28147240000004</v>
      </c>
      <c r="E199" s="79">
        <f t="shared" si="35"/>
        <v>27.044550000000001</v>
      </c>
      <c r="F199" s="76">
        <f t="shared" si="38"/>
        <v>314.32602240000006</v>
      </c>
      <c r="G199" s="76">
        <v>0</v>
      </c>
      <c r="H199" s="76">
        <f t="shared" si="39"/>
        <v>471.48903360000008</v>
      </c>
    </row>
    <row r="200" spans="1:8" x14ac:dyDescent="0.35">
      <c r="A200" s="95">
        <f>A199+1</f>
        <v>25</v>
      </c>
      <c r="B200" s="96"/>
      <c r="C200" s="76" t="s">
        <v>387</v>
      </c>
      <c r="D200" s="79">
        <f>(1.6*1.65+3.4*4.15+3.22*2.62+0.9*0.6+1.65*0.9)*10.764</f>
        <v>292.90350959999995</v>
      </c>
      <c r="E200" s="79">
        <f>(3.22*0.75)*10.764</f>
        <v>25.995059999999999</v>
      </c>
      <c r="F200" s="76">
        <f t="shared" si="38"/>
        <v>318.89856959999997</v>
      </c>
      <c r="G200" s="76">
        <v>0</v>
      </c>
      <c r="H200" s="76">
        <f t="shared" si="39"/>
        <v>478.34785439999996</v>
      </c>
    </row>
    <row r="201" spans="1:8" x14ac:dyDescent="0.35">
      <c r="A201" s="97" t="s">
        <v>388</v>
      </c>
      <c r="B201" s="97"/>
      <c r="C201" s="97"/>
      <c r="D201" s="97"/>
      <c r="E201" s="97"/>
      <c r="F201" s="97"/>
      <c r="G201" s="97"/>
      <c r="H201" s="97"/>
    </row>
    <row r="202" spans="1:8" x14ac:dyDescent="0.35">
      <c r="A202" s="94">
        <v>1</v>
      </c>
      <c r="B202" s="94"/>
      <c r="C202" s="85" t="s">
        <v>387</v>
      </c>
      <c r="D202" s="79">
        <f>(3.14*1.75+3.57*6.01+3.12*1.4+1.72*1.27+0.28*0.28*0.5+(1.43+1.33)*0.1*0.5+(0.35+1.33)*0.98*0.5+1.3*1.45)*10.764</f>
        <v>391.68581399999988</v>
      </c>
      <c r="E202" s="79">
        <f>(3.14*0.75)*10.764</f>
        <v>25.349219999999999</v>
      </c>
      <c r="F202" s="85">
        <f>D202+(IF(E202&lt;201,E202,IF(E202&lt;301,E202/2,E202/3)))</f>
        <v>417.03503399999988</v>
      </c>
      <c r="G202" s="54">
        <v>0</v>
      </c>
      <c r="H202" s="85">
        <f>(F202+(IF(G202&lt;101,G202,IF(G202&lt;201,G202/2,IF(G202&lt;=301,G202/3,G202/4)))))*(($H$114)+1)</f>
        <v>625.55255099999977</v>
      </c>
    </row>
    <row r="203" spans="1:8" x14ac:dyDescent="0.35">
      <c r="A203" s="94">
        <f>A202+1</f>
        <v>2</v>
      </c>
      <c r="B203" s="94"/>
      <c r="C203" s="85" t="s">
        <v>387</v>
      </c>
      <c r="D203" s="79">
        <f>(3.35*9.16+1.3*1.45+1.95*1.27+0.28*0.28*0.5+(1.67+1.56)*0.11*0.5+(0.58+1.56)*0.98*0.5)*10.764</f>
        <v>390.8725938</v>
      </c>
      <c r="E203" s="79">
        <f>(3.35*0.75)*10.764</f>
        <v>27.044550000000001</v>
      </c>
      <c r="F203" s="85">
        <f t="shared" ref="F203:F205" si="40">D203+(IF(E203&lt;201,E203,IF(E203&lt;301,E203/2,E203/3)))</f>
        <v>417.91714380000002</v>
      </c>
      <c r="G203" s="85">
        <v>0</v>
      </c>
      <c r="H203" s="85">
        <f t="shared" ref="H203:H205" si="41">(F203+(IF(G203&lt;101,G203,IF(G203&lt;201,G203/2,IF(G203&lt;=301,G203/3,G203/4)))))*(($H$114)+1)</f>
        <v>626.8757157</v>
      </c>
    </row>
    <row r="204" spans="1:8" x14ac:dyDescent="0.35">
      <c r="A204" s="94">
        <f>A203+1</f>
        <v>3</v>
      </c>
      <c r="B204" s="94"/>
      <c r="C204" s="85" t="s">
        <v>387</v>
      </c>
      <c r="D204" s="79">
        <f>(3.23*1.75+3.35*6.01+3.18*1.4+1.78*1.27+0.11*0.11*0.5+(1.56+1.8)*0.1*0.5+(0.63+1.56)*0.98*0.5+1.3*1.45)*10.764</f>
        <v>383.52939299999991</v>
      </c>
      <c r="E204" s="79">
        <f>(3.35*0.75)*10.764</f>
        <v>27.044550000000001</v>
      </c>
      <c r="F204" s="85">
        <f t="shared" si="40"/>
        <v>410.57394299999993</v>
      </c>
      <c r="G204" s="85">
        <v>0</v>
      </c>
      <c r="H204" s="85">
        <f t="shared" si="41"/>
        <v>615.86091449999992</v>
      </c>
    </row>
    <row r="205" spans="1:8" x14ac:dyDescent="0.35">
      <c r="A205" s="94">
        <f>A204+1</f>
        <v>4</v>
      </c>
      <c r="B205" s="94"/>
      <c r="C205" s="85" t="s">
        <v>387</v>
      </c>
      <c r="D205" s="79">
        <f>(3.23*1.75+3.57*6.01+3.18*1.4+1.3*1.45+1.78*1.27+0.28*0.28*0.5+(1.39+1.8)*0.11*0.5+(1.39+0.41)*0.98*0.5+0.6*0.18)*10.764</f>
        <v>397.30408379999989</v>
      </c>
      <c r="E205" s="79">
        <f>(3.35*0.75)*10.764</f>
        <v>27.044550000000001</v>
      </c>
      <c r="F205" s="85">
        <f t="shared" si="40"/>
        <v>424.3486337999999</v>
      </c>
      <c r="G205" s="85">
        <v>0</v>
      </c>
      <c r="H205" s="85">
        <f t="shared" si="41"/>
        <v>636.52295069999991</v>
      </c>
    </row>
    <row r="206" spans="1:8" x14ac:dyDescent="0.35">
      <c r="A206" s="94">
        <v>5</v>
      </c>
      <c r="B206" s="94"/>
      <c r="C206" s="85" t="s">
        <v>387</v>
      </c>
      <c r="D206" s="79">
        <f>(3.35*9.16+1.95*1.27+0.28*0.28*0.5+(1.56+1.67)*0.11*0.5+(1.58+0.58)*0.98*0.5+1.3*1.45)*10.764</f>
        <v>390.97808099999997</v>
      </c>
      <c r="E206" s="79">
        <f>(3.35*0.75)*10.764</f>
        <v>27.044550000000001</v>
      </c>
      <c r="F206" s="85">
        <f>D206+(IF(E206&lt;201,E206,IF(E206&lt;301,E206/2,E206/3)))</f>
        <v>418.02263099999999</v>
      </c>
      <c r="G206" s="54">
        <v>0</v>
      </c>
      <c r="H206" s="85">
        <f>(F206+(IF(G206&lt;101,G206,IF(G206&lt;201,G206/2,IF(G206&lt;=301,G206/3,G206/4)))))*(($H$114)+1)</f>
        <v>627.03394649999996</v>
      </c>
    </row>
    <row r="207" spans="1:8" x14ac:dyDescent="0.35">
      <c r="A207" s="94">
        <f>A206+1</f>
        <v>6</v>
      </c>
      <c r="B207" s="94"/>
      <c r="C207" s="85" t="s">
        <v>387</v>
      </c>
      <c r="D207" s="79">
        <f>(3.23*1.75+3.35*6.01+3.18*1.4+1.78*1.42+0.28*0.28*0.5+(1.56+1.67)*0.11*0.5+(0.41+1.39)*0.98*0.5+1.3*1.45)*10.764</f>
        <v>384.80707979999994</v>
      </c>
      <c r="E207" s="79">
        <f>(3.35*0.75)*10.764</f>
        <v>27.044550000000001</v>
      </c>
      <c r="F207" s="85">
        <f t="shared" ref="F207:F209" si="42">D207+(IF(E207&lt;201,E207,IF(E207&lt;301,E207/2,E207/3)))</f>
        <v>411.85162979999996</v>
      </c>
      <c r="G207" s="85">
        <v>0</v>
      </c>
      <c r="H207" s="85">
        <f t="shared" ref="H207:H209" si="43">(F207+(IF(G207&lt;101,G207,IF(G207&lt;201,G207/2,IF(G207&lt;=301,G207/3,G207/4)))))*(($H$114)+1)</f>
        <v>617.77744469999993</v>
      </c>
    </row>
    <row r="208" spans="1:8" x14ac:dyDescent="0.35">
      <c r="A208" s="94">
        <f>A207+1</f>
        <v>7</v>
      </c>
      <c r="B208" s="94"/>
      <c r="C208" s="85" t="s">
        <v>387</v>
      </c>
      <c r="D208" s="79">
        <f>(4.98*1.75+3.57*6.01+4.93*1.4+3.52*1.27+0.28*0.28*0.5+(3.24+3.14)*0.11+0.5+(3.14+2.16)*0.98*0.5+0.6*0.18+1.3*1.45)*10.764</f>
        <v>509.93481239999988</v>
      </c>
      <c r="E208" s="79">
        <f>(4.98*0.75)*10.764</f>
        <v>40.203540000000004</v>
      </c>
      <c r="F208" s="85">
        <f t="shared" si="42"/>
        <v>550.13835239999992</v>
      </c>
      <c r="G208" s="85">
        <v>0</v>
      </c>
      <c r="H208" s="85">
        <f t="shared" si="43"/>
        <v>825.20752859999993</v>
      </c>
    </row>
    <row r="209" spans="1:8" x14ac:dyDescent="0.35">
      <c r="A209" s="94">
        <f>A208+1</f>
        <v>8</v>
      </c>
      <c r="B209" s="94"/>
      <c r="C209" s="85" t="s">
        <v>387</v>
      </c>
      <c r="D209" s="79">
        <f>(4.98*1.75+5.1*7.41+3.7*1.27+0.28*0.28*0.5+(3.42+3.31)*0.11*0.5+(3.31+2.33)*0.98*0.5+1.3*1.45)*10.764</f>
        <v>605.6143937999999</v>
      </c>
      <c r="E209" s="79">
        <f>(4.98*0.75)*10.764</f>
        <v>40.203540000000004</v>
      </c>
      <c r="F209" s="85">
        <f t="shared" si="42"/>
        <v>645.81793379999988</v>
      </c>
      <c r="G209" s="85">
        <v>0</v>
      </c>
      <c r="H209" s="85">
        <f t="shared" si="43"/>
        <v>968.72690069999976</v>
      </c>
    </row>
    <row r="210" spans="1:8" x14ac:dyDescent="0.35">
      <c r="A210" s="94">
        <v>9</v>
      </c>
      <c r="B210" s="94"/>
      <c r="C210" s="85" t="s">
        <v>387</v>
      </c>
      <c r="D210" s="79">
        <f>(9.38*1.75+0.4*0.4+4.8*1.75+14.95*6.01+4.14*1.4+2.74*1.27+(2.71+2.6)*0.11*0.5+(2.6+1.62)*1.08*0.5+1.3*1.45)*10.764</f>
        <v>1383.7783985999999</v>
      </c>
      <c r="E210" s="79">
        <f>(14.9*0.75)*10.764</f>
        <v>120.2877</v>
      </c>
      <c r="F210" s="85">
        <f>D210+(IF(E210&lt;201,E210,IF(E210&lt;301,E210/2,E210/3)))</f>
        <v>1504.0660986</v>
      </c>
      <c r="G210" s="54">
        <v>0</v>
      </c>
      <c r="H210" s="85">
        <f>(F210+(IF(G210&lt;101,G210,IF(G210&lt;201,G210/2,IF(G210&lt;=301,G210/3,G210/4)))))*(($H$114)+1)</f>
        <v>2256.0991478999999</v>
      </c>
    </row>
    <row r="211" spans="1:8" x14ac:dyDescent="0.35">
      <c r="A211" s="94">
        <f>A210+1</f>
        <v>10</v>
      </c>
      <c r="B211" s="94"/>
      <c r="C211" s="85" t="s">
        <v>387</v>
      </c>
      <c r="D211" s="79">
        <f>(5.1*9.16+3.65*1.27+0.28*0.28*0.5+(3.37*3.26)*0.11*0.5+(3.33+3.26)*0.98*0.5+1.3*1.45)*10.764</f>
        <v>614.72171732399988</v>
      </c>
      <c r="E211" s="79">
        <f>(5.1*0.75)*10.764</f>
        <v>41.172299999999993</v>
      </c>
      <c r="F211" s="85">
        <f t="shared" ref="F211:F213" si="44">D211+(IF(E211&lt;201,E211,IF(E211&lt;301,E211/2,E211/3)))</f>
        <v>655.89401732399983</v>
      </c>
      <c r="G211" s="85">
        <v>0</v>
      </c>
      <c r="H211" s="85">
        <f t="shared" ref="H211:H213" si="45">(F211+(IF(G211&lt;101,G211,IF(G211&lt;201,G211/2,IF(G211&lt;=301,G211/3,G211/4)))))*(($H$114)+1)</f>
        <v>983.84102598599975</v>
      </c>
    </row>
    <row r="212" spans="1:8" x14ac:dyDescent="0.35">
      <c r="A212" s="94">
        <f>A211+1</f>
        <v>11</v>
      </c>
      <c r="B212" s="94"/>
      <c r="C212" s="85" t="s">
        <v>387</v>
      </c>
      <c r="D212" s="79">
        <f>(3.34*1.25+3.34*1.25+7.07*0.5+7.5*6.01+3.71*1.2+3.36*1.8+1.86*1.46+0.28*0.28*0.5+(1.58+1.47)*0.11*0.5+(1.47+0.49)*0.98*0.5+1.3*1.65)*10.764</f>
        <v>791.02429379999967</v>
      </c>
      <c r="E212" s="79">
        <f>(7.07*0.75)*10.764</f>
        <v>57.07611</v>
      </c>
      <c r="F212" s="85">
        <f t="shared" si="44"/>
        <v>848.10040379999964</v>
      </c>
      <c r="G212" s="85">
        <v>0</v>
      </c>
      <c r="H212" s="85">
        <f t="shared" si="45"/>
        <v>1272.1506056999995</v>
      </c>
    </row>
    <row r="213" spans="1:8" x14ac:dyDescent="0.35">
      <c r="A213" s="94">
        <f>A212+1</f>
        <v>12</v>
      </c>
      <c r="B213" s="94"/>
      <c r="C213" s="85" t="s">
        <v>387</v>
      </c>
      <c r="D213" s="79">
        <f>(3.17*1.65+4.25*0.43+4.97*3.4+4.45*0.95+(5.05+2.7)*2.42*0.5+3.58*0.76*0.67+(0.6*0.45)*0.15*0.5+1.65*0.9+0.9*0.6)*10.764</f>
        <v>445.94375810399993</v>
      </c>
      <c r="E213" s="79">
        <f>(2.4*0.75)*10.764</f>
        <v>19.375199999999996</v>
      </c>
      <c r="F213" s="85">
        <f t="shared" si="44"/>
        <v>465.31895810399993</v>
      </c>
      <c r="G213" s="85">
        <v>0</v>
      </c>
      <c r="H213" s="85">
        <f t="shared" si="45"/>
        <v>697.97843715599993</v>
      </c>
    </row>
    <row r="214" spans="1:8" x14ac:dyDescent="0.35">
      <c r="A214" s="94">
        <v>14</v>
      </c>
      <c r="B214" s="94"/>
      <c r="C214" s="85" t="s">
        <v>387</v>
      </c>
      <c r="D214" s="79">
        <f>(2.05*1.65+3.85*6.76+1.65*0.9+0.9*0.6)*10.764</f>
        <v>338.35019399999999</v>
      </c>
      <c r="E214" s="79">
        <f>(3.85*0.75)*10.764</f>
        <v>31.081050000000001</v>
      </c>
      <c r="F214" s="85">
        <f>D214+(IF(E214&lt;201,E214,IF(E214&lt;301,E214/2,E214/3)))</f>
        <v>369.43124399999999</v>
      </c>
      <c r="G214" s="54">
        <v>0</v>
      </c>
      <c r="H214" s="85">
        <f>(F214+(IF(G214&lt;101,G214,IF(G214&lt;201,G214/2,IF(G214&lt;=301,G214/3,G214/4)))))*(($H$114)+1)</f>
        <v>554.14686600000005</v>
      </c>
    </row>
    <row r="215" spans="1:8" x14ac:dyDescent="0.35">
      <c r="A215" s="95">
        <f>A214+1</f>
        <v>15</v>
      </c>
      <c r="B215" s="96"/>
      <c r="C215" s="76" t="s">
        <v>387</v>
      </c>
      <c r="D215" s="79">
        <f>(1.6*1.65+3.4*3.4+3.2*3.37+1.65*0.9+0.9*0.6)*10.764</f>
        <v>290.72487599999999</v>
      </c>
      <c r="E215" s="79">
        <f>(3.2*0.75)*10.764</f>
        <v>25.833600000000001</v>
      </c>
      <c r="F215" s="76">
        <f t="shared" ref="F215:F217" si="46">D215+(IF(E215&lt;201,E215,IF(E215&lt;301,E215/2,E215/3)))</f>
        <v>316.55847599999998</v>
      </c>
      <c r="G215" s="76">
        <v>0</v>
      </c>
      <c r="H215" s="76">
        <f t="shared" ref="H215:H217" si="47">(F215+(IF(G215&lt;101,G215,IF(G215&lt;201,G215/2,IF(G215&lt;=301,G215/3,G215/4)))))*(($H$114)+1)</f>
        <v>474.83771400000001</v>
      </c>
    </row>
    <row r="216" spans="1:8" x14ac:dyDescent="0.35">
      <c r="A216" s="95">
        <f>A215+1</f>
        <v>16</v>
      </c>
      <c r="B216" s="96"/>
      <c r="C216" s="76" t="s">
        <v>387</v>
      </c>
      <c r="D216" s="79">
        <f>(1.6*1.65+3.4*3.4+3.2*3.37+1.65*0.9+0.9*0.6)*10.764</f>
        <v>290.72487599999999</v>
      </c>
      <c r="E216" s="79">
        <f>(3.2*0.75)*10.764</f>
        <v>25.833600000000001</v>
      </c>
      <c r="F216" s="76">
        <f t="shared" si="46"/>
        <v>316.55847599999998</v>
      </c>
      <c r="G216" s="76">
        <v>0</v>
      </c>
      <c r="H216" s="76">
        <f t="shared" si="47"/>
        <v>474.83771400000001</v>
      </c>
    </row>
    <row r="217" spans="1:8" x14ac:dyDescent="0.35">
      <c r="A217" s="95">
        <f>A216+1</f>
        <v>17</v>
      </c>
      <c r="B217" s="96"/>
      <c r="C217" s="76" t="s">
        <v>387</v>
      </c>
      <c r="D217" s="79">
        <f>(1.55*1.65+3.35*6.76+0.9*0.6+1.65*0.9)*10.764</f>
        <v>293.08757399999996</v>
      </c>
      <c r="E217" s="79">
        <f>(3.85*0.75)*10.764</f>
        <v>31.081050000000001</v>
      </c>
      <c r="F217" s="76">
        <f t="shared" si="46"/>
        <v>324.16862399999997</v>
      </c>
      <c r="G217" s="76">
        <v>0</v>
      </c>
      <c r="H217" s="76">
        <f t="shared" si="47"/>
        <v>486.25293599999998</v>
      </c>
    </row>
    <row r="218" spans="1:8" x14ac:dyDescent="0.35">
      <c r="A218" s="95">
        <v>18</v>
      </c>
      <c r="B218" s="96"/>
      <c r="C218" s="76" t="s">
        <v>387</v>
      </c>
      <c r="D218" s="79">
        <f>(1.55*1.65+3.35*3.4+3.18*3.37+0.9*0.6+1.65*0.9)*10.764</f>
        <v>287.28147240000004</v>
      </c>
      <c r="E218" s="79">
        <f>(3.35*0.75)*10.764</f>
        <v>27.044550000000001</v>
      </c>
      <c r="F218" s="76">
        <f>D218+(IF(E218&lt;201,E218,IF(E218&lt;301,E218/2,E218/3)))</f>
        <v>314.32602240000006</v>
      </c>
      <c r="G218" s="54">
        <v>0</v>
      </c>
      <c r="H218" s="76">
        <f>(F218+(IF(G218&lt;101,G218,IF(G218&lt;201,G218/2,IF(G218&lt;=301,G218/3,G218/4)))))*(($H$114)+1)</f>
        <v>471.48903360000008</v>
      </c>
    </row>
    <row r="219" spans="1:8" x14ac:dyDescent="0.35">
      <c r="A219" s="95">
        <f>A218+1</f>
        <v>19</v>
      </c>
      <c r="B219" s="96"/>
      <c r="C219" s="76" t="s">
        <v>387</v>
      </c>
      <c r="D219" s="79">
        <f>(1.55*1.65+3.35*3.4+3.18*3.37+0.9*0.6+1.65*0.9)*10.764</f>
        <v>287.28147240000004</v>
      </c>
      <c r="E219" s="79">
        <f>(3.35*0.75)*10.764</f>
        <v>27.044550000000001</v>
      </c>
      <c r="F219" s="76">
        <f t="shared" ref="F219:F221" si="48">D219+(IF(E219&lt;201,E219,IF(E219&lt;301,E219/2,E219/3)))</f>
        <v>314.32602240000006</v>
      </c>
      <c r="G219" s="76">
        <v>0</v>
      </c>
      <c r="H219" s="76">
        <f t="shared" ref="H219:H221" si="49">(F219+(IF(G219&lt;101,G219,IF(G219&lt;201,G219/2,IF(G219&lt;=301,G219/3,G219/4)))))*(($H$114)+1)</f>
        <v>471.48903360000008</v>
      </c>
    </row>
    <row r="220" spans="1:8" x14ac:dyDescent="0.35">
      <c r="A220" s="95">
        <f>A219+1</f>
        <v>20</v>
      </c>
      <c r="B220" s="96"/>
      <c r="C220" s="76" t="s">
        <v>387</v>
      </c>
      <c r="D220" s="79">
        <f>(1.55*1.65+3.35*6.76+0.9*0.6+1.65*0.9)*10.764</f>
        <v>293.08757399999996</v>
      </c>
      <c r="E220" s="79">
        <f>(3.85*0.75)*10.764</f>
        <v>31.081050000000001</v>
      </c>
      <c r="F220" s="76">
        <f t="shared" si="48"/>
        <v>324.16862399999997</v>
      </c>
      <c r="G220" s="76">
        <v>0</v>
      </c>
      <c r="H220" s="76">
        <f t="shared" si="49"/>
        <v>486.25293599999998</v>
      </c>
    </row>
    <row r="221" spans="1:8" x14ac:dyDescent="0.35">
      <c r="A221" s="95">
        <f>A220+1</f>
        <v>21</v>
      </c>
      <c r="B221" s="96"/>
      <c r="C221" s="76" t="s">
        <v>387</v>
      </c>
      <c r="D221" s="79">
        <f>(1.55*1.65+3.35*3.4+3.18*3.37+0.9*0.6+1.65*0.9)*10.764</f>
        <v>287.28147240000004</v>
      </c>
      <c r="E221" s="79">
        <f>(3.35*0.75)*10.764</f>
        <v>27.044550000000001</v>
      </c>
      <c r="F221" s="76">
        <f t="shared" si="48"/>
        <v>314.32602240000006</v>
      </c>
      <c r="G221" s="76">
        <v>0</v>
      </c>
      <c r="H221" s="76">
        <f t="shared" si="49"/>
        <v>471.48903360000008</v>
      </c>
    </row>
    <row r="222" spans="1:8" x14ac:dyDescent="0.35">
      <c r="A222" s="95">
        <v>22</v>
      </c>
      <c r="B222" s="96"/>
      <c r="C222" s="76" t="s">
        <v>387</v>
      </c>
      <c r="D222" s="79">
        <f>(1.55*1.65+3.35*3.4+3.18*3.37+0.9*0.6+1.65*0.9)*10.764</f>
        <v>287.28147240000004</v>
      </c>
      <c r="E222" s="79">
        <f>(3.35*0.75)*10.764</f>
        <v>27.044550000000001</v>
      </c>
      <c r="F222" s="76">
        <f>D222+(IF(E222&lt;201,E222,IF(E222&lt;301,E222/2,E222/3)))</f>
        <v>314.32602240000006</v>
      </c>
      <c r="G222" s="54">
        <v>0</v>
      </c>
      <c r="H222" s="76">
        <f>(F222+(IF(G222&lt;101,G222,IF(G222&lt;201,G222/2,IF(G222&lt;=301,G222/3,G222/4)))))*(($H$114)+1)</f>
        <v>471.48903360000008</v>
      </c>
    </row>
    <row r="223" spans="1:8" x14ac:dyDescent="0.35">
      <c r="A223" s="95">
        <f>A222+1</f>
        <v>23</v>
      </c>
      <c r="B223" s="96"/>
      <c r="C223" s="76" t="s">
        <v>387</v>
      </c>
      <c r="D223" s="79">
        <f>(1.55*1.65+3.35*6.76+0.9*0.6+1.65*0.9)*10.764</f>
        <v>293.08757399999996</v>
      </c>
      <c r="E223" s="79">
        <f>(3.35*0.75)*10.764</f>
        <v>27.044550000000001</v>
      </c>
      <c r="F223" s="76">
        <f t="shared" ref="F223:F225" si="50">D223+(IF(E223&lt;201,E223,IF(E223&lt;301,E223/2,E223/3)))</f>
        <v>320.13212399999998</v>
      </c>
      <c r="G223" s="76">
        <v>0</v>
      </c>
      <c r="H223" s="76">
        <f t="shared" ref="H223:H225" si="51">(F223+(IF(G223&lt;101,G223,IF(G223&lt;201,G223/2,IF(G223&lt;=301,G223/3,G223/4)))))*(($H$114)+1)</f>
        <v>480.19818599999996</v>
      </c>
    </row>
    <row r="224" spans="1:8" x14ac:dyDescent="0.35">
      <c r="A224" s="95">
        <f>A223+1</f>
        <v>24</v>
      </c>
      <c r="B224" s="96"/>
      <c r="C224" s="76" t="s">
        <v>387</v>
      </c>
      <c r="D224" s="79">
        <f>(1.55*1.65+3.35*3.4+3.18*3.37+0.9*0.6+1.65*0.9)*10.764</f>
        <v>287.28147240000004</v>
      </c>
      <c r="E224" s="79">
        <f>(3.35*0.75)*10.764</f>
        <v>27.044550000000001</v>
      </c>
      <c r="F224" s="76">
        <f t="shared" si="50"/>
        <v>314.32602240000006</v>
      </c>
      <c r="G224" s="76">
        <v>0</v>
      </c>
      <c r="H224" s="76">
        <f t="shared" si="51"/>
        <v>471.48903360000008</v>
      </c>
    </row>
    <row r="225" spans="1:8" x14ac:dyDescent="0.35">
      <c r="A225" s="95">
        <f>A224+1</f>
        <v>25</v>
      </c>
      <c r="B225" s="96"/>
      <c r="C225" s="76" t="s">
        <v>387</v>
      </c>
      <c r="D225" s="79">
        <f>(1.55*1.65+3.35*3.4+3.18*3.37+0.9*0.6+1.65*0.9)*10.764</f>
        <v>287.28147240000004</v>
      </c>
      <c r="E225" s="79">
        <f>(3.35*0.75)*10.764</f>
        <v>27.044550000000001</v>
      </c>
      <c r="F225" s="76">
        <f t="shared" si="50"/>
        <v>314.32602240000006</v>
      </c>
      <c r="G225" s="76">
        <v>0</v>
      </c>
      <c r="H225" s="76">
        <f t="shared" si="51"/>
        <v>471.48903360000008</v>
      </c>
    </row>
    <row r="226" spans="1:8" x14ac:dyDescent="0.35">
      <c r="A226" s="95">
        <f>A225+1</f>
        <v>26</v>
      </c>
      <c r="B226" s="96"/>
      <c r="C226" s="76" t="s">
        <v>387</v>
      </c>
      <c r="D226" s="79">
        <f>(1.6*1.65+3.4*4.15+3.22*2.62+0.9*0.6+1.65*0.9)*10.764</f>
        <v>292.90350959999995</v>
      </c>
      <c r="E226" s="79">
        <f>(3.22*0.75)*10.764</f>
        <v>25.995059999999999</v>
      </c>
      <c r="F226" s="76">
        <f t="shared" ref="F226" si="52">D226+(IF(E226&lt;201,E226,IF(E226&lt;301,E226/2,E226/3)))</f>
        <v>318.89856959999997</v>
      </c>
      <c r="G226" s="76">
        <v>0</v>
      </c>
      <c r="H226" s="76">
        <f t="shared" ref="H226" si="53">(F226+(IF(G226&lt;101,G226,IF(G226&lt;201,G226/2,IF(G226&lt;=301,G226/3,G226/4)))))*(($H$114)+1)</f>
        <v>478.34785439999996</v>
      </c>
    </row>
    <row r="227" spans="1:8" ht="45" hidden="1" x14ac:dyDescent="0.35">
      <c r="A227" s="213" t="s">
        <v>116</v>
      </c>
      <c r="B227" s="150" t="s">
        <v>175</v>
      </c>
      <c r="C227" s="150" t="s">
        <v>54</v>
      </c>
      <c r="D227" s="148" t="s">
        <v>231</v>
      </c>
      <c r="E227" s="150" t="s">
        <v>230</v>
      </c>
      <c r="F227" s="150" t="s">
        <v>55</v>
      </c>
      <c r="G227" s="195" t="s">
        <v>56</v>
      </c>
      <c r="H227" s="59" t="s">
        <v>147</v>
      </c>
    </row>
    <row r="228" spans="1:8" hidden="1" x14ac:dyDescent="0.35">
      <c r="A228" s="214"/>
      <c r="B228" s="151"/>
      <c r="C228" s="151"/>
      <c r="D228" s="149"/>
      <c r="E228" s="151"/>
      <c r="F228" s="151"/>
      <c r="G228" s="196"/>
      <c r="H228" s="48">
        <v>0.45</v>
      </c>
    </row>
    <row r="229" spans="1:8" hidden="1" x14ac:dyDescent="0.35">
      <c r="A229" s="98" t="s">
        <v>114</v>
      </c>
      <c r="B229" s="99"/>
      <c r="C229" s="99"/>
      <c r="D229" s="99"/>
      <c r="E229" s="99"/>
      <c r="F229" s="99"/>
      <c r="G229" s="99"/>
      <c r="H229" s="100"/>
    </row>
    <row r="230" spans="1:8" hidden="1" x14ac:dyDescent="0.35">
      <c r="A230" s="95">
        <v>1</v>
      </c>
      <c r="B230" s="96"/>
      <c r="C230" s="38"/>
      <c r="D230" s="38"/>
      <c r="E230" s="38">
        <v>0</v>
      </c>
      <c r="F230" s="38">
        <f>D230+E230</f>
        <v>0</v>
      </c>
      <c r="G230" s="46">
        <v>0</v>
      </c>
      <c r="H230" s="46">
        <f>F230*(($H$228)+1)+(IF(G230&lt;101,G230,IF(G230&lt;201,G230/2,IF(G230&lt;=301,G230/3,G230/4))))</f>
        <v>0</v>
      </c>
    </row>
    <row r="231" spans="1:8" hidden="1" x14ac:dyDescent="0.35">
      <c r="A231" s="95">
        <f>A230+1</f>
        <v>2</v>
      </c>
      <c r="B231" s="96"/>
      <c r="C231" s="38"/>
      <c r="D231" s="38"/>
      <c r="E231" s="38">
        <v>0</v>
      </c>
      <c r="F231" s="46">
        <f>D231+E231</f>
        <v>0</v>
      </c>
      <c r="G231" s="46">
        <v>0</v>
      </c>
      <c r="H231" s="46">
        <f>F231*(($H$228)+1)+(IF(G231&lt;101,G231,IF(G231&lt;201,G231/2,IF(G231&lt;=301,G231/3,G231/4))))</f>
        <v>0</v>
      </c>
    </row>
    <row r="232" spans="1:8" hidden="1" x14ac:dyDescent="0.35">
      <c r="A232" s="95">
        <f>A231+1</f>
        <v>3</v>
      </c>
      <c r="B232" s="96"/>
      <c r="C232" s="38"/>
      <c r="D232" s="38"/>
      <c r="E232" s="38">
        <v>0</v>
      </c>
      <c r="F232" s="46">
        <f>D232+E232</f>
        <v>0</v>
      </c>
      <c r="G232" s="46">
        <v>0</v>
      </c>
      <c r="H232" s="46">
        <f>F232*(($H$228)+1)+(IF(G232&lt;101,G232,IF(G232&lt;201,G232/2,IF(G232&lt;=301,G232/3,G232/4))))</f>
        <v>0</v>
      </c>
    </row>
    <row r="233" spans="1:8" hidden="1" x14ac:dyDescent="0.35">
      <c r="A233" s="95">
        <f>A232+1</f>
        <v>4</v>
      </c>
      <c r="B233" s="96"/>
      <c r="C233" s="38"/>
      <c r="D233" s="38"/>
      <c r="E233" s="38">
        <v>0</v>
      </c>
      <c r="F233" s="46">
        <f>D233+E233</f>
        <v>0</v>
      </c>
      <c r="G233" s="46">
        <v>0</v>
      </c>
      <c r="H233" s="46">
        <f>F233*(($H$228)+1)+(IF(G233&lt;101,G233,IF(G233&lt;201,G233/2,IF(G233&lt;=301,G233/3,G233/4))))</f>
        <v>0</v>
      </c>
    </row>
    <row r="234" spans="1:8" hidden="1" x14ac:dyDescent="0.35">
      <c r="A234" s="97" t="s">
        <v>115</v>
      </c>
      <c r="B234" s="97"/>
      <c r="C234" s="97"/>
      <c r="D234" s="97"/>
      <c r="E234" s="97"/>
      <c r="F234" s="97"/>
      <c r="G234" s="97"/>
      <c r="H234" s="97"/>
    </row>
    <row r="235" spans="1:8" hidden="1" x14ac:dyDescent="0.35">
      <c r="A235" s="94">
        <f>LEFT(A234,SUM(LEN(A234)-LEN(SUBSTITUTE(A234,{"0","1","2","3","4","5","6","7","8","9"},""))))*100+1</f>
        <v>201</v>
      </c>
      <c r="B235" s="94"/>
      <c r="C235" s="38"/>
      <c r="D235" s="38"/>
      <c r="E235" s="46">
        <v>0</v>
      </c>
      <c r="F235" s="46">
        <f>D235+E235</f>
        <v>0</v>
      </c>
      <c r="G235" s="46">
        <v>0</v>
      </c>
      <c r="H235" s="46">
        <f>F235*(($H$228)+1)+(IF(G235&lt;101,G235,IF(G235&lt;201,G235/2,IF(G235&lt;=301,G235/3,G235/4))))</f>
        <v>0</v>
      </c>
    </row>
    <row r="236" spans="1:8" hidden="1" x14ac:dyDescent="0.35">
      <c r="A236" s="94">
        <f>A235+1</f>
        <v>202</v>
      </c>
      <c r="B236" s="94"/>
      <c r="C236" s="38"/>
      <c r="D236" s="38"/>
      <c r="E236" s="46">
        <v>0</v>
      </c>
      <c r="F236" s="46">
        <f>D236+E236</f>
        <v>0</v>
      </c>
      <c r="G236" s="46">
        <v>0</v>
      </c>
      <c r="H236" s="46">
        <f>F236*(($H$228)+1)+(IF(G236&lt;101,G236,IF(G236&lt;201,G236/2,IF(G236&lt;=301,G236/3,G236/4))))</f>
        <v>0</v>
      </c>
    </row>
    <row r="237" spans="1:8" hidden="1" x14ac:dyDescent="0.35">
      <c r="A237" s="94">
        <f>A236+1</f>
        <v>203</v>
      </c>
      <c r="B237" s="94"/>
      <c r="C237" s="38"/>
      <c r="D237" s="38"/>
      <c r="E237" s="46">
        <v>0</v>
      </c>
      <c r="F237" s="46">
        <f>D237+E237</f>
        <v>0</v>
      </c>
      <c r="G237" s="46">
        <v>0</v>
      </c>
      <c r="H237" s="46">
        <f>F237*(($H$228)+1)+(IF(G237&lt;101,G237,IF(G237&lt;201,G237/2,IF(G237&lt;=301,G237/3,G237/4))))</f>
        <v>0</v>
      </c>
    </row>
    <row r="238" spans="1:8" hidden="1" x14ac:dyDescent="0.35">
      <c r="A238" s="94">
        <f>A237+1</f>
        <v>204</v>
      </c>
      <c r="B238" s="94"/>
      <c r="C238" s="38"/>
      <c r="D238" s="38"/>
      <c r="E238" s="46">
        <v>0</v>
      </c>
      <c r="F238" s="46">
        <f>D238+E238</f>
        <v>0</v>
      </c>
      <c r="G238" s="46">
        <v>0</v>
      </c>
      <c r="H238" s="46">
        <f>F238*(($H$228)+1)+(IF(G238&lt;101,G238,IF(G238&lt;201,G238/2,IF(G238&lt;=301,G238/3,G238/4))))</f>
        <v>0</v>
      </c>
    </row>
    <row r="239" spans="1:8" hidden="1" x14ac:dyDescent="0.35">
      <c r="A239" s="94">
        <f>A238+1</f>
        <v>205</v>
      </c>
      <c r="B239" s="94"/>
      <c r="C239" s="38"/>
      <c r="D239" s="38"/>
      <c r="E239" s="46">
        <v>0</v>
      </c>
      <c r="F239" s="46">
        <f>D239+E239</f>
        <v>0</v>
      </c>
      <c r="G239" s="46">
        <v>0</v>
      </c>
      <c r="H239" s="46">
        <f>F239*(($H$228)+1)+(IF(G239&lt;101,G239,IF(G239&lt;201,G239/2,IF(G239&lt;=301,G239/3,G239/4))))</f>
        <v>0</v>
      </c>
    </row>
    <row r="240" spans="1:8" hidden="1" x14ac:dyDescent="0.35">
      <c r="A240" s="98" t="s">
        <v>149</v>
      </c>
      <c r="B240" s="99"/>
      <c r="C240" s="99"/>
      <c r="D240" s="99"/>
      <c r="E240" s="99"/>
      <c r="F240" s="99"/>
      <c r="G240" s="99"/>
      <c r="H240" s="100"/>
    </row>
    <row r="241" spans="1:8" hidden="1" x14ac:dyDescent="0.35">
      <c r="A241" s="95" t="str">
        <f ca="1">(SUMPRODUCT(MID(0&amp;(LEFT(A240,SUM(LEN(A240)-LEN(SUBSTITUTE(A240,{"0","1","2"},""))))), LARGE(INDEX(ISNUMBER(--MID((LEFT(A240,SUM(LEN(A240)-LEN(SUBSTITUTE(A240,{"0","1","2"},""))))), ROW(INDIRECT("1:"&amp;LEN((LEFT(A240,SUM(LEN(A240)-LEN(SUBSTITUTE(A240,{"0","1","2"},"")))))))), 1)) * ROW(INDIRECT("1:"&amp;LEN((LEFT(A240,SUM(LEN(A240)-LEN(SUBSTITUTE(A240,{"0","1","2"},"")))))))), 0), ROW(INDIRECT("1:"&amp;LEN((LEFT(A240,SUM(LEN(A240)-LEN(SUBSTITUTE(A240,{"0","1","2"},"")))))))))+1, 1) * 10^ROW(INDIRECT("1:"&amp;LEN((LEFT(A240,SUM(LEN(A240)-LEN(SUBSTITUTE(A240,{"0","1","2"},""))))))))/10))*100+1&amp;""&amp;" ,.., "&amp;""&amp;(SUMPRODUCT(MID(0&amp;(--TRIM(RIGHT(SUBSTITUTE(LEFT(A240,_xlfn.AGGREGATE(16,6,FIND({0,1,2,3,4,5,6,7,8,9},A240,ROW(INDIRECT("1:"&amp;LEN(A240)))),1))," ",REPT(" ",LEN(A240))),LEN(A240)))), LARGE(INDEX(ISNUMBER(--MID((--TRIM(RIGHT(SUBSTITUTE(LEFT(A240,_xlfn.AGGREGATE(16,6,FIND({0,1,2,3,4,5,6,7,8,9},A240,ROW(INDIRECT("1:"&amp;LEN(A240)))),1))," ",REPT(" ",LEN(A240))),LEN(A240)))), ROW(INDIRECT("1:"&amp;LEN((--TRIM(RIGHT(SUBSTITUTE(LEFT(A240,_xlfn.AGGREGATE(16,6,FIND({0,1,2,3,4,5,6,7,8,9},A240,ROW(INDIRECT("1:"&amp;LEN(A240)))),1))," ",REPT(" ",LEN(A240))),LEN(A240))))))), 1)) * ROW(INDIRECT("1:"&amp;LEN((--TRIM(RIGHT(SUBSTITUTE(LEFT(A240,_xlfn.AGGREGATE(16,6,FIND({0,1,2,3,4,5,6,7,8,9},A240,ROW(INDIRECT("1:"&amp;LEN(A240)))),1))," ",REPT(" ",LEN(A240))),LEN(A240))))))), 0), ROW(INDIRECT("1:"&amp;LEN((--TRIM(RIGHT(SUBSTITUTE(LEFT(A240,_xlfn.AGGREGATE(16,6,FIND({0,1,2,3,4,5,6,7,8,9},A240,ROW(INDIRECT("1:"&amp;LEN(A240)))),1))," ",REPT(" ",LEN(A240))),LEN(A240))))))))+1, 1) * 10^ROW(INDIRECT("1:"&amp;LEN((--TRIM(RIGHT(SUBSTITUTE(LEFT(A240,_xlfn.AGGREGATE(16,6,FIND({0,1,2,3,4,5,6,7,8,9},A240,ROW(INDIRECT("1:"&amp;LEN(A240)))),1))," ",REPT(" ",LEN(A240))),LEN(A240)))))))/10))*100+1</f>
        <v>301 ,.., 1501</v>
      </c>
      <c r="B241" s="96"/>
      <c r="C241" s="38"/>
      <c r="D241" s="38"/>
      <c r="E241" s="46">
        <v>0</v>
      </c>
      <c r="F241" s="46">
        <f>D241+E241</f>
        <v>0</v>
      </c>
      <c r="G241" s="46">
        <v>0</v>
      </c>
      <c r="H241" s="46">
        <f>F241*(($H$228)+1)+(IF(G241&lt;101,G241,IF(G241&lt;201,G241/2,IF(G241&lt;=301,G241/3,G241/4))))</f>
        <v>0</v>
      </c>
    </row>
    <row r="242" spans="1:8" hidden="1" x14ac:dyDescent="0.35">
      <c r="A242" s="95" t="str">
        <f ca="1">(SUMPRODUCT(MID(0&amp;(LEFT(A241,SUM(LEN(A241)-LEN(SUBSTITUTE(A241,{"0","1","2"},""))))), LARGE(INDEX(ISNUMBER(--MID((LEFT(A241,SUM(LEN(A241)-LEN(SUBSTITUTE(A241,{"0","1","2"},""))))), ROW(INDIRECT("1:"&amp;LEN((LEFT(A241,SUM(LEN(A241)-LEN(SUBSTITUTE(A241,{"0","1","2"},"")))))))), 1)) * ROW(INDIRECT("1:"&amp;LEN((LEFT(A241,SUM(LEN(A241)-LEN(SUBSTITUTE(A241,{"0","1","2"},"")))))))), 0), ROW(INDIRECT("1:"&amp;LEN((LEFT(A241,SUM(LEN(A241)-LEN(SUBSTITUTE(A241,{"0","1","2"},"")))))))))+1, 1) * 10^ROW(INDIRECT("1:"&amp;LEN((LEFT(A241,SUM(LEN(A241)-LEN(SUBSTITUTE(A241,{"0","1","2"},""))))))))/10))*1+1&amp;""&amp;" ,.., "&amp;""&amp;(SUMPRODUCT(MID(0&amp;(--TRIM(RIGHT(SUBSTITUTE(LEFT(A241,_xlfn.AGGREGATE(16,6,FIND({0,1,2,3,4,5,6,7,8,9},A241,ROW(INDIRECT("1:"&amp;LEN(A241)))),1))," ",REPT(" ",LEN(A241))),LEN(A241)))), LARGE(INDEX(ISNUMBER(--MID((--TRIM(RIGHT(SUBSTITUTE(LEFT(A241,_xlfn.AGGREGATE(16,6,FIND({0,1,2,3,4,5,6,7,8,9},A241,ROW(INDIRECT("1:"&amp;LEN(A241)))),1))," ",REPT(" ",LEN(A241))),LEN(A241)))), ROW(INDIRECT("1:"&amp;LEN((--TRIM(RIGHT(SUBSTITUTE(LEFT(A241,_xlfn.AGGREGATE(16,6,FIND({0,1,2,3,4,5,6,7,8,9},A241,ROW(INDIRECT("1:"&amp;LEN(A241)))),1))," ",REPT(" ",LEN(A241))),LEN(A241))))))), 1)) * ROW(INDIRECT("1:"&amp;LEN((--TRIM(RIGHT(SUBSTITUTE(LEFT(A241,_xlfn.AGGREGATE(16,6,FIND({0,1,2,3,4,5,6,7,8,9},A241,ROW(INDIRECT("1:"&amp;LEN(A241)))),1))," ",REPT(" ",LEN(A241))),LEN(A241))))))), 0), ROW(INDIRECT("1:"&amp;LEN((--TRIM(RIGHT(SUBSTITUTE(LEFT(A241,_xlfn.AGGREGATE(16,6,FIND({0,1,2,3,4,5,6,7,8,9},A241,ROW(INDIRECT("1:"&amp;LEN(A241)))),1))," ",REPT(" ",LEN(A241))),LEN(A241))))))))+1, 1) * 10^ROW(INDIRECT("1:"&amp;LEN((--TRIM(RIGHT(SUBSTITUTE(LEFT(A241,_xlfn.AGGREGATE(16,6,FIND({0,1,2,3,4,5,6,7,8,9},A241,ROW(INDIRECT("1:"&amp;LEN(A241)))),1))," ",REPT(" ",LEN(A241))),LEN(A241)))))))/10))*1+1</f>
        <v>302 ,.., 1502</v>
      </c>
      <c r="B242" s="96"/>
      <c r="C242" s="38"/>
      <c r="D242" s="38"/>
      <c r="E242" s="46">
        <v>0</v>
      </c>
      <c r="F242" s="46">
        <f>D242+E242</f>
        <v>0</v>
      </c>
      <c r="G242" s="46">
        <v>0</v>
      </c>
      <c r="H242" s="46">
        <f>F242*(($H$228)+1)+(IF(G242&lt;101,G242,IF(G242&lt;201,G242/2,IF(G242&lt;=301,G242/3,G242/4))))</f>
        <v>0</v>
      </c>
    </row>
    <row r="243" spans="1:8" hidden="1" x14ac:dyDescent="0.35">
      <c r="A243" s="95" t="str">
        <f ca="1">(SUMPRODUCT(MID(0&amp;(LEFT(A242,SUM(LEN(A242)-LEN(SUBSTITUTE(A242,{"0","1","2"},""))))), LARGE(INDEX(ISNUMBER(--MID((LEFT(A242,SUM(LEN(A242)-LEN(SUBSTITUTE(A242,{"0","1","2"},""))))), ROW(INDIRECT("1:"&amp;LEN((LEFT(A242,SUM(LEN(A242)-LEN(SUBSTITUTE(A242,{"0","1","2"},"")))))))), 1)) * ROW(INDIRECT("1:"&amp;LEN((LEFT(A242,SUM(LEN(A242)-LEN(SUBSTITUTE(A242,{"0","1","2"},"")))))))), 0), ROW(INDIRECT("1:"&amp;LEN((LEFT(A242,SUM(LEN(A242)-LEN(SUBSTITUTE(A242,{"0","1","2"},"")))))))))+1, 1) * 10^ROW(INDIRECT("1:"&amp;LEN((LEFT(A242,SUM(LEN(A242)-LEN(SUBSTITUTE(A242,{"0","1","2"},""))))))))/10))*1+1&amp;""&amp;" ,.., "&amp;""&amp;(SUMPRODUCT(MID(0&amp;(--TRIM(RIGHT(SUBSTITUTE(LEFT(A242,_xlfn.AGGREGATE(16,6,FIND({0,1,2,3,4,5,6,7,8,9},A242,ROW(INDIRECT("1:"&amp;LEN(A242)))),1))," ",REPT(" ",LEN(A242))),LEN(A242)))), LARGE(INDEX(ISNUMBER(--MID((--TRIM(RIGHT(SUBSTITUTE(LEFT(A242,_xlfn.AGGREGATE(16,6,FIND({0,1,2,3,4,5,6,7,8,9},A242,ROW(INDIRECT("1:"&amp;LEN(A242)))),1))," ",REPT(" ",LEN(A242))),LEN(A242)))), ROW(INDIRECT("1:"&amp;LEN((--TRIM(RIGHT(SUBSTITUTE(LEFT(A242,_xlfn.AGGREGATE(16,6,FIND({0,1,2,3,4,5,6,7,8,9},A242,ROW(INDIRECT("1:"&amp;LEN(A242)))),1))," ",REPT(" ",LEN(A242))),LEN(A242))))))), 1)) * ROW(INDIRECT("1:"&amp;LEN((--TRIM(RIGHT(SUBSTITUTE(LEFT(A242,_xlfn.AGGREGATE(16,6,FIND({0,1,2,3,4,5,6,7,8,9},A242,ROW(INDIRECT("1:"&amp;LEN(A242)))),1))," ",REPT(" ",LEN(A242))),LEN(A242))))))), 0), ROW(INDIRECT("1:"&amp;LEN((--TRIM(RIGHT(SUBSTITUTE(LEFT(A242,_xlfn.AGGREGATE(16,6,FIND({0,1,2,3,4,5,6,7,8,9},A242,ROW(INDIRECT("1:"&amp;LEN(A242)))),1))," ",REPT(" ",LEN(A242))),LEN(A242))))))))+1, 1) * 10^ROW(INDIRECT("1:"&amp;LEN((--TRIM(RIGHT(SUBSTITUTE(LEFT(A242,_xlfn.AGGREGATE(16,6,FIND({0,1,2,3,4,5,6,7,8,9},A242,ROW(INDIRECT("1:"&amp;LEN(A242)))),1))," ",REPT(" ",LEN(A242))),LEN(A242)))))))/10))*1+1</f>
        <v>303 ,.., 1503</v>
      </c>
      <c r="B243" s="96"/>
      <c r="C243" s="38"/>
      <c r="D243" s="38"/>
      <c r="E243" s="46">
        <v>0</v>
      </c>
      <c r="F243" s="46">
        <f>D243+E243</f>
        <v>0</v>
      </c>
      <c r="G243" s="46">
        <v>0</v>
      </c>
      <c r="H243" s="46">
        <f>F243*(($H$228)+1)+(IF(G243&lt;101,G243,IF(G243&lt;201,G243/2,IF(G243&lt;=301,G243/3,G243/4))))</f>
        <v>0</v>
      </c>
    </row>
    <row r="244" spans="1:8" hidden="1" x14ac:dyDescent="0.35">
      <c r="A244" s="95" t="str">
        <f ca="1">(SUMPRODUCT(MID(0&amp;(LEFT(A243,SUM(LEN(A243)-LEN(SUBSTITUTE(A243,{"0","1","2"},""))))), LARGE(INDEX(ISNUMBER(--MID((LEFT(A243,SUM(LEN(A243)-LEN(SUBSTITUTE(A243,{"0","1","2"},""))))), ROW(INDIRECT("1:"&amp;LEN((LEFT(A243,SUM(LEN(A243)-LEN(SUBSTITUTE(A243,{"0","1","2"},"")))))))), 1)) * ROW(INDIRECT("1:"&amp;LEN((LEFT(A243,SUM(LEN(A243)-LEN(SUBSTITUTE(A243,{"0","1","2"},"")))))))), 0), ROW(INDIRECT("1:"&amp;LEN((LEFT(A243,SUM(LEN(A243)-LEN(SUBSTITUTE(A243,{"0","1","2"},"")))))))))+1, 1) * 10^ROW(INDIRECT("1:"&amp;LEN((LEFT(A243,SUM(LEN(A243)-LEN(SUBSTITUTE(A243,{"0","1","2"},""))))))))/10))*1+1&amp;""&amp;" ,.., "&amp;""&amp;(SUMPRODUCT(MID(0&amp;(--TRIM(RIGHT(SUBSTITUTE(LEFT(A243,_xlfn.AGGREGATE(16,6,FIND({0,1,2,3,4,5,6,7,8,9},A243,ROW(INDIRECT("1:"&amp;LEN(A243)))),1))," ",REPT(" ",LEN(A243))),LEN(A243)))), LARGE(INDEX(ISNUMBER(--MID((--TRIM(RIGHT(SUBSTITUTE(LEFT(A243,_xlfn.AGGREGATE(16,6,FIND({0,1,2,3,4,5,6,7,8,9},A243,ROW(INDIRECT("1:"&amp;LEN(A243)))),1))," ",REPT(" ",LEN(A243))),LEN(A243)))), ROW(INDIRECT("1:"&amp;LEN((--TRIM(RIGHT(SUBSTITUTE(LEFT(A243,_xlfn.AGGREGATE(16,6,FIND({0,1,2,3,4,5,6,7,8,9},A243,ROW(INDIRECT("1:"&amp;LEN(A243)))),1))," ",REPT(" ",LEN(A243))),LEN(A243))))))), 1)) * ROW(INDIRECT("1:"&amp;LEN((--TRIM(RIGHT(SUBSTITUTE(LEFT(A243,_xlfn.AGGREGATE(16,6,FIND({0,1,2,3,4,5,6,7,8,9},A243,ROW(INDIRECT("1:"&amp;LEN(A243)))),1))," ",REPT(" ",LEN(A243))),LEN(A243))))))), 0), ROW(INDIRECT("1:"&amp;LEN((--TRIM(RIGHT(SUBSTITUTE(LEFT(A243,_xlfn.AGGREGATE(16,6,FIND({0,1,2,3,4,5,6,7,8,9},A243,ROW(INDIRECT("1:"&amp;LEN(A243)))),1))," ",REPT(" ",LEN(A243))),LEN(A243))))))))+1, 1) * 10^ROW(INDIRECT("1:"&amp;LEN((--TRIM(RIGHT(SUBSTITUTE(LEFT(A243,_xlfn.AGGREGATE(16,6,FIND({0,1,2,3,4,5,6,7,8,9},A243,ROW(INDIRECT("1:"&amp;LEN(A243)))),1))," ",REPT(" ",LEN(A243))),LEN(A243)))))))/10))*1+1</f>
        <v>304 ,.., 1504</v>
      </c>
      <c r="B244" s="96"/>
      <c r="C244" s="38"/>
      <c r="D244" s="38"/>
      <c r="E244" s="46">
        <v>0</v>
      </c>
      <c r="F244" s="46">
        <f>D244+E244</f>
        <v>0</v>
      </c>
      <c r="G244" s="46">
        <v>0</v>
      </c>
      <c r="H244" s="46">
        <f>F244*(($H$228)+1)+(IF(G244&lt;101,G244,IF(G244&lt;201,G244/2,IF(G244&lt;=301,G244/3,G244/4))))</f>
        <v>0</v>
      </c>
    </row>
    <row r="245" spans="1:8" hidden="1" x14ac:dyDescent="0.35">
      <c r="A245" s="95" t="str">
        <f ca="1">(SUMPRODUCT(MID(0&amp;(LEFT(A244,SUM(LEN(A244)-LEN(SUBSTITUTE(A244,{"0","1","2"},""))))), LARGE(INDEX(ISNUMBER(--MID((LEFT(A244,SUM(LEN(A244)-LEN(SUBSTITUTE(A244,{"0","1","2"},""))))), ROW(INDIRECT("1:"&amp;LEN((LEFT(A244,SUM(LEN(A244)-LEN(SUBSTITUTE(A244,{"0","1","2"},"")))))))), 1)) * ROW(INDIRECT("1:"&amp;LEN((LEFT(A244,SUM(LEN(A244)-LEN(SUBSTITUTE(A244,{"0","1","2"},"")))))))), 0), ROW(INDIRECT("1:"&amp;LEN((LEFT(A244,SUM(LEN(A244)-LEN(SUBSTITUTE(A244,{"0","1","2"},"")))))))))+1, 1) * 10^ROW(INDIRECT("1:"&amp;LEN((LEFT(A244,SUM(LEN(A244)-LEN(SUBSTITUTE(A244,{"0","1","2"},""))))))))/10))*1+1&amp;""&amp;" ,.., "&amp;""&amp;(SUMPRODUCT(MID(0&amp;(--TRIM(RIGHT(SUBSTITUTE(LEFT(A244,_xlfn.AGGREGATE(16,6,FIND({0,1,2,3,4,5,6,7,8,9},A244,ROW(INDIRECT("1:"&amp;LEN(A244)))),1))," ",REPT(" ",LEN(A244))),LEN(A244)))), LARGE(INDEX(ISNUMBER(--MID((--TRIM(RIGHT(SUBSTITUTE(LEFT(A244,_xlfn.AGGREGATE(16,6,FIND({0,1,2,3,4,5,6,7,8,9},A244,ROW(INDIRECT("1:"&amp;LEN(A244)))),1))," ",REPT(" ",LEN(A244))),LEN(A244)))), ROW(INDIRECT("1:"&amp;LEN((--TRIM(RIGHT(SUBSTITUTE(LEFT(A244,_xlfn.AGGREGATE(16,6,FIND({0,1,2,3,4,5,6,7,8,9},A244,ROW(INDIRECT("1:"&amp;LEN(A244)))),1))," ",REPT(" ",LEN(A244))),LEN(A244))))))), 1)) * ROW(INDIRECT("1:"&amp;LEN((--TRIM(RIGHT(SUBSTITUTE(LEFT(A244,_xlfn.AGGREGATE(16,6,FIND({0,1,2,3,4,5,6,7,8,9},A244,ROW(INDIRECT("1:"&amp;LEN(A244)))),1))," ",REPT(" ",LEN(A244))),LEN(A244))))))), 0), ROW(INDIRECT("1:"&amp;LEN((--TRIM(RIGHT(SUBSTITUTE(LEFT(A244,_xlfn.AGGREGATE(16,6,FIND({0,1,2,3,4,5,6,7,8,9},A244,ROW(INDIRECT("1:"&amp;LEN(A244)))),1))," ",REPT(" ",LEN(A244))),LEN(A244))))))))+1, 1) * 10^ROW(INDIRECT("1:"&amp;LEN((--TRIM(RIGHT(SUBSTITUTE(LEFT(A244,_xlfn.AGGREGATE(16,6,FIND({0,1,2,3,4,5,6,7,8,9},A244,ROW(INDIRECT("1:"&amp;LEN(A244)))),1))," ",REPT(" ",LEN(A244))),LEN(A244)))))))/10))*1+1</f>
        <v>305 ,.., 1505</v>
      </c>
      <c r="B245" s="96"/>
      <c r="C245" s="38"/>
      <c r="D245" s="38"/>
      <c r="E245" s="46">
        <v>0</v>
      </c>
      <c r="F245" s="46">
        <f>D245+E245</f>
        <v>0</v>
      </c>
      <c r="G245" s="46">
        <v>0</v>
      </c>
      <c r="H245" s="46">
        <f>F245*(($H$228)+1)+(IF(G245&lt;101,G245,IF(G245&lt;201,G245/2,IF(G245&lt;=301,G245/3,G245/4))))</f>
        <v>0</v>
      </c>
    </row>
    <row r="246" spans="1:8" hidden="1" x14ac:dyDescent="0.35">
      <c r="A246" s="98" t="s">
        <v>142</v>
      </c>
      <c r="B246" s="99"/>
      <c r="C246" s="99"/>
      <c r="D246" s="99"/>
      <c r="E246" s="99"/>
      <c r="F246" s="99"/>
      <c r="G246" s="99"/>
      <c r="H246" s="100"/>
    </row>
    <row r="247" spans="1:8" hidden="1" x14ac:dyDescent="0.35">
      <c r="A247" s="95" t="str">
        <f ca="1">(SUMPRODUCT(MID(0&amp;(LEFT(A246,SUM(LEN(A246)-LEN(SUBSTITUTE(A246,{"0","1","2"},""))))), LARGE(INDEX(ISNUMBER(--MID((LEFT(A246,SUM(LEN(A246)-LEN(SUBSTITUTE(A246,{"0","1","2"},""))))), ROW(INDIRECT("1:"&amp;LEN((LEFT(A246,SUM(LEN(A246)-LEN(SUBSTITUTE(A246,{"0","1","2"},"")))))))), 1)) * ROW(INDIRECT("1:"&amp;LEN((LEFT(A246,SUM(LEN(A246)-LEN(SUBSTITUTE(A246,{"0","1","2"},"")))))))), 0), ROW(INDIRECT("1:"&amp;LEN((LEFT(A246,SUM(LEN(A246)-LEN(SUBSTITUTE(A246,{"0","1","2"},"")))))))))+1, 1) * 10^ROW(INDIRECT("1:"&amp;LEN((LEFT(A246,SUM(LEN(A246)-LEN(SUBSTITUTE(A246,{"0","1","2"},""))))))))/10))*100+1&amp;""&amp;" to "&amp;""&amp;(SUMPRODUCT(MID(0&amp;(--TRIM(RIGHT(SUBSTITUTE(LEFT(A246,_xlfn.AGGREGATE(16,6,FIND({0,1,2,3,4,5,6,7,8,9},A246,ROW(INDIRECT("1:"&amp;LEN(A246)))),1))," ",REPT(" ",LEN(A246))),LEN(A246)))), LARGE(INDEX(ISNUMBER(--MID((--TRIM(RIGHT(SUBSTITUTE(LEFT(A246,_xlfn.AGGREGATE(16,6,FIND({0,1,2,3,4,5,6,7,8,9},A246,ROW(INDIRECT("1:"&amp;LEN(A246)))),1))," ",REPT(" ",LEN(A246))),LEN(A246)))), ROW(INDIRECT("1:"&amp;LEN((--TRIM(RIGHT(SUBSTITUTE(LEFT(A246,_xlfn.AGGREGATE(16,6,FIND({0,1,2,3,4,5,6,7,8,9},A246,ROW(INDIRECT("1:"&amp;LEN(A246)))),1))," ",REPT(" ",LEN(A246))),LEN(A246))))))), 1)) * ROW(INDIRECT("1:"&amp;LEN((--TRIM(RIGHT(SUBSTITUTE(LEFT(A246,_xlfn.AGGREGATE(16,6,FIND({0,1,2,3,4,5,6,7,8,9},A246,ROW(INDIRECT("1:"&amp;LEN(A246)))),1))," ",REPT(" ",LEN(A246))),LEN(A246))))))), 0), ROW(INDIRECT("1:"&amp;LEN((--TRIM(RIGHT(SUBSTITUTE(LEFT(A246,_xlfn.AGGREGATE(16,6,FIND({0,1,2,3,4,5,6,7,8,9},A246,ROW(INDIRECT("1:"&amp;LEN(A246)))),1))," ",REPT(" ",LEN(A246))),LEN(A246))))))))+1, 1) * 10^ROW(INDIRECT("1:"&amp;LEN((--TRIM(RIGHT(SUBSTITUTE(LEFT(A246,_xlfn.AGGREGATE(16,6,FIND({0,1,2,3,4,5,6,7,8,9},A246,ROW(INDIRECT("1:"&amp;LEN(A246)))),1))," ",REPT(" ",LEN(A246))),LEN(A246)))))))/10))*100+1</f>
        <v>201 to 501</v>
      </c>
      <c r="B247" s="96"/>
      <c r="C247" s="38"/>
      <c r="D247" s="38"/>
      <c r="E247" s="46">
        <v>0</v>
      </c>
      <c r="F247" s="46">
        <f>D247+E247</f>
        <v>0</v>
      </c>
      <c r="G247" s="46">
        <v>0</v>
      </c>
      <c r="H247" s="46">
        <f>F247*(($H$228)+1)+(IF(G247&lt;101,G247,IF(G247&lt;201,G247/2,IF(G247&lt;=301,G247/3,G247/4))))</f>
        <v>0</v>
      </c>
    </row>
    <row r="248" spans="1:8" hidden="1" x14ac:dyDescent="0.35">
      <c r="A248" s="95" t="str">
        <f ca="1">(SUMPRODUCT(MID(0&amp;(LEFT(A247,SUM(LEN(A247)-LEN(SUBSTITUTE(A247,{"0","1","2"},""))))), LARGE(INDEX(ISNUMBER(--MID((LEFT(A247,SUM(LEN(A247)-LEN(SUBSTITUTE(A247,{"0","1","2"},""))))), ROW(INDIRECT("1:"&amp;LEN((LEFT(A247,SUM(LEN(A247)-LEN(SUBSTITUTE(A247,{"0","1","2"},"")))))))), 1)) * ROW(INDIRECT("1:"&amp;LEN((LEFT(A247,SUM(LEN(A247)-LEN(SUBSTITUTE(A247,{"0","1","2"},"")))))))), 0), ROW(INDIRECT("1:"&amp;LEN((LEFT(A247,SUM(LEN(A247)-LEN(SUBSTITUTE(A247,{"0","1","2"},"")))))))))+1, 1) * 10^ROW(INDIRECT("1:"&amp;LEN((LEFT(A247,SUM(LEN(A247)-LEN(SUBSTITUTE(A247,{"0","1","2"},""))))))))/10))*1+1&amp;""&amp;" to "&amp;""&amp;(SUMPRODUCT(MID(0&amp;(--TRIM(RIGHT(SUBSTITUTE(LEFT(A247,_xlfn.AGGREGATE(16,6,FIND({0,1,2,3,4,5,6,7,8,9},A247,ROW(INDIRECT("1:"&amp;LEN(A247)))),1))," ",REPT(" ",LEN(A247))),LEN(A247)))), LARGE(INDEX(ISNUMBER(--MID((--TRIM(RIGHT(SUBSTITUTE(LEFT(A247,_xlfn.AGGREGATE(16,6,FIND({0,1,2,3,4,5,6,7,8,9},A247,ROW(INDIRECT("1:"&amp;LEN(A247)))),1))," ",REPT(" ",LEN(A247))),LEN(A247)))), ROW(INDIRECT("1:"&amp;LEN((--TRIM(RIGHT(SUBSTITUTE(LEFT(A247,_xlfn.AGGREGATE(16,6,FIND({0,1,2,3,4,5,6,7,8,9},A247,ROW(INDIRECT("1:"&amp;LEN(A247)))),1))," ",REPT(" ",LEN(A247))),LEN(A247))))))), 1)) * ROW(INDIRECT("1:"&amp;LEN((--TRIM(RIGHT(SUBSTITUTE(LEFT(A247,_xlfn.AGGREGATE(16,6,FIND({0,1,2,3,4,5,6,7,8,9},A247,ROW(INDIRECT("1:"&amp;LEN(A247)))),1))," ",REPT(" ",LEN(A247))),LEN(A247))))))), 0), ROW(INDIRECT("1:"&amp;LEN((--TRIM(RIGHT(SUBSTITUTE(LEFT(A247,_xlfn.AGGREGATE(16,6,FIND({0,1,2,3,4,5,6,7,8,9},A247,ROW(INDIRECT("1:"&amp;LEN(A247)))),1))," ",REPT(" ",LEN(A247))),LEN(A247))))))))+1, 1) * 10^ROW(INDIRECT("1:"&amp;LEN((--TRIM(RIGHT(SUBSTITUTE(LEFT(A247,_xlfn.AGGREGATE(16,6,FIND({0,1,2,3,4,5,6,7,8,9},A247,ROW(INDIRECT("1:"&amp;LEN(A247)))),1))," ",REPT(" ",LEN(A247))),LEN(A247)))))))/10))*1+1</f>
        <v>202 to 502</v>
      </c>
      <c r="B248" s="96"/>
      <c r="C248" s="38"/>
      <c r="D248" s="38"/>
      <c r="E248" s="46">
        <v>0</v>
      </c>
      <c r="F248" s="46">
        <f>D248+E248</f>
        <v>0</v>
      </c>
      <c r="G248" s="46">
        <v>0</v>
      </c>
      <c r="H248" s="46">
        <f>F248*(($H$228)+1)+(IF(G248&lt;101,G248,IF(G248&lt;201,G248/2,IF(G248&lt;=301,G248/3,G248/4))))</f>
        <v>0</v>
      </c>
    </row>
    <row r="249" spans="1:8" hidden="1" x14ac:dyDescent="0.35">
      <c r="A249" s="95" t="str">
        <f ca="1">(SUMPRODUCT(MID(0&amp;(LEFT(A248,SUM(LEN(A248)-LEN(SUBSTITUTE(A248,{"0","1","2"},""))))), LARGE(INDEX(ISNUMBER(--MID((LEFT(A248,SUM(LEN(A248)-LEN(SUBSTITUTE(A248,{"0","1","2"},""))))), ROW(INDIRECT("1:"&amp;LEN((LEFT(A248,SUM(LEN(A248)-LEN(SUBSTITUTE(A248,{"0","1","2"},"")))))))), 1)) * ROW(INDIRECT("1:"&amp;LEN((LEFT(A248,SUM(LEN(A248)-LEN(SUBSTITUTE(A248,{"0","1","2"},"")))))))), 0), ROW(INDIRECT("1:"&amp;LEN((LEFT(A248,SUM(LEN(A248)-LEN(SUBSTITUTE(A248,{"0","1","2"},"")))))))))+1, 1) * 10^ROW(INDIRECT("1:"&amp;LEN((LEFT(A248,SUM(LEN(A248)-LEN(SUBSTITUTE(A248,{"0","1","2"},""))))))))/10))*1+1&amp;""&amp;" to "&amp;""&amp;(SUMPRODUCT(MID(0&amp;(--TRIM(RIGHT(SUBSTITUTE(LEFT(A248,_xlfn.AGGREGATE(16,6,FIND({0,1,2,3,4,5,6,7,8,9},A248,ROW(INDIRECT("1:"&amp;LEN(A248)))),1))," ",REPT(" ",LEN(A248))),LEN(A248)))), LARGE(INDEX(ISNUMBER(--MID((--TRIM(RIGHT(SUBSTITUTE(LEFT(A248,_xlfn.AGGREGATE(16,6,FIND({0,1,2,3,4,5,6,7,8,9},A248,ROW(INDIRECT("1:"&amp;LEN(A248)))),1))," ",REPT(" ",LEN(A248))),LEN(A248)))), ROW(INDIRECT("1:"&amp;LEN((--TRIM(RIGHT(SUBSTITUTE(LEFT(A248,_xlfn.AGGREGATE(16,6,FIND({0,1,2,3,4,5,6,7,8,9},A248,ROW(INDIRECT("1:"&amp;LEN(A248)))),1))," ",REPT(" ",LEN(A248))),LEN(A248))))))), 1)) * ROW(INDIRECT("1:"&amp;LEN((--TRIM(RIGHT(SUBSTITUTE(LEFT(A248,_xlfn.AGGREGATE(16,6,FIND({0,1,2,3,4,5,6,7,8,9},A248,ROW(INDIRECT("1:"&amp;LEN(A248)))),1))," ",REPT(" ",LEN(A248))),LEN(A248))))))), 0), ROW(INDIRECT("1:"&amp;LEN((--TRIM(RIGHT(SUBSTITUTE(LEFT(A248,_xlfn.AGGREGATE(16,6,FIND({0,1,2,3,4,5,6,7,8,9},A248,ROW(INDIRECT("1:"&amp;LEN(A248)))),1))," ",REPT(" ",LEN(A248))),LEN(A248))))))))+1, 1) * 10^ROW(INDIRECT("1:"&amp;LEN((--TRIM(RIGHT(SUBSTITUTE(LEFT(A248,_xlfn.AGGREGATE(16,6,FIND({0,1,2,3,4,5,6,7,8,9},A248,ROW(INDIRECT("1:"&amp;LEN(A248)))),1))," ",REPT(" ",LEN(A248))),LEN(A248)))))))/10))*1+1</f>
        <v>203 to 503</v>
      </c>
      <c r="B249" s="96"/>
      <c r="C249" s="38"/>
      <c r="D249" s="38"/>
      <c r="E249" s="46">
        <v>0</v>
      </c>
      <c r="F249" s="46">
        <f>D249+E249</f>
        <v>0</v>
      </c>
      <c r="G249" s="46">
        <v>0</v>
      </c>
      <c r="H249" s="46">
        <f>F249*(($H$228)+1)+(IF(G249&lt;101,G249,IF(G249&lt;201,G249/2,IF(G249&lt;=301,G249/3,G249/4))))</f>
        <v>0</v>
      </c>
    </row>
    <row r="250" spans="1:8" hidden="1" x14ac:dyDescent="0.35">
      <c r="A250" s="95" t="str">
        <f ca="1">(SUMPRODUCT(MID(0&amp;(LEFT(A249,SUM(LEN(A249)-LEN(SUBSTITUTE(A249,{"0","1","2"},""))))), LARGE(INDEX(ISNUMBER(--MID((LEFT(A249,SUM(LEN(A249)-LEN(SUBSTITUTE(A249,{"0","1","2"},""))))), ROW(INDIRECT("1:"&amp;LEN((LEFT(A249,SUM(LEN(A249)-LEN(SUBSTITUTE(A249,{"0","1","2"},"")))))))), 1)) * ROW(INDIRECT("1:"&amp;LEN((LEFT(A249,SUM(LEN(A249)-LEN(SUBSTITUTE(A249,{"0","1","2"},"")))))))), 0), ROW(INDIRECT("1:"&amp;LEN((LEFT(A249,SUM(LEN(A249)-LEN(SUBSTITUTE(A249,{"0","1","2"},"")))))))))+1, 1) * 10^ROW(INDIRECT("1:"&amp;LEN((LEFT(A249,SUM(LEN(A249)-LEN(SUBSTITUTE(A249,{"0","1","2"},""))))))))/10))*1+1&amp;""&amp;" to "&amp;""&amp;(SUMPRODUCT(MID(0&amp;(--TRIM(RIGHT(SUBSTITUTE(LEFT(A249,_xlfn.AGGREGATE(16,6,FIND({0,1,2,3,4,5,6,7,8,9},A249,ROW(INDIRECT("1:"&amp;LEN(A249)))),1))," ",REPT(" ",LEN(A249))),LEN(A249)))), LARGE(INDEX(ISNUMBER(--MID((--TRIM(RIGHT(SUBSTITUTE(LEFT(A249,_xlfn.AGGREGATE(16,6,FIND({0,1,2,3,4,5,6,7,8,9},A249,ROW(INDIRECT("1:"&amp;LEN(A249)))),1))," ",REPT(" ",LEN(A249))),LEN(A249)))), ROW(INDIRECT("1:"&amp;LEN((--TRIM(RIGHT(SUBSTITUTE(LEFT(A249,_xlfn.AGGREGATE(16,6,FIND({0,1,2,3,4,5,6,7,8,9},A249,ROW(INDIRECT("1:"&amp;LEN(A249)))),1))," ",REPT(" ",LEN(A249))),LEN(A249))))))), 1)) * ROW(INDIRECT("1:"&amp;LEN((--TRIM(RIGHT(SUBSTITUTE(LEFT(A249,_xlfn.AGGREGATE(16,6,FIND({0,1,2,3,4,5,6,7,8,9},A249,ROW(INDIRECT("1:"&amp;LEN(A249)))),1))," ",REPT(" ",LEN(A249))),LEN(A249))))))), 0), ROW(INDIRECT("1:"&amp;LEN((--TRIM(RIGHT(SUBSTITUTE(LEFT(A249,_xlfn.AGGREGATE(16,6,FIND({0,1,2,3,4,5,6,7,8,9},A249,ROW(INDIRECT("1:"&amp;LEN(A249)))),1))," ",REPT(" ",LEN(A249))),LEN(A249))))))))+1, 1) * 10^ROW(INDIRECT("1:"&amp;LEN((--TRIM(RIGHT(SUBSTITUTE(LEFT(A249,_xlfn.AGGREGATE(16,6,FIND({0,1,2,3,4,5,6,7,8,9},A249,ROW(INDIRECT("1:"&amp;LEN(A249)))),1))," ",REPT(" ",LEN(A249))),LEN(A249)))))))/10))*1+1</f>
        <v>204 to 504</v>
      </c>
      <c r="B250" s="96"/>
      <c r="C250" s="38"/>
      <c r="D250" s="38"/>
      <c r="E250" s="46">
        <v>0</v>
      </c>
      <c r="F250" s="46">
        <f>D250+E250</f>
        <v>0</v>
      </c>
      <c r="G250" s="46">
        <v>0</v>
      </c>
      <c r="H250" s="46">
        <f>F250*(($H$228)+1)+(IF(G250&lt;101,G250,IF(G250&lt;201,G250/2,IF(G250&lt;=301,G250/3,G250/4))))</f>
        <v>0</v>
      </c>
    </row>
    <row r="251" spans="1:8" hidden="1" x14ac:dyDescent="0.35">
      <c r="A251" s="95" t="str">
        <f ca="1">(SUMPRODUCT(MID(0&amp;(LEFT(A250,SUM(LEN(A250)-LEN(SUBSTITUTE(A250,{"0","1","2"},""))))), LARGE(INDEX(ISNUMBER(--MID((LEFT(A250,SUM(LEN(A250)-LEN(SUBSTITUTE(A250,{"0","1","2"},""))))), ROW(INDIRECT("1:"&amp;LEN((LEFT(A250,SUM(LEN(A250)-LEN(SUBSTITUTE(A250,{"0","1","2"},"")))))))), 1)) * ROW(INDIRECT("1:"&amp;LEN((LEFT(A250,SUM(LEN(A250)-LEN(SUBSTITUTE(A250,{"0","1","2"},"")))))))), 0), ROW(INDIRECT("1:"&amp;LEN((LEFT(A250,SUM(LEN(A250)-LEN(SUBSTITUTE(A250,{"0","1","2"},"")))))))))+1, 1) * 10^ROW(INDIRECT("1:"&amp;LEN((LEFT(A250,SUM(LEN(A250)-LEN(SUBSTITUTE(A250,{"0","1","2"},""))))))))/10))*1+1&amp;""&amp;" to "&amp;""&amp;(SUMPRODUCT(MID(0&amp;(--TRIM(RIGHT(SUBSTITUTE(LEFT(A250,_xlfn.AGGREGATE(16,6,FIND({0,1,2,3,4,5,6,7,8,9},A250,ROW(INDIRECT("1:"&amp;LEN(A250)))),1))," ",REPT(" ",LEN(A250))),LEN(A250)))), LARGE(INDEX(ISNUMBER(--MID((--TRIM(RIGHT(SUBSTITUTE(LEFT(A250,_xlfn.AGGREGATE(16,6,FIND({0,1,2,3,4,5,6,7,8,9},A250,ROW(INDIRECT("1:"&amp;LEN(A250)))),1))," ",REPT(" ",LEN(A250))),LEN(A250)))), ROW(INDIRECT("1:"&amp;LEN((--TRIM(RIGHT(SUBSTITUTE(LEFT(A250,_xlfn.AGGREGATE(16,6,FIND({0,1,2,3,4,5,6,7,8,9},A250,ROW(INDIRECT("1:"&amp;LEN(A250)))),1))," ",REPT(" ",LEN(A250))),LEN(A250))))))), 1)) * ROW(INDIRECT("1:"&amp;LEN((--TRIM(RIGHT(SUBSTITUTE(LEFT(A250,_xlfn.AGGREGATE(16,6,FIND({0,1,2,3,4,5,6,7,8,9},A250,ROW(INDIRECT("1:"&amp;LEN(A250)))),1))," ",REPT(" ",LEN(A250))),LEN(A250))))))), 0), ROW(INDIRECT("1:"&amp;LEN((--TRIM(RIGHT(SUBSTITUTE(LEFT(A250,_xlfn.AGGREGATE(16,6,FIND({0,1,2,3,4,5,6,7,8,9},A250,ROW(INDIRECT("1:"&amp;LEN(A250)))),1))," ",REPT(" ",LEN(A250))),LEN(A250))))))))+1, 1) * 10^ROW(INDIRECT("1:"&amp;LEN((--TRIM(RIGHT(SUBSTITUTE(LEFT(A250,_xlfn.AGGREGATE(16,6,FIND({0,1,2,3,4,5,6,7,8,9},A250,ROW(INDIRECT("1:"&amp;LEN(A250)))),1))," ",REPT(" ",LEN(A250))),LEN(A250)))))))/10))*1+1</f>
        <v>205 to 505</v>
      </c>
      <c r="B251" s="96"/>
      <c r="C251" s="38"/>
      <c r="D251" s="38"/>
      <c r="E251" s="46">
        <v>0</v>
      </c>
      <c r="F251" s="46">
        <f>D251+E251</f>
        <v>0</v>
      </c>
      <c r="G251" s="46">
        <v>0</v>
      </c>
      <c r="H251" s="46">
        <f>F251*(($H$228)+1)+(IF(G251&lt;101,G251,IF(G251&lt;201,G251/2,IF(G251&lt;=301,G251/3,G251/4))))</f>
        <v>0</v>
      </c>
    </row>
    <row r="252" spans="1:8" hidden="1" x14ac:dyDescent="0.35">
      <c r="A252" s="98" t="s">
        <v>143</v>
      </c>
      <c r="B252" s="99"/>
      <c r="C252" s="99"/>
      <c r="D252" s="99"/>
      <c r="E252" s="99"/>
      <c r="F252" s="99"/>
      <c r="G252" s="99"/>
      <c r="H252" s="100"/>
    </row>
    <row r="253" spans="1:8" hidden="1" x14ac:dyDescent="0.35">
      <c r="A253" s="95" t="str">
        <f ca="1">(SUMPRODUCT(MID(0&amp;(LEFT(A252,SUM(LEN(A252)-LEN(SUBSTITUTE(A252,{"0","1","2"},""))))), LARGE(INDEX(ISNUMBER(--MID((LEFT(A252,SUM(LEN(A252)-LEN(SUBSTITUTE(A252,{"0","1","2"},""))))), ROW(INDIRECT("1:"&amp;LEN((LEFT(A252,SUM(LEN(A252)-LEN(SUBSTITUTE(A252,{"0","1","2"},"")))))))), 1)) * ROW(INDIRECT("1:"&amp;LEN((LEFT(A252,SUM(LEN(A252)-LEN(SUBSTITUTE(A252,{"0","1","2"},"")))))))), 0), ROW(INDIRECT("1:"&amp;LEN((LEFT(A252,SUM(LEN(A252)-LEN(SUBSTITUTE(A252,{"0","1","2"},"")))))))))+1, 1) * 10^ROW(INDIRECT("1:"&amp;LEN((LEFT(A252,SUM(LEN(A252)-LEN(SUBSTITUTE(A252,{"0","1","2"},""))))))))/10))*100+1&amp;""&amp;" &amp; "&amp;""&amp;(SUMPRODUCT(MID(0&amp;(--TRIM(RIGHT(SUBSTITUTE(LEFT(A252,_xlfn.AGGREGATE(16,6,FIND({0,1,2,3,4,5,6,7,8,9},A252,ROW(INDIRECT("1:"&amp;LEN(A252)))),1))," ",REPT(" ",LEN(A252))),LEN(A252)))), LARGE(INDEX(ISNUMBER(--MID((--TRIM(RIGHT(SUBSTITUTE(LEFT(A252,_xlfn.AGGREGATE(16,6,FIND({0,1,2,3,4,5,6,7,8,9},A252,ROW(INDIRECT("1:"&amp;LEN(A252)))),1))," ",REPT(" ",LEN(A252))),LEN(A252)))), ROW(INDIRECT("1:"&amp;LEN((--TRIM(RIGHT(SUBSTITUTE(LEFT(A252,_xlfn.AGGREGATE(16,6,FIND({0,1,2,3,4,5,6,7,8,9},A252,ROW(INDIRECT("1:"&amp;LEN(A252)))),1))," ",REPT(" ",LEN(A252))),LEN(A252))))))), 1)) * ROW(INDIRECT("1:"&amp;LEN((--TRIM(RIGHT(SUBSTITUTE(LEFT(A252,_xlfn.AGGREGATE(16,6,FIND({0,1,2,3,4,5,6,7,8,9},A252,ROW(INDIRECT("1:"&amp;LEN(A252)))),1))," ",REPT(" ",LEN(A252))),LEN(A252))))))), 0), ROW(INDIRECT("1:"&amp;LEN((--TRIM(RIGHT(SUBSTITUTE(LEFT(A252,_xlfn.AGGREGATE(16,6,FIND({0,1,2,3,4,5,6,7,8,9},A252,ROW(INDIRECT("1:"&amp;LEN(A252)))),1))," ",REPT(" ",LEN(A252))),LEN(A252))))))))+1, 1) * 10^ROW(INDIRECT("1:"&amp;LEN((--TRIM(RIGHT(SUBSTITUTE(LEFT(A252,_xlfn.AGGREGATE(16,6,FIND({0,1,2,3,4,5,6,7,8,9},A252,ROW(INDIRECT("1:"&amp;LEN(A252)))),1))," ",REPT(" ",LEN(A252))),LEN(A252)))))))/10))*100+1</f>
        <v>201 &amp; 501</v>
      </c>
      <c r="B253" s="96"/>
      <c r="C253" s="38"/>
      <c r="D253" s="38"/>
      <c r="E253" s="46">
        <v>0</v>
      </c>
      <c r="F253" s="46">
        <f>D253+E253</f>
        <v>0</v>
      </c>
      <c r="G253" s="46">
        <v>0</v>
      </c>
      <c r="H253" s="46">
        <f>F253*(($H$228)+1)+(IF(G253&lt;101,G253,IF(G253&lt;201,G253/2,IF(G253&lt;=301,G253/3,G253/4))))</f>
        <v>0</v>
      </c>
    </row>
    <row r="254" spans="1:8" hidden="1" x14ac:dyDescent="0.35">
      <c r="A254" s="95" t="str">
        <f ca="1">(SUMPRODUCT(MID(0&amp;(LEFT(A253,SUM(LEN(A253)-LEN(SUBSTITUTE(A253,{"0","1","2"},""))))), LARGE(INDEX(ISNUMBER(--MID((LEFT(A253,SUM(LEN(A253)-LEN(SUBSTITUTE(A253,{"0","1","2"},""))))), ROW(INDIRECT("1:"&amp;LEN((LEFT(A253,SUM(LEN(A253)-LEN(SUBSTITUTE(A253,{"0","1","2"},"")))))))), 1)) * ROW(INDIRECT("1:"&amp;LEN((LEFT(A253,SUM(LEN(A253)-LEN(SUBSTITUTE(A253,{"0","1","2"},"")))))))), 0), ROW(INDIRECT("1:"&amp;LEN((LEFT(A253,SUM(LEN(A253)-LEN(SUBSTITUTE(A253,{"0","1","2"},"")))))))))+1, 1) * 10^ROW(INDIRECT("1:"&amp;LEN((LEFT(A253,SUM(LEN(A253)-LEN(SUBSTITUTE(A253,{"0","1","2"},""))))))))/10))*1+1&amp;""&amp;" &amp; "&amp;""&amp;(SUMPRODUCT(MID(0&amp;(--TRIM(RIGHT(SUBSTITUTE(LEFT(A253,_xlfn.AGGREGATE(16,6,FIND({0,1,2,3,4,5,6,7,8,9},A253,ROW(INDIRECT("1:"&amp;LEN(A253)))),1))," ",REPT(" ",LEN(A253))),LEN(A253)))), LARGE(INDEX(ISNUMBER(--MID((--TRIM(RIGHT(SUBSTITUTE(LEFT(A253,_xlfn.AGGREGATE(16,6,FIND({0,1,2,3,4,5,6,7,8,9},A253,ROW(INDIRECT("1:"&amp;LEN(A253)))),1))," ",REPT(" ",LEN(A253))),LEN(A253)))), ROW(INDIRECT("1:"&amp;LEN((--TRIM(RIGHT(SUBSTITUTE(LEFT(A253,_xlfn.AGGREGATE(16,6,FIND({0,1,2,3,4,5,6,7,8,9},A253,ROW(INDIRECT("1:"&amp;LEN(A253)))),1))," ",REPT(" ",LEN(A253))),LEN(A253))))))), 1)) * ROW(INDIRECT("1:"&amp;LEN((--TRIM(RIGHT(SUBSTITUTE(LEFT(A253,_xlfn.AGGREGATE(16,6,FIND({0,1,2,3,4,5,6,7,8,9},A253,ROW(INDIRECT("1:"&amp;LEN(A253)))),1))," ",REPT(" ",LEN(A253))),LEN(A253))))))), 0), ROW(INDIRECT("1:"&amp;LEN((--TRIM(RIGHT(SUBSTITUTE(LEFT(A253,_xlfn.AGGREGATE(16,6,FIND({0,1,2,3,4,5,6,7,8,9},A253,ROW(INDIRECT("1:"&amp;LEN(A253)))),1))," ",REPT(" ",LEN(A253))),LEN(A253))))))))+1, 1) * 10^ROW(INDIRECT("1:"&amp;LEN((--TRIM(RIGHT(SUBSTITUTE(LEFT(A253,_xlfn.AGGREGATE(16,6,FIND({0,1,2,3,4,5,6,7,8,9},A253,ROW(INDIRECT("1:"&amp;LEN(A253)))),1))," ",REPT(" ",LEN(A253))),LEN(A253)))))))/10))*1+1</f>
        <v>202 &amp; 502</v>
      </c>
      <c r="B254" s="96"/>
      <c r="C254" s="38"/>
      <c r="D254" s="38"/>
      <c r="E254" s="46">
        <v>0</v>
      </c>
      <c r="F254" s="46">
        <f>D254+E254</f>
        <v>0</v>
      </c>
      <c r="G254" s="46">
        <v>0</v>
      </c>
      <c r="H254" s="46">
        <f>F254*(($H$228)+1)+(IF(G254&lt;101,G254,IF(G254&lt;201,G254/2,IF(G254&lt;=301,G254/3,G254/4))))</f>
        <v>0</v>
      </c>
    </row>
    <row r="255" spans="1:8" hidden="1" x14ac:dyDescent="0.35">
      <c r="A255" s="95" t="str">
        <f ca="1">(SUMPRODUCT(MID(0&amp;(LEFT(A254,SUM(LEN(A254)-LEN(SUBSTITUTE(A254,{"0","1","2"},""))))), LARGE(INDEX(ISNUMBER(--MID((LEFT(A254,SUM(LEN(A254)-LEN(SUBSTITUTE(A254,{"0","1","2"},""))))), ROW(INDIRECT("1:"&amp;LEN((LEFT(A254,SUM(LEN(A254)-LEN(SUBSTITUTE(A254,{"0","1","2"},"")))))))), 1)) * ROW(INDIRECT("1:"&amp;LEN((LEFT(A254,SUM(LEN(A254)-LEN(SUBSTITUTE(A254,{"0","1","2"},"")))))))), 0), ROW(INDIRECT("1:"&amp;LEN((LEFT(A254,SUM(LEN(A254)-LEN(SUBSTITUTE(A254,{"0","1","2"},"")))))))))+1, 1) * 10^ROW(INDIRECT("1:"&amp;LEN((LEFT(A254,SUM(LEN(A254)-LEN(SUBSTITUTE(A254,{"0","1","2"},""))))))))/10))*1+1&amp;""&amp;" &amp; "&amp;""&amp;(SUMPRODUCT(MID(0&amp;(--TRIM(RIGHT(SUBSTITUTE(LEFT(A254,_xlfn.AGGREGATE(16,6,FIND({0,1,2,3,4,5,6,7,8,9},A254,ROW(INDIRECT("1:"&amp;LEN(A254)))),1))," ",REPT(" ",LEN(A254))),LEN(A254)))), LARGE(INDEX(ISNUMBER(--MID((--TRIM(RIGHT(SUBSTITUTE(LEFT(A254,_xlfn.AGGREGATE(16,6,FIND({0,1,2,3,4,5,6,7,8,9},A254,ROW(INDIRECT("1:"&amp;LEN(A254)))),1))," ",REPT(" ",LEN(A254))),LEN(A254)))), ROW(INDIRECT("1:"&amp;LEN((--TRIM(RIGHT(SUBSTITUTE(LEFT(A254,_xlfn.AGGREGATE(16,6,FIND({0,1,2,3,4,5,6,7,8,9},A254,ROW(INDIRECT("1:"&amp;LEN(A254)))),1))," ",REPT(" ",LEN(A254))),LEN(A254))))))), 1)) * ROW(INDIRECT("1:"&amp;LEN((--TRIM(RIGHT(SUBSTITUTE(LEFT(A254,_xlfn.AGGREGATE(16,6,FIND({0,1,2,3,4,5,6,7,8,9},A254,ROW(INDIRECT("1:"&amp;LEN(A254)))),1))," ",REPT(" ",LEN(A254))),LEN(A254))))))), 0), ROW(INDIRECT("1:"&amp;LEN((--TRIM(RIGHT(SUBSTITUTE(LEFT(A254,_xlfn.AGGREGATE(16,6,FIND({0,1,2,3,4,5,6,7,8,9},A254,ROW(INDIRECT("1:"&amp;LEN(A254)))),1))," ",REPT(" ",LEN(A254))),LEN(A254))))))))+1, 1) * 10^ROW(INDIRECT("1:"&amp;LEN((--TRIM(RIGHT(SUBSTITUTE(LEFT(A254,_xlfn.AGGREGATE(16,6,FIND({0,1,2,3,4,5,6,7,8,9},A254,ROW(INDIRECT("1:"&amp;LEN(A254)))),1))," ",REPT(" ",LEN(A254))),LEN(A254)))))))/10))*1+1</f>
        <v>203 &amp; 503</v>
      </c>
      <c r="B255" s="96"/>
      <c r="C255" s="38"/>
      <c r="D255" s="38"/>
      <c r="E255" s="46">
        <v>0</v>
      </c>
      <c r="F255" s="46">
        <f>D255+E255</f>
        <v>0</v>
      </c>
      <c r="G255" s="46">
        <v>0</v>
      </c>
      <c r="H255" s="46">
        <f>F255*(($H$228)+1)+(IF(G255&lt;101,G255,IF(G255&lt;201,G255/2,IF(G255&lt;=301,G255/3,G255/4))))</f>
        <v>0</v>
      </c>
    </row>
    <row r="256" spans="1:8" hidden="1" x14ac:dyDescent="0.35">
      <c r="A256" s="95" t="str">
        <f ca="1">(SUMPRODUCT(MID(0&amp;(LEFT(A255,SUM(LEN(A255)-LEN(SUBSTITUTE(A255,{"0","1","2"},""))))), LARGE(INDEX(ISNUMBER(--MID((LEFT(A255,SUM(LEN(A255)-LEN(SUBSTITUTE(A255,{"0","1","2"},""))))), ROW(INDIRECT("1:"&amp;LEN((LEFT(A255,SUM(LEN(A255)-LEN(SUBSTITUTE(A255,{"0","1","2"},"")))))))), 1)) * ROW(INDIRECT("1:"&amp;LEN((LEFT(A255,SUM(LEN(A255)-LEN(SUBSTITUTE(A255,{"0","1","2"},"")))))))), 0), ROW(INDIRECT("1:"&amp;LEN((LEFT(A255,SUM(LEN(A255)-LEN(SUBSTITUTE(A255,{"0","1","2"},"")))))))))+1, 1) * 10^ROW(INDIRECT("1:"&amp;LEN((LEFT(A255,SUM(LEN(A255)-LEN(SUBSTITUTE(A255,{"0","1","2"},""))))))))/10))*1+1&amp;""&amp;" &amp; "&amp;""&amp;(SUMPRODUCT(MID(0&amp;(--TRIM(RIGHT(SUBSTITUTE(LEFT(A255,_xlfn.AGGREGATE(16,6,FIND({0,1,2,3,4,5,6,7,8,9},A255,ROW(INDIRECT("1:"&amp;LEN(A255)))),1))," ",REPT(" ",LEN(A255))),LEN(A255)))), LARGE(INDEX(ISNUMBER(--MID((--TRIM(RIGHT(SUBSTITUTE(LEFT(A255,_xlfn.AGGREGATE(16,6,FIND({0,1,2,3,4,5,6,7,8,9},A255,ROW(INDIRECT("1:"&amp;LEN(A255)))),1))," ",REPT(" ",LEN(A255))),LEN(A255)))), ROW(INDIRECT("1:"&amp;LEN((--TRIM(RIGHT(SUBSTITUTE(LEFT(A255,_xlfn.AGGREGATE(16,6,FIND({0,1,2,3,4,5,6,7,8,9},A255,ROW(INDIRECT("1:"&amp;LEN(A255)))),1))," ",REPT(" ",LEN(A255))),LEN(A255))))))), 1)) * ROW(INDIRECT("1:"&amp;LEN((--TRIM(RIGHT(SUBSTITUTE(LEFT(A255,_xlfn.AGGREGATE(16,6,FIND({0,1,2,3,4,5,6,7,8,9},A255,ROW(INDIRECT("1:"&amp;LEN(A255)))),1))," ",REPT(" ",LEN(A255))),LEN(A255))))))), 0), ROW(INDIRECT("1:"&amp;LEN((--TRIM(RIGHT(SUBSTITUTE(LEFT(A255,_xlfn.AGGREGATE(16,6,FIND({0,1,2,3,4,5,6,7,8,9},A255,ROW(INDIRECT("1:"&amp;LEN(A255)))),1))," ",REPT(" ",LEN(A255))),LEN(A255))))))))+1, 1) * 10^ROW(INDIRECT("1:"&amp;LEN((--TRIM(RIGHT(SUBSTITUTE(LEFT(A255,_xlfn.AGGREGATE(16,6,FIND({0,1,2,3,4,5,6,7,8,9},A255,ROW(INDIRECT("1:"&amp;LEN(A255)))),1))," ",REPT(" ",LEN(A255))),LEN(A255)))))))/10))*1+1</f>
        <v>204 &amp; 504</v>
      </c>
      <c r="B256" s="96"/>
      <c r="C256" s="38"/>
      <c r="D256" s="38"/>
      <c r="E256" s="46">
        <v>0</v>
      </c>
      <c r="F256" s="46">
        <f>D256+E256</f>
        <v>0</v>
      </c>
      <c r="G256" s="46">
        <v>0</v>
      </c>
      <c r="H256" s="46">
        <f>F256*(($H$228)+1)+(IF(G256&lt;101,G256,IF(G256&lt;201,G256/2,IF(G256&lt;=301,G256/3,G256/4))))</f>
        <v>0</v>
      </c>
    </row>
    <row r="257" spans="1:9" hidden="1" x14ac:dyDescent="0.35">
      <c r="A257" s="95" t="str">
        <f ca="1">(SUMPRODUCT(MID(0&amp;(LEFT(A256,SUM(LEN(A256)-LEN(SUBSTITUTE(A256,{"0","1","2"},""))))), LARGE(INDEX(ISNUMBER(--MID((LEFT(A256,SUM(LEN(A256)-LEN(SUBSTITUTE(A256,{"0","1","2"},""))))), ROW(INDIRECT("1:"&amp;LEN((LEFT(A256,SUM(LEN(A256)-LEN(SUBSTITUTE(A256,{"0","1","2"},"")))))))), 1)) * ROW(INDIRECT("1:"&amp;LEN((LEFT(A256,SUM(LEN(A256)-LEN(SUBSTITUTE(A256,{"0","1","2"},"")))))))), 0), ROW(INDIRECT("1:"&amp;LEN((LEFT(A256,SUM(LEN(A256)-LEN(SUBSTITUTE(A256,{"0","1","2"},"")))))))))+1, 1) * 10^ROW(INDIRECT("1:"&amp;LEN((LEFT(A256,SUM(LEN(A256)-LEN(SUBSTITUTE(A256,{"0","1","2"},""))))))))/10))*1+1&amp;""&amp;" &amp; "&amp;""&amp;(SUMPRODUCT(MID(0&amp;(--TRIM(RIGHT(SUBSTITUTE(LEFT(A256,_xlfn.AGGREGATE(16,6,FIND({0,1,2,3,4,5,6,7,8,9},A256,ROW(INDIRECT("1:"&amp;LEN(A256)))),1))," ",REPT(" ",LEN(A256))),LEN(A256)))), LARGE(INDEX(ISNUMBER(--MID((--TRIM(RIGHT(SUBSTITUTE(LEFT(A256,_xlfn.AGGREGATE(16,6,FIND({0,1,2,3,4,5,6,7,8,9},A256,ROW(INDIRECT("1:"&amp;LEN(A256)))),1))," ",REPT(" ",LEN(A256))),LEN(A256)))), ROW(INDIRECT("1:"&amp;LEN((--TRIM(RIGHT(SUBSTITUTE(LEFT(A256,_xlfn.AGGREGATE(16,6,FIND({0,1,2,3,4,5,6,7,8,9},A256,ROW(INDIRECT("1:"&amp;LEN(A256)))),1))," ",REPT(" ",LEN(A256))),LEN(A256))))))), 1)) * ROW(INDIRECT("1:"&amp;LEN((--TRIM(RIGHT(SUBSTITUTE(LEFT(A256,_xlfn.AGGREGATE(16,6,FIND({0,1,2,3,4,5,6,7,8,9},A256,ROW(INDIRECT("1:"&amp;LEN(A256)))),1))," ",REPT(" ",LEN(A256))),LEN(A256))))))), 0), ROW(INDIRECT("1:"&amp;LEN((--TRIM(RIGHT(SUBSTITUTE(LEFT(A256,_xlfn.AGGREGATE(16,6,FIND({0,1,2,3,4,5,6,7,8,9},A256,ROW(INDIRECT("1:"&amp;LEN(A256)))),1))," ",REPT(" ",LEN(A256))),LEN(A256))))))))+1, 1) * 10^ROW(INDIRECT("1:"&amp;LEN((--TRIM(RIGHT(SUBSTITUTE(LEFT(A256,_xlfn.AGGREGATE(16,6,FIND({0,1,2,3,4,5,6,7,8,9},A256,ROW(INDIRECT("1:"&amp;LEN(A256)))),1))," ",REPT(" ",LEN(A256))),LEN(A256)))))))/10))*1+1</f>
        <v>205 &amp; 505</v>
      </c>
      <c r="B257" s="96"/>
      <c r="C257" s="38"/>
      <c r="D257" s="38"/>
      <c r="E257" s="46">
        <v>0</v>
      </c>
      <c r="F257" s="46">
        <f>D257+E257</f>
        <v>0</v>
      </c>
      <c r="G257" s="46">
        <v>0</v>
      </c>
      <c r="H257" s="46">
        <f>F257*(($H$228)+1)+(IF(G257&lt;101,G257,IF(G257&lt;201,G257/2,IF(G257&lt;=301,G257/3,G257/4))))</f>
        <v>0</v>
      </c>
    </row>
    <row r="258" spans="1:9" x14ac:dyDescent="0.35">
      <c r="A258" s="109" t="s">
        <v>64</v>
      </c>
      <c r="B258" s="109"/>
      <c r="C258" s="109"/>
      <c r="D258" s="109"/>
      <c r="E258" s="109"/>
      <c r="F258" s="109"/>
      <c r="G258" s="109"/>
      <c r="H258" s="109"/>
    </row>
    <row r="259" spans="1:9" ht="50.5" customHeight="1" x14ac:dyDescent="0.35">
      <c r="A259" s="40" t="s">
        <v>153</v>
      </c>
      <c r="B259" s="101" t="s">
        <v>420</v>
      </c>
      <c r="C259" s="102"/>
      <c r="D259" s="102"/>
      <c r="E259" s="102"/>
      <c r="F259" s="102"/>
      <c r="G259" s="102"/>
      <c r="H259" s="103"/>
      <c r="I259" s="83" t="s">
        <v>409</v>
      </c>
    </row>
    <row r="260" spans="1:9" hidden="1" x14ac:dyDescent="0.35">
      <c r="A260" s="40" t="s">
        <v>153</v>
      </c>
      <c r="B260" s="90" t="str">
        <f>(IF(H227="Saleable area Loading :","We have considered Saleable area of Flats as per our Calculation.","We considered Saleable area of Flat as per Builder area Sheet."))</f>
        <v>We have considered Saleable area of Flats as per our Calculation.</v>
      </c>
      <c r="C260" s="91"/>
      <c r="D260" s="91"/>
      <c r="E260" s="91"/>
      <c r="F260" s="91"/>
      <c r="G260" s="91"/>
      <c r="H260" s="92"/>
    </row>
    <row r="261" spans="1:9" x14ac:dyDescent="0.35">
      <c r="A261" s="40" t="s">
        <v>153</v>
      </c>
      <c r="B261" s="90" t="str">
        <f>(IF(H113="Saleable area Loading :","We have considered Saleable area of Commercial as per our Calculation.","We considered Saleable area of Commercial as per Builder area Sheet."))</f>
        <v>We have considered Saleable area of Commercial as per our Calculation.</v>
      </c>
      <c r="C261" s="91"/>
      <c r="D261" s="91"/>
      <c r="E261" s="91"/>
      <c r="F261" s="91"/>
      <c r="G261" s="91"/>
      <c r="H261" s="92"/>
    </row>
    <row r="262" spans="1:9" x14ac:dyDescent="0.35">
      <c r="A262" s="40" t="s">
        <v>153</v>
      </c>
      <c r="B262" s="137" t="s">
        <v>119</v>
      </c>
      <c r="C262" s="138"/>
      <c r="D262" s="138"/>
      <c r="E262" s="138"/>
      <c r="F262" s="138"/>
      <c r="G262" s="138"/>
      <c r="H262" s="139"/>
    </row>
    <row r="263" spans="1:9" x14ac:dyDescent="0.35">
      <c r="A263" s="40" t="s">
        <v>153</v>
      </c>
      <c r="B263" s="137" t="s">
        <v>395</v>
      </c>
      <c r="C263" s="138"/>
      <c r="D263" s="138"/>
      <c r="E263" s="138"/>
      <c r="F263" s="138"/>
      <c r="G263" s="138"/>
      <c r="H263" s="139"/>
    </row>
    <row r="264" spans="1:9" x14ac:dyDescent="0.35">
      <c r="A264" s="40" t="s">
        <v>153</v>
      </c>
      <c r="B264" s="137" t="s">
        <v>152</v>
      </c>
      <c r="C264" s="138"/>
      <c r="D264" s="138"/>
      <c r="E264" s="138"/>
      <c r="F264" s="138"/>
      <c r="G264" s="138"/>
      <c r="H264" s="139"/>
    </row>
    <row r="265" spans="1:9" x14ac:dyDescent="0.35">
      <c r="A265" s="40" t="s">
        <v>153</v>
      </c>
      <c r="B265" s="137" t="s">
        <v>120</v>
      </c>
      <c r="C265" s="138"/>
      <c r="D265" s="138"/>
      <c r="E265" s="138"/>
      <c r="F265" s="138"/>
      <c r="G265" s="138"/>
      <c r="H265" s="139"/>
    </row>
    <row r="266" spans="1:9" x14ac:dyDescent="0.35">
      <c r="A266" s="40" t="s">
        <v>153</v>
      </c>
      <c r="B266" s="137" t="s">
        <v>154</v>
      </c>
      <c r="C266" s="138"/>
      <c r="D266" s="138"/>
      <c r="E266" s="138"/>
      <c r="F266" s="138"/>
      <c r="G266" s="138"/>
      <c r="H266" s="139"/>
    </row>
    <row r="267" spans="1:9" x14ac:dyDescent="0.35">
      <c r="A267" s="40" t="s">
        <v>153</v>
      </c>
      <c r="B267" s="137" t="s">
        <v>121</v>
      </c>
      <c r="C267" s="138"/>
      <c r="D267" s="138"/>
      <c r="E267" s="138"/>
      <c r="F267" s="138"/>
      <c r="G267" s="138"/>
      <c r="H267" s="139"/>
    </row>
    <row r="268" spans="1:9" x14ac:dyDescent="0.35">
      <c r="A268" s="75" t="s">
        <v>153</v>
      </c>
      <c r="B268" s="101" t="s">
        <v>390</v>
      </c>
      <c r="C268" s="102"/>
      <c r="D268" s="102"/>
      <c r="E268" s="102"/>
      <c r="F268" s="102"/>
      <c r="G268" s="102"/>
      <c r="H268" s="103"/>
    </row>
    <row r="269" spans="1:9" hidden="1" x14ac:dyDescent="0.35">
      <c r="A269" s="43" t="s">
        <v>153</v>
      </c>
      <c r="B269" s="140" t="s">
        <v>176</v>
      </c>
      <c r="C269" s="141"/>
      <c r="D269" s="141"/>
      <c r="E269" s="141"/>
      <c r="F269" s="141"/>
      <c r="G269" s="141"/>
      <c r="H269" s="142"/>
    </row>
    <row r="270" spans="1:9" hidden="1" x14ac:dyDescent="0.35">
      <c r="A270" s="47" t="s">
        <v>153</v>
      </c>
      <c r="B270" s="101" t="s">
        <v>397</v>
      </c>
      <c r="C270" s="102"/>
      <c r="D270" s="102"/>
      <c r="E270" s="102"/>
      <c r="F270" s="102"/>
      <c r="G270" s="102"/>
      <c r="H270" s="103"/>
    </row>
    <row r="271" spans="1:9" ht="31.5" hidden="1" customHeight="1" x14ac:dyDescent="0.35">
      <c r="A271" s="75" t="s">
        <v>153</v>
      </c>
      <c r="B271" s="90" t="s">
        <v>398</v>
      </c>
      <c r="C271" s="91"/>
      <c r="D271" s="91"/>
      <c r="E271" s="91"/>
      <c r="F271" s="91"/>
      <c r="G271" s="91"/>
      <c r="H271" s="92"/>
    </row>
    <row r="272" spans="1:9" x14ac:dyDescent="0.35">
      <c r="A272" s="86" t="s">
        <v>153</v>
      </c>
      <c r="B272" s="90" t="s">
        <v>418</v>
      </c>
      <c r="C272" s="91"/>
      <c r="D272" s="91"/>
      <c r="E272" s="91"/>
      <c r="F272" s="91"/>
      <c r="G272" s="91"/>
      <c r="H272" s="92"/>
    </row>
    <row r="273" spans="1:8" x14ac:dyDescent="0.35">
      <c r="A273" s="156" t="s">
        <v>57</v>
      </c>
      <c r="B273" s="157"/>
      <c r="C273" s="157"/>
      <c r="D273" s="157"/>
      <c r="E273" s="157"/>
      <c r="F273" s="157"/>
      <c r="G273" s="157"/>
      <c r="H273" s="158"/>
    </row>
    <row r="274" spans="1:8" x14ac:dyDescent="0.35">
      <c r="A274" s="93" t="s">
        <v>58</v>
      </c>
      <c r="B274" s="93"/>
      <c r="C274" s="93"/>
      <c r="D274" s="93"/>
      <c r="E274" s="93"/>
      <c r="F274" s="93"/>
      <c r="G274" s="93"/>
      <c r="H274" s="93"/>
    </row>
    <row r="275" spans="1:8" x14ac:dyDescent="0.35">
      <c r="A275" s="147" t="s">
        <v>59</v>
      </c>
      <c r="B275" s="147"/>
      <c r="C275" s="147"/>
      <c r="D275" s="147"/>
      <c r="E275" s="147"/>
      <c r="F275" s="147"/>
      <c r="G275" s="147"/>
      <c r="H275" s="147"/>
    </row>
    <row r="276" spans="1:8" x14ac:dyDescent="0.35">
      <c r="A276" s="93" t="s">
        <v>60</v>
      </c>
      <c r="B276" s="93"/>
      <c r="C276" s="93"/>
      <c r="D276" s="93"/>
      <c r="E276" s="93"/>
      <c r="F276" s="93"/>
      <c r="G276" s="93"/>
      <c r="H276" s="93"/>
    </row>
    <row r="277" spans="1:8" x14ac:dyDescent="0.35">
      <c r="A277" s="93" t="s">
        <v>61</v>
      </c>
      <c r="B277" s="93"/>
      <c r="C277" s="93"/>
      <c r="D277" s="93"/>
      <c r="E277" s="93"/>
      <c r="F277" s="93"/>
      <c r="G277" s="93"/>
      <c r="H277" s="93"/>
    </row>
    <row r="278" spans="1:8" x14ac:dyDescent="0.35">
      <c r="A278" s="93" t="s">
        <v>122</v>
      </c>
      <c r="B278" s="93"/>
      <c r="C278" s="93"/>
      <c r="D278" s="93"/>
      <c r="E278" s="93"/>
      <c r="F278" s="93"/>
      <c r="G278" s="93"/>
      <c r="H278" s="93"/>
    </row>
    <row r="279" spans="1:8" x14ac:dyDescent="0.35">
      <c r="A279" s="110" t="s">
        <v>123</v>
      </c>
      <c r="B279" s="110"/>
      <c r="C279" s="110"/>
      <c r="D279" s="110"/>
      <c r="E279" s="110"/>
      <c r="F279" s="110"/>
      <c r="G279" s="110"/>
      <c r="H279" s="110"/>
    </row>
    <row r="280" spans="1:8" x14ac:dyDescent="0.35">
      <c r="A280" s="153" t="s">
        <v>73</v>
      </c>
      <c r="B280" s="153"/>
      <c r="C280" s="153" t="s">
        <v>417</v>
      </c>
      <c r="D280" s="153"/>
      <c r="E280" s="153" t="s">
        <v>101</v>
      </c>
      <c r="F280" s="153"/>
      <c r="G280" s="153" t="s">
        <v>416</v>
      </c>
      <c r="H280" s="153"/>
    </row>
    <row r="281" spans="1:8" x14ac:dyDescent="0.35">
      <c r="A281" s="152" t="s">
        <v>75</v>
      </c>
      <c r="B281" s="152"/>
      <c r="C281" s="152"/>
      <c r="D281" s="152"/>
      <c r="E281" s="152"/>
      <c r="F281" s="152"/>
      <c r="G281" s="152"/>
      <c r="H281" s="152"/>
    </row>
    <row r="282" spans="1:8" x14ac:dyDescent="0.35">
      <c r="A282" s="152"/>
      <c r="B282" s="152"/>
      <c r="C282" s="152"/>
      <c r="D282" s="152"/>
      <c r="E282" s="152"/>
      <c r="F282" s="152"/>
      <c r="G282" s="152"/>
      <c r="H282" s="152"/>
    </row>
    <row r="283" spans="1:8" x14ac:dyDescent="0.35">
      <c r="A283" s="152"/>
      <c r="B283" s="152"/>
      <c r="C283" s="152"/>
      <c r="D283" s="152"/>
      <c r="E283" s="152"/>
      <c r="F283" s="152"/>
      <c r="G283" s="152"/>
      <c r="H283" s="152"/>
    </row>
    <row r="284" spans="1:8" x14ac:dyDescent="0.35">
      <c r="A284" s="152"/>
      <c r="B284" s="152"/>
      <c r="C284" s="152"/>
      <c r="D284" s="152"/>
      <c r="E284" s="152"/>
      <c r="F284" s="152"/>
      <c r="G284" s="152"/>
      <c r="H284" s="152"/>
    </row>
    <row r="285" spans="1:8" x14ac:dyDescent="0.35">
      <c r="A285" s="34" t="s">
        <v>62</v>
      </c>
      <c r="B285" s="35"/>
      <c r="C285" s="35"/>
      <c r="D285" s="34" t="str">
        <f>E9</f>
        <v>Matunga Signet</v>
      </c>
      <c r="F285" s="35"/>
      <c r="G285" s="35"/>
      <c r="H285" s="35"/>
    </row>
    <row r="286" spans="1:8" x14ac:dyDescent="0.35">
      <c r="A286" s="35"/>
      <c r="B286" s="35"/>
      <c r="C286" s="35"/>
      <c r="D286" s="35"/>
      <c r="E286" s="35"/>
      <c r="F286" s="35"/>
      <c r="G286" s="35"/>
      <c r="H286" s="35"/>
    </row>
    <row r="287" spans="1:8" x14ac:dyDescent="0.35">
      <c r="A287" s="35"/>
      <c r="B287" s="35"/>
      <c r="C287" s="35"/>
      <c r="D287" s="35"/>
      <c r="E287" s="35"/>
      <c r="F287" s="35"/>
      <c r="G287" s="35"/>
      <c r="H287" s="35"/>
    </row>
    <row r="328" spans="1:1" x14ac:dyDescent="0.35">
      <c r="A328" s="37" t="s">
        <v>163</v>
      </c>
    </row>
    <row r="371" spans="1:1" x14ac:dyDescent="0.35">
      <c r="A371" s="37" t="s">
        <v>63</v>
      </c>
    </row>
  </sheetData>
  <mergeCells count="432">
    <mergeCell ref="A241:B241"/>
    <mergeCell ref="A127:B127"/>
    <mergeCell ref="A106:B106"/>
    <mergeCell ref="I13:L13"/>
    <mergeCell ref="C53:H53"/>
    <mergeCell ref="C113:C114"/>
    <mergeCell ref="B227:B228"/>
    <mergeCell ref="B261:H261"/>
    <mergeCell ref="I63:M63"/>
    <mergeCell ref="A79:B79"/>
    <mergeCell ref="E77:F86"/>
    <mergeCell ref="G77:H86"/>
    <mergeCell ref="A90:E90"/>
    <mergeCell ref="A87:E87"/>
    <mergeCell ref="F91:H91"/>
    <mergeCell ref="F87:H87"/>
    <mergeCell ref="F90:H90"/>
    <mergeCell ref="A227:A228"/>
    <mergeCell ref="F227:F228"/>
    <mergeCell ref="L129:M129"/>
    <mergeCell ref="A239:B239"/>
    <mergeCell ref="A236:B236"/>
    <mergeCell ref="A237:B237"/>
    <mergeCell ref="A247:B247"/>
    <mergeCell ref="B270:H270"/>
    <mergeCell ref="A92:E92"/>
    <mergeCell ref="A109:B109"/>
    <mergeCell ref="E109:F109"/>
    <mergeCell ref="A97:E97"/>
    <mergeCell ref="G109:H109"/>
    <mergeCell ref="C103:D103"/>
    <mergeCell ref="E103:F103"/>
    <mergeCell ref="G103:H103"/>
    <mergeCell ref="A104:B104"/>
    <mergeCell ref="C104:D104"/>
    <mergeCell ref="E104:F104"/>
    <mergeCell ref="G104:H104"/>
    <mergeCell ref="A108:B108"/>
    <mergeCell ref="C108:D108"/>
    <mergeCell ref="E108:F108"/>
    <mergeCell ref="G108:H108"/>
    <mergeCell ref="B266:H266"/>
    <mergeCell ref="F92:H92"/>
    <mergeCell ref="A93:E93"/>
    <mergeCell ref="F93:H93"/>
    <mergeCell ref="A95:E95"/>
    <mergeCell ref="A94:E94"/>
    <mergeCell ref="A111:H111"/>
    <mergeCell ref="A40:B40"/>
    <mergeCell ref="C40:H40"/>
    <mergeCell ref="F113:F114"/>
    <mergeCell ref="C102:D102"/>
    <mergeCell ref="E102:F102"/>
    <mergeCell ref="B113:B114"/>
    <mergeCell ref="A113:A114"/>
    <mergeCell ref="C227:C228"/>
    <mergeCell ref="G227:G228"/>
    <mergeCell ref="A91:E91"/>
    <mergeCell ref="G113:G114"/>
    <mergeCell ref="D67:H67"/>
    <mergeCell ref="A44:D44"/>
    <mergeCell ref="E44:H44"/>
    <mergeCell ref="E45:H45"/>
    <mergeCell ref="E46:H46"/>
    <mergeCell ref="E47:H47"/>
    <mergeCell ref="C57:H57"/>
    <mergeCell ref="C59:H59"/>
    <mergeCell ref="A48:H48"/>
    <mergeCell ref="D64:H64"/>
    <mergeCell ref="A64:C64"/>
    <mergeCell ref="A45:D45"/>
    <mergeCell ref="A49:B49"/>
    <mergeCell ref="L128:M128"/>
    <mergeCell ref="L125:M125"/>
    <mergeCell ref="A231:B231"/>
    <mergeCell ref="G110:H110"/>
    <mergeCell ref="L126:M126"/>
    <mergeCell ref="A232:B232"/>
    <mergeCell ref="L127:M127"/>
    <mergeCell ref="C55:H55"/>
    <mergeCell ref="A233:B233"/>
    <mergeCell ref="A76:B76"/>
    <mergeCell ref="L120:M120"/>
    <mergeCell ref="L119:M119"/>
    <mergeCell ref="L118:M118"/>
    <mergeCell ref="L117:M117"/>
    <mergeCell ref="A84:B84"/>
    <mergeCell ref="C107:D107"/>
    <mergeCell ref="E107:F107"/>
    <mergeCell ref="G107:H107"/>
    <mergeCell ref="A88:E88"/>
    <mergeCell ref="A115:H115"/>
    <mergeCell ref="E113:E114"/>
    <mergeCell ref="F89:H89"/>
    <mergeCell ref="A89:E89"/>
    <mergeCell ref="D113:D114"/>
    <mergeCell ref="A38:H38"/>
    <mergeCell ref="A37:B37"/>
    <mergeCell ref="C37:E37"/>
    <mergeCell ref="A42:D42"/>
    <mergeCell ref="E42:H42"/>
    <mergeCell ref="A41:H41"/>
    <mergeCell ref="A66:C66"/>
    <mergeCell ref="A67:C67"/>
    <mergeCell ref="D66:H66"/>
    <mergeCell ref="F37:H37"/>
    <mergeCell ref="C51:E51"/>
    <mergeCell ref="C50:E50"/>
    <mergeCell ref="G50:H50"/>
    <mergeCell ref="A51:B51"/>
    <mergeCell ref="G56:H56"/>
    <mergeCell ref="A58:B59"/>
    <mergeCell ref="C58:E58"/>
    <mergeCell ref="G58:H58"/>
    <mergeCell ref="G51:H51"/>
    <mergeCell ref="A52:B53"/>
    <mergeCell ref="A39:B39"/>
    <mergeCell ref="C39:H39"/>
    <mergeCell ref="A46:D46"/>
    <mergeCell ref="A47:D47"/>
    <mergeCell ref="C49:H49"/>
    <mergeCell ref="A65:C65"/>
    <mergeCell ref="D65:H65"/>
    <mergeCell ref="G52:H52"/>
    <mergeCell ref="A61:H61"/>
    <mergeCell ref="A62:C62"/>
    <mergeCell ref="A63:C63"/>
    <mergeCell ref="A75:B75"/>
    <mergeCell ref="A73:B73"/>
    <mergeCell ref="C73:H73"/>
    <mergeCell ref="A68:C68"/>
    <mergeCell ref="D68:H68"/>
    <mergeCell ref="C75:H75"/>
    <mergeCell ref="A69:C69"/>
    <mergeCell ref="D69:H69"/>
    <mergeCell ref="A72:C72"/>
    <mergeCell ref="D72:H72"/>
    <mergeCell ref="A71:C71"/>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29:D29"/>
    <mergeCell ref="E29:H29"/>
    <mergeCell ref="A26:D26"/>
    <mergeCell ref="E26:H26"/>
    <mergeCell ref="A25:D25"/>
    <mergeCell ref="E25:H25"/>
    <mergeCell ref="A30:D30"/>
    <mergeCell ref="E30:H30"/>
    <mergeCell ref="A27:D27"/>
    <mergeCell ref="A21:B21"/>
    <mergeCell ref="C21:D21"/>
    <mergeCell ref="E21:F21"/>
    <mergeCell ref="G21:H21"/>
    <mergeCell ref="A22:B22"/>
    <mergeCell ref="C22:D22"/>
    <mergeCell ref="E22:F22"/>
    <mergeCell ref="G22:H22"/>
    <mergeCell ref="E27:H27"/>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B264:H264"/>
    <mergeCell ref="A249:B249"/>
    <mergeCell ref="A238:B238"/>
    <mergeCell ref="A245:B245"/>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281:H284"/>
    <mergeCell ref="A280:B280"/>
    <mergeCell ref="E280:F280"/>
    <mergeCell ref="C280:D280"/>
    <mergeCell ref="G280:H280"/>
    <mergeCell ref="A100:H100"/>
    <mergeCell ref="A98:E98"/>
    <mergeCell ref="F98:H98"/>
    <mergeCell ref="A99:E99"/>
    <mergeCell ref="F99:H99"/>
    <mergeCell ref="A234:H234"/>
    <mergeCell ref="A107:B107"/>
    <mergeCell ref="A243:B243"/>
    <mergeCell ref="A102:B102"/>
    <mergeCell ref="A276:H276"/>
    <mergeCell ref="A105:H105"/>
    <mergeCell ref="A279:H279"/>
    <mergeCell ref="A277:H277"/>
    <mergeCell ref="A274:H274"/>
    <mergeCell ref="A230:B230"/>
    <mergeCell ref="A130:B130"/>
    <mergeCell ref="A129:B129"/>
    <mergeCell ref="E106:F106"/>
    <mergeCell ref="A273:H273"/>
    <mergeCell ref="B269:H269"/>
    <mergeCell ref="A110:B110"/>
    <mergeCell ref="C110:D110"/>
    <mergeCell ref="E110:F110"/>
    <mergeCell ref="B267:H267"/>
    <mergeCell ref="B265:H265"/>
    <mergeCell ref="A278:H278"/>
    <mergeCell ref="A275:H275"/>
    <mergeCell ref="A235:B235"/>
    <mergeCell ref="D227:D228"/>
    <mergeCell ref="E227:E228"/>
    <mergeCell ref="A125:H125"/>
    <mergeCell ref="A126:H126"/>
    <mergeCell ref="A131:B131"/>
    <mergeCell ref="A132:B132"/>
    <mergeCell ref="A133:B133"/>
    <mergeCell ref="A134:B134"/>
    <mergeCell ref="A135:B135"/>
    <mergeCell ref="A136:B136"/>
    <mergeCell ref="A137:B137"/>
    <mergeCell ref="A138:B138"/>
    <mergeCell ref="A139:B139"/>
    <mergeCell ref="A140:B140"/>
    <mergeCell ref="A141:B141"/>
    <mergeCell ref="G102:H102"/>
    <mergeCell ref="F94:H94"/>
    <mergeCell ref="C101:D101"/>
    <mergeCell ref="C109:D109"/>
    <mergeCell ref="A229:H229"/>
    <mergeCell ref="A244:B244"/>
    <mergeCell ref="B263:H263"/>
    <mergeCell ref="A253:B253"/>
    <mergeCell ref="A254:B254"/>
    <mergeCell ref="A257:B257"/>
    <mergeCell ref="A256:B256"/>
    <mergeCell ref="B259:H259"/>
    <mergeCell ref="B260:H260"/>
    <mergeCell ref="B262:H262"/>
    <mergeCell ref="A120:H120"/>
    <mergeCell ref="A121:H121"/>
    <mergeCell ref="A117:H117"/>
    <mergeCell ref="A118:H118"/>
    <mergeCell ref="A119:H119"/>
    <mergeCell ref="A123:H123"/>
    <mergeCell ref="A122:H122"/>
    <mergeCell ref="A124:H124"/>
    <mergeCell ref="G106:H106"/>
    <mergeCell ref="A248:B248"/>
    <mergeCell ref="I15:P15"/>
    <mergeCell ref="F97:H97"/>
    <mergeCell ref="F95:H95"/>
    <mergeCell ref="A242:B242"/>
    <mergeCell ref="A112:H112"/>
    <mergeCell ref="G101:H101"/>
    <mergeCell ref="A96:E96"/>
    <mergeCell ref="A128:B128"/>
    <mergeCell ref="A60:B60"/>
    <mergeCell ref="C60:E60"/>
    <mergeCell ref="D62:H62"/>
    <mergeCell ref="F96:H96"/>
    <mergeCell ref="E101:F101"/>
    <mergeCell ref="A101:B101"/>
    <mergeCell ref="A103:B103"/>
    <mergeCell ref="C106:D106"/>
    <mergeCell ref="D70:H70"/>
    <mergeCell ref="D63:H63"/>
    <mergeCell ref="G60:H60"/>
    <mergeCell ref="A54:B55"/>
    <mergeCell ref="C54:E54"/>
    <mergeCell ref="G54:H54"/>
    <mergeCell ref="A56:B57"/>
    <mergeCell ref="C56:E56"/>
    <mergeCell ref="E43:H43"/>
    <mergeCell ref="A43:D43"/>
    <mergeCell ref="A82:B82"/>
    <mergeCell ref="A50:B50"/>
    <mergeCell ref="C52:E52"/>
    <mergeCell ref="A258:H258"/>
    <mergeCell ref="A250:B250"/>
    <mergeCell ref="A251:B251"/>
    <mergeCell ref="A246:H246"/>
    <mergeCell ref="A240:H240"/>
    <mergeCell ref="A255:B255"/>
    <mergeCell ref="A252:H252"/>
    <mergeCell ref="A70:C70"/>
    <mergeCell ref="D71:H71"/>
    <mergeCell ref="A77:B77"/>
    <mergeCell ref="G76:H76"/>
    <mergeCell ref="A85:B85"/>
    <mergeCell ref="A86:B86"/>
    <mergeCell ref="A81:B81"/>
    <mergeCell ref="A78:B78"/>
    <mergeCell ref="A80:B80"/>
    <mergeCell ref="E76:F76"/>
    <mergeCell ref="A83:B83"/>
    <mergeCell ref="F88:H88"/>
    <mergeCell ref="A142:B142"/>
    <mergeCell ref="A143:B143"/>
    <mergeCell ref="A144:B144"/>
    <mergeCell ref="A145:B145"/>
    <mergeCell ref="A146:B146"/>
    <mergeCell ref="A147:B147"/>
    <mergeCell ref="A148:B148"/>
    <mergeCell ref="A149:B149"/>
    <mergeCell ref="A150:B150"/>
    <mergeCell ref="A173:B173"/>
    <mergeCell ref="A174:B174"/>
    <mergeCell ref="A175:B175"/>
    <mergeCell ref="A193:B193"/>
    <mergeCell ref="A194:B194"/>
    <mergeCell ref="A195:B195"/>
    <mergeCell ref="A191:B191"/>
    <mergeCell ref="A192:B192"/>
    <mergeCell ref="A190:B190"/>
    <mergeCell ref="A220:B220"/>
    <mergeCell ref="A226:B226"/>
    <mergeCell ref="A221:B221"/>
    <mergeCell ref="A222:B222"/>
    <mergeCell ref="A223:B223"/>
    <mergeCell ref="A224:B224"/>
    <mergeCell ref="A225:B225"/>
    <mergeCell ref="A151:H151"/>
    <mergeCell ref="A152:B152"/>
    <mergeCell ref="A153:B153"/>
    <mergeCell ref="A154:B154"/>
    <mergeCell ref="A155:B155"/>
    <mergeCell ref="A156:B156"/>
    <mergeCell ref="A157:B157"/>
    <mergeCell ref="A158:B158"/>
    <mergeCell ref="A159:B159"/>
    <mergeCell ref="A196:B196"/>
    <mergeCell ref="A197:B197"/>
    <mergeCell ref="A167:B167"/>
    <mergeCell ref="A168:B168"/>
    <mergeCell ref="A169:B169"/>
    <mergeCell ref="A170:B170"/>
    <mergeCell ref="A171:B171"/>
    <mergeCell ref="A172:B172"/>
    <mergeCell ref="B271:H271"/>
    <mergeCell ref="A116:H116"/>
    <mergeCell ref="A219:B219"/>
    <mergeCell ref="A208:B208"/>
    <mergeCell ref="A202:B202"/>
    <mergeCell ref="A203:B203"/>
    <mergeCell ref="A204:B204"/>
    <mergeCell ref="A198:B198"/>
    <mergeCell ref="A210:B210"/>
    <mergeCell ref="B268:H268"/>
    <mergeCell ref="A176:H176"/>
    <mergeCell ref="A177:B177"/>
    <mergeCell ref="A178:B178"/>
    <mergeCell ref="A179:B179"/>
    <mergeCell ref="A180:B180"/>
    <mergeCell ref="A181:B181"/>
    <mergeCell ref="A182:B182"/>
    <mergeCell ref="A160:B160"/>
    <mergeCell ref="A161:B161"/>
    <mergeCell ref="A162:B162"/>
    <mergeCell ref="A163:B163"/>
    <mergeCell ref="A164:B164"/>
    <mergeCell ref="A165:B165"/>
    <mergeCell ref="A166:B166"/>
    <mergeCell ref="B272:H272"/>
    <mergeCell ref="I43:L43"/>
    <mergeCell ref="A211:B211"/>
    <mergeCell ref="A212:B212"/>
    <mergeCell ref="A213:B213"/>
    <mergeCell ref="A214:B214"/>
    <mergeCell ref="A215:B215"/>
    <mergeCell ref="A216:B216"/>
    <mergeCell ref="A217:B217"/>
    <mergeCell ref="A218:B218"/>
    <mergeCell ref="A199:B199"/>
    <mergeCell ref="A200:B200"/>
    <mergeCell ref="A201:H201"/>
    <mergeCell ref="A205:B205"/>
    <mergeCell ref="A206:B206"/>
    <mergeCell ref="A207:B207"/>
    <mergeCell ref="A209:B209"/>
    <mergeCell ref="A183:B183"/>
    <mergeCell ref="A184:B184"/>
    <mergeCell ref="A185:B185"/>
    <mergeCell ref="A186:B186"/>
    <mergeCell ref="A187:B187"/>
    <mergeCell ref="A188:B188"/>
    <mergeCell ref="A189:B189"/>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 C.S No"</formula1>
    </dataValidation>
    <dataValidation type="list" allowBlank="1" showInputMessage="1" showErrorMessage="1" sqref="G20:H20">
      <formula1>$S$13:$W$13</formula1>
    </dataValidation>
    <dataValidation type="list" allowBlank="1" showInputMessage="1" showErrorMessage="1" sqref="E113:E114">
      <formula1>"Attached Loft area,Attached Otla area,Attached Mezzanine area,Chajja Area"</formula1>
    </dataValidation>
    <dataValidation type="list" allowBlank="1" showInputMessage="1" showErrorMessage="1" sqref="G280:H280">
      <formula1>"Kunal Kadam,Pranita Mhatre,Shruti Fule,Pooja Kawale,Gaurav Panchal,Shruti Tathare, Hitakshi Mhatre, Sachin Sawant"</formula1>
    </dataValidation>
    <dataValidation type="list" allowBlank="1" showInputMessage="1" showErrorMessage="1" sqref="F87:H87">
      <formula1>"On Saleable Area,On Builtup Area,On Carpet Area,On Plot Area"</formula1>
    </dataValidation>
    <dataValidation type="list" allowBlank="1" showInputMessage="1" showErrorMessage="1" sqref="F98:H98">
      <formula1>OFFSET($S$87,1,MATCH($G20,$S$87:$W$87,0)-1,15,1)</formula1>
    </dataValidation>
    <dataValidation type="list" allowBlank="1" showInputMessage="1" showErrorMessage="1" sqref="B113:B114">
      <formula1>"Clinic/ Office No. (Sale Plan),Sale / Rehab,Sale / Mhada"</formula1>
    </dataValidation>
    <dataValidation type="list" allowBlank="1" showInputMessage="1" showErrorMessage="1" sqref="B227:B228">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27:E228">
      <formula1>"Fungible area,Balcony Area,Chajja Area,Cornice Area,AP Area,WS Area"</formula1>
    </dataValidation>
    <dataValidation type="list" allowBlank="1" showInputMessage="1" showErrorMessage="1" sqref="H114 H228">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13 H227">
      <formula1>"Saleable area Loading :,Builder Saleable Area"</formula1>
    </dataValidation>
    <dataValidation type="list" allowBlank="1" showInputMessage="1" showErrorMessage="1" sqref="D113:D114 D227:D228">
      <formula1>"Carpet area,RERA Carpet area"</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3" manualBreakCount="3">
    <brk id="284" max="7" man="1"/>
    <brk id="327" max="7" man="1"/>
    <brk id="370"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15" t="s">
        <v>102</v>
      </c>
      <c r="C3" s="215"/>
      <c r="D3" s="215"/>
      <c r="E3" s="215"/>
      <c r="F3" s="215"/>
      <c r="G3" s="215"/>
      <c r="H3" s="215"/>
    </row>
    <row r="4" spans="1:9" x14ac:dyDescent="0.35">
      <c r="A4" s="2"/>
      <c r="B4" s="3" t="s">
        <v>103</v>
      </c>
      <c r="C4" s="3" t="s">
        <v>104</v>
      </c>
      <c r="D4" s="3" t="s">
        <v>65</v>
      </c>
      <c r="E4" s="3" t="s">
        <v>105</v>
      </c>
      <c r="F4" s="3" t="s">
        <v>111</v>
      </c>
      <c r="G4" s="3" t="s">
        <v>112</v>
      </c>
      <c r="H4" s="3" t="s">
        <v>106</v>
      </c>
    </row>
    <row r="5" spans="1:9" ht="15" customHeight="1" x14ac:dyDescent="0.35">
      <c r="A5" s="2"/>
      <c r="B5" s="5" t="s">
        <v>107</v>
      </c>
      <c r="C5" s="6"/>
      <c r="D5" s="5"/>
      <c r="E5" s="5"/>
      <c r="F5" s="7">
        <f>E5*1.6</f>
        <v>0</v>
      </c>
      <c r="G5" s="7" t="e">
        <f>H5/F5</f>
        <v>#DIV/0!</v>
      </c>
      <c r="H5" s="8"/>
    </row>
    <row r="6" spans="1:9" x14ac:dyDescent="0.35">
      <c r="A6" s="2"/>
      <c r="B6" s="5" t="s">
        <v>107</v>
      </c>
      <c r="C6" s="9"/>
      <c r="D6" s="5"/>
      <c r="E6" s="5"/>
      <c r="F6" s="7">
        <f t="shared" ref="F6:F11" si="0">E6*1.6</f>
        <v>0</v>
      </c>
      <c r="G6" s="7" t="e">
        <f t="shared" ref="G6:G11" si="1">H6/F6</f>
        <v>#DIV/0!</v>
      </c>
      <c r="H6" s="8"/>
    </row>
    <row r="7" spans="1:9" ht="15" customHeight="1" x14ac:dyDescent="0.35">
      <c r="A7" s="2"/>
      <c r="B7" s="5" t="s">
        <v>107</v>
      </c>
      <c r="C7" s="6"/>
      <c r="D7" s="5"/>
      <c r="E7" s="5"/>
      <c r="F7" s="7">
        <f t="shared" si="0"/>
        <v>0</v>
      </c>
      <c r="G7" s="7" t="e">
        <f t="shared" si="1"/>
        <v>#DIV/0!</v>
      </c>
      <c r="H7" s="8"/>
    </row>
    <row r="8" spans="1:9" x14ac:dyDescent="0.35">
      <c r="A8" s="2"/>
      <c r="B8" s="5" t="s">
        <v>107</v>
      </c>
      <c r="C8" s="9"/>
      <c r="D8" s="5"/>
      <c r="E8" s="5"/>
      <c r="F8" s="7">
        <f t="shared" si="0"/>
        <v>0</v>
      </c>
      <c r="G8" s="7" t="e">
        <f t="shared" si="1"/>
        <v>#DIV/0!</v>
      </c>
      <c r="H8" s="8"/>
    </row>
    <row r="9" spans="1:9" ht="15" customHeight="1" x14ac:dyDescent="0.35">
      <c r="A9" s="2"/>
      <c r="B9" s="5" t="s">
        <v>107</v>
      </c>
      <c r="C9" s="9"/>
      <c r="D9" s="5"/>
      <c r="E9" s="5"/>
      <c r="F9" s="7">
        <f t="shared" si="0"/>
        <v>0</v>
      </c>
      <c r="G9" s="7" t="e">
        <f t="shared" si="1"/>
        <v>#DIV/0!</v>
      </c>
      <c r="H9" s="8"/>
    </row>
    <row r="10" spans="1:9" ht="15" customHeight="1" x14ac:dyDescent="0.35">
      <c r="A10" s="2"/>
      <c r="B10" s="5" t="s">
        <v>108</v>
      </c>
      <c r="C10" s="6"/>
      <c r="D10" s="5"/>
      <c r="E10" s="5"/>
      <c r="F10" s="7">
        <f t="shared" si="0"/>
        <v>0</v>
      </c>
      <c r="G10" s="7" t="e">
        <f t="shared" si="1"/>
        <v>#DIV/0!</v>
      </c>
      <c r="H10" s="8"/>
    </row>
    <row r="11" spans="1:9" ht="15" customHeight="1" x14ac:dyDescent="0.35">
      <c r="A11" s="2"/>
      <c r="B11" s="5" t="s">
        <v>108</v>
      </c>
      <c r="C11" s="6"/>
      <c r="D11" s="5"/>
      <c r="E11" s="5"/>
      <c r="F11" s="7">
        <f t="shared" si="0"/>
        <v>0</v>
      </c>
      <c r="G11" s="7" t="e">
        <f t="shared" si="1"/>
        <v>#DIV/0!</v>
      </c>
      <c r="H11" s="8"/>
    </row>
    <row r="12" spans="1:9" ht="15" customHeight="1" x14ac:dyDescent="0.35">
      <c r="A12" s="2"/>
      <c r="B12" s="10" t="s">
        <v>109</v>
      </c>
      <c r="C12" s="5"/>
      <c r="D12" s="5"/>
      <c r="E12" s="5"/>
      <c r="F12" s="5"/>
      <c r="G12" s="11" t="e">
        <f>AVERAGE(G5:G11)</f>
        <v>#DIV/0!</v>
      </c>
      <c r="H12" s="5"/>
    </row>
    <row r="13" spans="1:9" ht="15" customHeight="1" x14ac:dyDescent="0.35">
      <c r="B13" s="10" t="s">
        <v>110</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4"/>
      <c r="C4" s="44" t="s">
        <v>11</v>
      </c>
      <c r="D4" s="45" t="s">
        <v>177</v>
      </c>
      <c r="E4" s="45" t="s">
        <v>187</v>
      </c>
      <c r="F4" s="45" t="s">
        <v>172</v>
      </c>
      <c r="G4" s="45" t="s">
        <v>192</v>
      </c>
      <c r="H4" s="45" t="s">
        <v>210</v>
      </c>
      <c r="J4" t="s">
        <v>192</v>
      </c>
      <c r="K4" t="s">
        <v>208</v>
      </c>
    </row>
    <row r="5" spans="2:11" x14ac:dyDescent="0.35">
      <c r="B5" s="44"/>
      <c r="C5" s="44"/>
      <c r="D5" s="45" t="s">
        <v>178</v>
      </c>
      <c r="E5" s="45" t="s">
        <v>185</v>
      </c>
      <c r="F5" s="45" t="s">
        <v>207</v>
      </c>
      <c r="G5" s="45" t="s">
        <v>193</v>
      </c>
      <c r="H5" s="45" t="s">
        <v>211</v>
      </c>
    </row>
    <row r="6" spans="2:11" x14ac:dyDescent="0.35">
      <c r="B6" s="44"/>
      <c r="C6" s="44"/>
      <c r="D6" s="45" t="s">
        <v>179</v>
      </c>
      <c r="E6" s="45" t="s">
        <v>186</v>
      </c>
      <c r="F6" s="45" t="s">
        <v>208</v>
      </c>
      <c r="G6" s="45" t="s">
        <v>194</v>
      </c>
      <c r="H6" s="45" t="s">
        <v>224</v>
      </c>
    </row>
    <row r="7" spans="2:11" x14ac:dyDescent="0.35">
      <c r="B7" s="44"/>
      <c r="C7" s="44"/>
      <c r="D7" s="45" t="s">
        <v>180</v>
      </c>
      <c r="E7" s="45" t="s">
        <v>188</v>
      </c>
      <c r="F7" s="45" t="s">
        <v>209</v>
      </c>
      <c r="G7" s="45" t="s">
        <v>195</v>
      </c>
      <c r="H7" s="45" t="s">
        <v>212</v>
      </c>
    </row>
    <row r="8" spans="2:11" x14ac:dyDescent="0.35">
      <c r="B8" s="44"/>
      <c r="C8" s="44"/>
      <c r="D8" s="45" t="s">
        <v>181</v>
      </c>
      <c r="E8" s="45" t="s">
        <v>189</v>
      </c>
      <c r="F8" s="45"/>
      <c r="G8" s="45" t="s">
        <v>196</v>
      </c>
      <c r="H8" s="45" t="s">
        <v>213</v>
      </c>
    </row>
    <row r="9" spans="2:11" x14ac:dyDescent="0.35">
      <c r="B9" s="44"/>
      <c r="C9" s="44"/>
      <c r="D9" s="45" t="s">
        <v>182</v>
      </c>
      <c r="E9" s="45" t="s">
        <v>187</v>
      </c>
      <c r="F9" s="45"/>
      <c r="G9" s="45" t="s">
        <v>197</v>
      </c>
      <c r="H9" s="45" t="s">
        <v>214</v>
      </c>
    </row>
    <row r="10" spans="2:11" x14ac:dyDescent="0.35">
      <c r="B10" s="44"/>
      <c r="C10" s="44"/>
      <c r="D10" s="45" t="s">
        <v>183</v>
      </c>
      <c r="E10" s="45" t="s">
        <v>190</v>
      </c>
      <c r="F10" s="45"/>
      <c r="G10" s="45" t="s">
        <v>198</v>
      </c>
      <c r="H10" s="45" t="s">
        <v>215</v>
      </c>
    </row>
    <row r="11" spans="2:11" x14ac:dyDescent="0.35">
      <c r="B11" s="44"/>
      <c r="C11" s="44"/>
      <c r="D11" s="45" t="s">
        <v>184</v>
      </c>
      <c r="E11" s="45" t="s">
        <v>191</v>
      </c>
      <c r="F11" s="45"/>
      <c r="G11" s="45" t="s">
        <v>199</v>
      </c>
      <c r="H11" s="45" t="s">
        <v>216</v>
      </c>
    </row>
    <row r="12" spans="2:11" x14ac:dyDescent="0.35">
      <c r="B12" s="44"/>
      <c r="C12" s="44"/>
      <c r="D12" s="45"/>
      <c r="E12" s="45"/>
      <c r="F12" s="45"/>
      <c r="G12" s="45" t="s">
        <v>200</v>
      </c>
      <c r="H12" s="45" t="s">
        <v>217</v>
      </c>
    </row>
    <row r="13" spans="2:11" x14ac:dyDescent="0.35">
      <c r="B13" s="44"/>
      <c r="C13" s="44"/>
      <c r="D13" s="45"/>
      <c r="E13" s="45"/>
      <c r="F13" s="45"/>
      <c r="G13" s="45" t="s">
        <v>201</v>
      </c>
      <c r="H13" s="45" t="s">
        <v>218</v>
      </c>
    </row>
    <row r="14" spans="2:11" x14ac:dyDescent="0.35">
      <c r="B14" s="44"/>
      <c r="C14" s="44"/>
      <c r="D14" s="45"/>
      <c r="E14" s="45"/>
      <c r="F14" s="45"/>
      <c r="G14" s="45" t="s">
        <v>202</v>
      </c>
      <c r="H14" s="45" t="s">
        <v>219</v>
      </c>
    </row>
    <row r="15" spans="2:11" x14ac:dyDescent="0.35">
      <c r="B15" s="44"/>
      <c r="C15" s="44"/>
      <c r="D15" s="45"/>
      <c r="E15" s="45"/>
      <c r="F15" s="45"/>
      <c r="G15" s="45" t="s">
        <v>203</v>
      </c>
      <c r="H15" s="45" t="s">
        <v>220</v>
      </c>
    </row>
    <row r="16" spans="2:11" x14ac:dyDescent="0.35">
      <c r="B16" s="44"/>
      <c r="C16" s="44"/>
      <c r="D16" s="45"/>
      <c r="E16" s="45"/>
      <c r="F16" s="45"/>
      <c r="G16" s="45" t="s">
        <v>204</v>
      </c>
      <c r="H16" s="45" t="s">
        <v>221</v>
      </c>
    </row>
    <row r="17" spans="2:8" x14ac:dyDescent="0.35">
      <c r="B17" s="44"/>
      <c r="C17" s="44"/>
      <c r="D17" s="45"/>
      <c r="E17" s="45"/>
      <c r="F17" s="45"/>
      <c r="G17" s="45" t="s">
        <v>205</v>
      </c>
      <c r="H17" s="45" t="s">
        <v>222</v>
      </c>
    </row>
    <row r="18" spans="2:8" x14ac:dyDescent="0.35">
      <c r="B18" s="44"/>
      <c r="C18" s="44"/>
      <c r="D18" s="45"/>
      <c r="E18" s="45"/>
      <c r="F18" s="45"/>
      <c r="G18" s="45" t="s">
        <v>206</v>
      </c>
      <c r="H18" s="45" t="s">
        <v>223</v>
      </c>
    </row>
    <row r="24" spans="2:8" x14ac:dyDescent="0.35">
      <c r="C24" t="s">
        <v>169</v>
      </c>
    </row>
    <row r="25" spans="2:8" x14ac:dyDescent="0.35">
      <c r="C25" t="s">
        <v>225</v>
      </c>
    </row>
    <row r="26" spans="2:8" x14ac:dyDescent="0.35">
      <c r="C26" t="s">
        <v>226</v>
      </c>
    </row>
    <row r="27" spans="2:8" x14ac:dyDescent="0.35">
      <c r="C27" t="s">
        <v>227</v>
      </c>
    </row>
    <row r="28" spans="2:8" x14ac:dyDescent="0.35">
      <c r="C28" t="s">
        <v>228</v>
      </c>
    </row>
    <row r="29" spans="2:8" x14ac:dyDescent="0.35">
      <c r="C29" t="s">
        <v>229</v>
      </c>
    </row>
    <row r="30" spans="2:8" x14ac:dyDescent="0.35">
      <c r="C30" t="s">
        <v>169</v>
      </c>
    </row>
    <row r="33" spans="3:11" x14ac:dyDescent="0.35">
      <c r="J33">
        <v>1</v>
      </c>
      <c r="K33">
        <v>2</v>
      </c>
    </row>
    <row r="34" spans="3:11" x14ac:dyDescent="0.35">
      <c r="C34" s="49" t="s">
        <v>235</v>
      </c>
      <c r="D34" s="45" t="s">
        <v>233</v>
      </c>
      <c r="E34" s="45" t="s">
        <v>238</v>
      </c>
      <c r="F34" s="45" t="s">
        <v>236</v>
      </c>
      <c r="G34" s="45" t="s">
        <v>237</v>
      </c>
      <c r="H34" s="45" t="s">
        <v>239</v>
      </c>
      <c r="J34" t="s">
        <v>192</v>
      </c>
      <c r="K34" t="s">
        <v>208</v>
      </c>
    </row>
    <row r="35" spans="3:11" x14ac:dyDescent="0.35">
      <c r="C35" s="44" t="s">
        <v>234</v>
      </c>
      <c r="D35" s="45" t="s">
        <v>170</v>
      </c>
      <c r="E35" s="45" t="s">
        <v>243</v>
      </c>
      <c r="F35" s="45" t="s">
        <v>245</v>
      </c>
      <c r="G35" s="45" t="s">
        <v>247</v>
      </c>
      <c r="H35" s="45"/>
    </row>
    <row r="36" spans="3:11" x14ac:dyDescent="0.35">
      <c r="C36" s="44"/>
      <c r="D36" s="45" t="s">
        <v>240</v>
      </c>
      <c r="E36" s="45" t="s">
        <v>244</v>
      </c>
      <c r="F36" s="45" t="s">
        <v>246</v>
      </c>
      <c r="G36" s="45" t="s">
        <v>248</v>
      </c>
      <c r="H36" s="45"/>
    </row>
    <row r="37" spans="3:11" x14ac:dyDescent="0.35">
      <c r="C37" s="44"/>
      <c r="D37" s="45" t="s">
        <v>241</v>
      </c>
      <c r="E37" s="45"/>
      <c r="F37" s="45"/>
      <c r="G37" s="45" t="s">
        <v>249</v>
      </c>
      <c r="H37" s="45"/>
    </row>
    <row r="38" spans="3:11" x14ac:dyDescent="0.35">
      <c r="C38" s="44"/>
      <c r="D38" s="45" t="s">
        <v>242</v>
      </c>
      <c r="E38" s="45"/>
      <c r="F38" s="45"/>
      <c r="G38" s="45" t="s">
        <v>249</v>
      </c>
      <c r="H38" s="45"/>
    </row>
    <row r="39" spans="3:11" x14ac:dyDescent="0.35">
      <c r="C39" s="44"/>
      <c r="D39" s="45"/>
      <c r="E39" s="45"/>
      <c r="F39" s="45"/>
      <c r="G39" s="45" t="s">
        <v>250</v>
      </c>
      <c r="H39" s="45"/>
    </row>
    <row r="40" spans="3:11" x14ac:dyDescent="0.35">
      <c r="C40" s="44"/>
      <c r="D40" s="45"/>
      <c r="E40" s="45"/>
      <c r="F40" s="45"/>
      <c r="G40" s="45" t="s">
        <v>251</v>
      </c>
      <c r="H40" s="45"/>
    </row>
    <row r="41" spans="3:11" x14ac:dyDescent="0.35">
      <c r="C41" s="44"/>
      <c r="D41" s="45"/>
      <c r="E41" s="45"/>
      <c r="F41" s="45"/>
      <c r="G41" s="45"/>
      <c r="H41" s="45"/>
    </row>
    <row r="43" spans="3:11" x14ac:dyDescent="0.35">
      <c r="C43" t="s">
        <v>252</v>
      </c>
    </row>
    <row r="44" spans="3:11" x14ac:dyDescent="0.35">
      <c r="C44" t="s">
        <v>172</v>
      </c>
      <c r="D44" t="s">
        <v>253</v>
      </c>
    </row>
    <row r="45" spans="3:11" x14ac:dyDescent="0.35">
      <c r="D45" t="s">
        <v>254</v>
      </c>
    </row>
    <row r="46" spans="3:11" x14ac:dyDescent="0.35">
      <c r="D46" t="s">
        <v>255</v>
      </c>
    </row>
    <row r="47" spans="3:11" x14ac:dyDescent="0.35">
      <c r="D47" t="s">
        <v>256</v>
      </c>
    </row>
    <row r="48" spans="3:11" x14ac:dyDescent="0.35">
      <c r="D48" t="s">
        <v>257</v>
      </c>
    </row>
    <row r="49" spans="3:4" x14ac:dyDescent="0.35">
      <c r="C49" t="s">
        <v>177</v>
      </c>
      <c r="D49" t="s">
        <v>258</v>
      </c>
    </row>
    <row r="50" spans="3:4" x14ac:dyDescent="0.35">
      <c r="D50" t="s">
        <v>259</v>
      </c>
    </row>
    <row r="51" spans="3:4" x14ac:dyDescent="0.35">
      <c r="D51" t="s">
        <v>260</v>
      </c>
    </row>
    <row r="52" spans="3:4" x14ac:dyDescent="0.35">
      <c r="D52" t="s">
        <v>263</v>
      </c>
    </row>
    <row r="53" spans="3:4" x14ac:dyDescent="0.35">
      <c r="D53" t="s">
        <v>261</v>
      </c>
    </row>
    <row r="54" spans="3:4" x14ac:dyDescent="0.35">
      <c r="D54" t="s">
        <v>262</v>
      </c>
    </row>
    <row r="55" spans="3:4" x14ac:dyDescent="0.35">
      <c r="D55" t="s">
        <v>264</v>
      </c>
    </row>
    <row r="56" spans="3:4" x14ac:dyDescent="0.35">
      <c r="D56" t="s">
        <v>265</v>
      </c>
    </row>
    <row r="57" spans="3:4" x14ac:dyDescent="0.35">
      <c r="D57" t="s">
        <v>266</v>
      </c>
    </row>
    <row r="58" spans="3:4" x14ac:dyDescent="0.35">
      <c r="D58" t="s">
        <v>268</v>
      </c>
    </row>
    <row r="59" spans="3:4" x14ac:dyDescent="0.35">
      <c r="D59" t="s">
        <v>277</v>
      </c>
    </row>
    <row r="60" spans="3:4" x14ac:dyDescent="0.35">
      <c r="C60" t="s">
        <v>192</v>
      </c>
      <c r="D60" t="s">
        <v>269</v>
      </c>
    </row>
    <row r="61" spans="3:4" x14ac:dyDescent="0.35">
      <c r="D61" t="s">
        <v>267</v>
      </c>
    </row>
    <row r="62" spans="3:4" x14ac:dyDescent="0.35">
      <c r="D62" t="s">
        <v>257</v>
      </c>
    </row>
    <row r="63" spans="3:4" x14ac:dyDescent="0.35">
      <c r="D63" t="s">
        <v>270</v>
      </c>
    </row>
    <row r="64" spans="3:4" x14ac:dyDescent="0.35">
      <c r="D64" t="s">
        <v>271</v>
      </c>
    </row>
    <row r="65" spans="3:4" x14ac:dyDescent="0.35">
      <c r="D65" t="s">
        <v>272</v>
      </c>
    </row>
    <row r="66" spans="3:4" x14ac:dyDescent="0.35">
      <c r="D66" t="s">
        <v>273</v>
      </c>
    </row>
    <row r="67" spans="3:4" x14ac:dyDescent="0.35">
      <c r="C67" t="s">
        <v>187</v>
      </c>
      <c r="D67" t="s">
        <v>274</v>
      </c>
    </row>
    <row r="68" spans="3:4" x14ac:dyDescent="0.35">
      <c r="D68" t="s">
        <v>275</v>
      </c>
    </row>
    <row r="69" spans="3:4" x14ac:dyDescent="0.35">
      <c r="D69" t="s">
        <v>276</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35"/>
  <sheetViews>
    <sheetView workbookViewId="0">
      <selection activeCell="C31" sqref="C31"/>
    </sheetView>
  </sheetViews>
  <sheetFormatPr defaultRowHeight="14.5" x14ac:dyDescent="0.35"/>
  <cols>
    <col min="2" max="2" width="3" bestFit="1" customWidth="1"/>
    <col min="3" max="3" width="155.26953125" customWidth="1"/>
  </cols>
  <sheetData>
    <row r="2" spans="2:3" ht="15" customHeight="1" x14ac:dyDescent="0.35">
      <c r="B2" s="50">
        <v>1</v>
      </c>
      <c r="C2" s="53" t="s">
        <v>283</v>
      </c>
    </row>
    <row r="3" spans="2:3" x14ac:dyDescent="0.35">
      <c r="B3" s="50">
        <v>2</v>
      </c>
      <c r="C3" s="51" t="s">
        <v>284</v>
      </c>
    </row>
    <row r="4" spans="2:3" x14ac:dyDescent="0.35">
      <c r="B4" s="50">
        <v>3</v>
      </c>
      <c r="C4" s="52" t="s">
        <v>285</v>
      </c>
    </row>
    <row r="5" spans="2:3" x14ac:dyDescent="0.35">
      <c r="B5" s="50">
        <v>4</v>
      </c>
      <c r="C5" s="51" t="s">
        <v>286</v>
      </c>
    </row>
    <row r="6" spans="2:3" x14ac:dyDescent="0.35">
      <c r="B6" s="50">
        <v>5</v>
      </c>
      <c r="C6" s="52" t="s">
        <v>287</v>
      </c>
    </row>
    <row r="7" spans="2:3" ht="29" x14ac:dyDescent="0.35">
      <c r="B7" s="50">
        <v>6</v>
      </c>
      <c r="C7" s="51" t="s">
        <v>288</v>
      </c>
    </row>
    <row r="8" spans="2:3" ht="72.5" x14ac:dyDescent="0.35">
      <c r="B8" s="50">
        <v>7</v>
      </c>
      <c r="C8" s="51" t="s">
        <v>289</v>
      </c>
    </row>
    <row r="9" spans="2:3" x14ac:dyDescent="0.35">
      <c r="B9" s="50">
        <v>8</v>
      </c>
      <c r="C9" s="52" t="s">
        <v>290</v>
      </c>
    </row>
    <row r="10" spans="2:3" x14ac:dyDescent="0.35">
      <c r="B10" s="50">
        <v>9</v>
      </c>
      <c r="C10" s="52" t="s">
        <v>291</v>
      </c>
    </row>
    <row r="11" spans="2:3" x14ac:dyDescent="0.35">
      <c r="B11" s="50">
        <v>10</v>
      </c>
      <c r="C11" s="52" t="s">
        <v>292</v>
      </c>
    </row>
    <row r="12" spans="2:3" x14ac:dyDescent="0.35">
      <c r="B12" s="50">
        <v>11</v>
      </c>
      <c r="C12" s="52" t="s">
        <v>293</v>
      </c>
    </row>
    <row r="13" spans="2:3" x14ac:dyDescent="0.35">
      <c r="B13" s="50">
        <v>12</v>
      </c>
      <c r="C13" s="52" t="s">
        <v>294</v>
      </c>
    </row>
    <row r="14" spans="2:3" x14ac:dyDescent="0.35">
      <c r="B14" s="50">
        <v>13</v>
      </c>
      <c r="C14" s="52" t="s">
        <v>295</v>
      </c>
    </row>
    <row r="15" spans="2:3" x14ac:dyDescent="0.35">
      <c r="B15" s="50">
        <v>14</v>
      </c>
      <c r="C15" s="52" t="s">
        <v>285</v>
      </c>
    </row>
    <row r="16" spans="2:3" x14ac:dyDescent="0.35">
      <c r="B16" s="50">
        <v>15</v>
      </c>
      <c r="C16" s="52" t="s">
        <v>297</v>
      </c>
    </row>
    <row r="17" spans="2:3" x14ac:dyDescent="0.35">
      <c r="B17" s="73">
        <v>16</v>
      </c>
      <c r="C17" s="57" t="s">
        <v>298</v>
      </c>
    </row>
    <row r="18" spans="2:3" x14ac:dyDescent="0.35">
      <c r="B18" s="56">
        <v>17</v>
      </c>
      <c r="C18" s="57" t="s">
        <v>299</v>
      </c>
    </row>
    <row r="19" spans="2:3" x14ac:dyDescent="0.35">
      <c r="B19" s="55">
        <v>18</v>
      </c>
      <c r="C19" s="50" t="s">
        <v>300</v>
      </c>
    </row>
    <row r="20" spans="2:3" x14ac:dyDescent="0.35">
      <c r="B20" s="56">
        <v>19</v>
      </c>
      <c r="C20" s="50" t="s">
        <v>336</v>
      </c>
    </row>
    <row r="21" spans="2:3" x14ac:dyDescent="0.35">
      <c r="B21" s="58">
        <v>20</v>
      </c>
      <c r="C21" s="50" t="s">
        <v>301</v>
      </c>
    </row>
    <row r="22" spans="2:3" x14ac:dyDescent="0.35">
      <c r="B22" s="56">
        <v>21</v>
      </c>
      <c r="C22" s="50" t="s">
        <v>300</v>
      </c>
    </row>
    <row r="23" spans="2:3" s="67" customFormat="1" ht="29.25" customHeight="1" x14ac:dyDescent="0.35">
      <c r="B23" s="66">
        <v>22</v>
      </c>
      <c r="C23" s="53" t="s">
        <v>328</v>
      </c>
    </row>
    <row r="24" spans="2:3" s="67" customFormat="1" ht="30.75" customHeight="1" x14ac:dyDescent="0.35">
      <c r="B24" s="68">
        <v>23</v>
      </c>
      <c r="C24" s="53" t="s">
        <v>329</v>
      </c>
    </row>
    <row r="25" spans="2:3" x14ac:dyDescent="0.35">
      <c r="B25" s="58">
        <v>24</v>
      </c>
      <c r="C25" s="50" t="s">
        <v>332</v>
      </c>
    </row>
    <row r="26" spans="2:3" x14ac:dyDescent="0.35">
      <c r="B26" s="56">
        <v>25</v>
      </c>
      <c r="C26" s="50" t="s">
        <v>330</v>
      </c>
    </row>
    <row r="27" spans="2:3" x14ac:dyDescent="0.35">
      <c r="B27" s="68">
        <v>26</v>
      </c>
      <c r="C27" s="58" t="s">
        <v>331</v>
      </c>
    </row>
    <row r="28" spans="2:3" x14ac:dyDescent="0.35">
      <c r="B28" s="69">
        <v>27</v>
      </c>
      <c r="C28" s="50" t="s">
        <v>333</v>
      </c>
    </row>
    <row r="29" spans="2:3" ht="43.5" x14ac:dyDescent="0.35">
      <c r="B29" s="72">
        <v>28</v>
      </c>
      <c r="C29" s="51" t="s">
        <v>334</v>
      </c>
    </row>
    <row r="30" spans="2:3" x14ac:dyDescent="0.35">
      <c r="B30" s="68">
        <v>29</v>
      </c>
      <c r="C30" s="50" t="s">
        <v>335</v>
      </c>
    </row>
    <row r="31" spans="2:3" ht="29" x14ac:dyDescent="0.35">
      <c r="B31" s="74">
        <v>30</v>
      </c>
      <c r="C31" s="51" t="s">
        <v>337</v>
      </c>
    </row>
    <row r="32" spans="2:3" x14ac:dyDescent="0.35">
      <c r="B32" s="68">
        <v>31</v>
      </c>
      <c r="C32" s="50" t="s">
        <v>338</v>
      </c>
    </row>
    <row r="33" spans="2:3" x14ac:dyDescent="0.35">
      <c r="B33" s="68">
        <v>32</v>
      </c>
      <c r="C33" s="50" t="s">
        <v>339</v>
      </c>
    </row>
    <row r="34" spans="2:3" ht="36.75" customHeight="1" x14ac:dyDescent="0.35">
      <c r="B34" s="74">
        <v>33</v>
      </c>
      <c r="C34" s="57" t="s">
        <v>340</v>
      </c>
    </row>
    <row r="35" spans="2:3" x14ac:dyDescent="0.35">
      <c r="B35" s="68">
        <v>34</v>
      </c>
      <c r="C35" s="50"/>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796875" defaultRowHeight="14.5" x14ac:dyDescent="0.35"/>
  <cols>
    <col min="1" max="1" width="9.1796875" style="44"/>
    <col min="2" max="2" width="12.26953125" style="44" customWidth="1"/>
    <col min="3" max="16384" width="9.1796875" style="44"/>
  </cols>
  <sheetData>
    <row r="2" spans="1:12" x14ac:dyDescent="0.35">
      <c r="B2" s="60" t="s">
        <v>302</v>
      </c>
      <c r="C2" s="216"/>
      <c r="D2" s="216"/>
    </row>
    <row r="3" spans="1:12" x14ac:dyDescent="0.35">
      <c r="D3" s="61"/>
      <c r="E3" s="61"/>
      <c r="F3" s="61"/>
      <c r="G3" s="61"/>
      <c r="H3" s="61"/>
      <c r="I3" s="61"/>
    </row>
    <row r="4" spans="1:12" x14ac:dyDescent="0.35">
      <c r="A4" s="60" t="s">
        <v>65</v>
      </c>
      <c r="B4" s="62" t="s">
        <v>303</v>
      </c>
      <c r="C4" s="217" t="s">
        <v>304</v>
      </c>
      <c r="D4" s="217"/>
      <c r="E4" s="217"/>
      <c r="F4" s="62"/>
      <c r="G4" s="218" t="s">
        <v>305</v>
      </c>
      <c r="H4" s="218"/>
      <c r="I4" s="218"/>
      <c r="J4" s="219" t="s">
        <v>306</v>
      </c>
      <c r="K4" s="219"/>
      <c r="L4" s="219"/>
    </row>
    <row r="5" spans="1:12" x14ac:dyDescent="0.35">
      <c r="A5" s="60"/>
      <c r="B5" s="62"/>
      <c r="C5" s="62" t="s">
        <v>307</v>
      </c>
      <c r="D5" s="62" t="s">
        <v>308</v>
      </c>
      <c r="E5" s="62" t="s">
        <v>309</v>
      </c>
      <c r="F5" s="62"/>
      <c r="G5" s="62" t="s">
        <v>307</v>
      </c>
      <c r="H5" s="62" t="s">
        <v>308</v>
      </c>
      <c r="I5" s="62" t="s">
        <v>309</v>
      </c>
      <c r="J5" s="62" t="s">
        <v>307</v>
      </c>
      <c r="K5" s="62" t="s">
        <v>308</v>
      </c>
      <c r="L5" s="62" t="s">
        <v>309</v>
      </c>
    </row>
    <row r="6" spans="1:12" x14ac:dyDescent="0.35">
      <c r="B6" s="45" t="s">
        <v>310</v>
      </c>
      <c r="C6" s="45"/>
      <c r="D6" s="45"/>
      <c r="E6" s="45">
        <f>C6*D6</f>
        <v>0</v>
      </c>
      <c r="F6" s="45" t="s">
        <v>327</v>
      </c>
      <c r="G6" s="45"/>
      <c r="H6" s="45"/>
      <c r="I6" s="45">
        <f>G6*H6</f>
        <v>0</v>
      </c>
      <c r="J6" s="45"/>
      <c r="K6" s="45"/>
      <c r="L6" s="45">
        <f>J6*K6</f>
        <v>0</v>
      </c>
    </row>
    <row r="7" spans="1:12" x14ac:dyDescent="0.35">
      <c r="B7" s="45"/>
      <c r="C7" s="45"/>
      <c r="D7" s="45"/>
      <c r="E7" s="45">
        <f t="shared" ref="E7:E41" si="0">C7*D7</f>
        <v>0</v>
      </c>
      <c r="F7" s="45" t="s">
        <v>327</v>
      </c>
      <c r="G7" s="45"/>
      <c r="H7" s="45"/>
      <c r="I7" s="45">
        <f t="shared" ref="I7:I35" si="1">G7*H7</f>
        <v>0</v>
      </c>
      <c r="J7" s="45"/>
      <c r="K7" s="45"/>
      <c r="L7" s="45">
        <f t="shared" ref="L7:L35" si="2">J7*K7</f>
        <v>0</v>
      </c>
    </row>
    <row r="8" spans="1:12" x14ac:dyDescent="0.35">
      <c r="B8" s="45"/>
      <c r="C8" s="45"/>
      <c r="D8" s="45"/>
      <c r="E8" s="45">
        <f t="shared" si="0"/>
        <v>0</v>
      </c>
      <c r="F8" s="45"/>
      <c r="G8" s="45"/>
      <c r="H8" s="45"/>
      <c r="I8" s="45">
        <f t="shared" si="1"/>
        <v>0</v>
      </c>
      <c r="J8" s="45"/>
      <c r="K8" s="45"/>
      <c r="L8" s="45">
        <f t="shared" si="2"/>
        <v>0</v>
      </c>
    </row>
    <row r="9" spans="1:12" x14ac:dyDescent="0.35">
      <c r="B9" s="45"/>
      <c r="C9" s="45"/>
      <c r="D9" s="45"/>
      <c r="E9" s="45">
        <f t="shared" si="0"/>
        <v>0</v>
      </c>
      <c r="F9" s="45" t="s">
        <v>311</v>
      </c>
      <c r="G9" s="45"/>
      <c r="H9" s="45"/>
      <c r="I9" s="45">
        <f t="shared" si="1"/>
        <v>0</v>
      </c>
      <c r="J9" s="45"/>
      <c r="K9" s="45"/>
      <c r="L9" s="45">
        <f t="shared" si="2"/>
        <v>0</v>
      </c>
    </row>
    <row r="10" spans="1:12" x14ac:dyDescent="0.35">
      <c r="B10" s="45" t="s">
        <v>312</v>
      </c>
      <c r="C10" s="45"/>
      <c r="D10" s="45"/>
      <c r="E10" s="45">
        <f t="shared" si="0"/>
        <v>0</v>
      </c>
      <c r="F10" s="45" t="s">
        <v>311</v>
      </c>
      <c r="G10" s="45"/>
      <c r="H10" s="45"/>
      <c r="I10" s="45">
        <f t="shared" si="1"/>
        <v>0</v>
      </c>
      <c r="J10" s="45"/>
      <c r="K10" s="45"/>
      <c r="L10" s="45">
        <f t="shared" si="2"/>
        <v>0</v>
      </c>
    </row>
    <row r="11" spans="1:12" x14ac:dyDescent="0.35">
      <c r="B11" s="45"/>
      <c r="C11" s="45"/>
      <c r="D11" s="45"/>
      <c r="E11" s="45">
        <f t="shared" si="0"/>
        <v>0</v>
      </c>
      <c r="F11" s="45" t="s">
        <v>313</v>
      </c>
      <c r="G11" s="45"/>
      <c r="H11" s="45"/>
      <c r="I11" s="45">
        <f t="shared" si="1"/>
        <v>0</v>
      </c>
      <c r="J11" s="45"/>
      <c r="K11" s="45"/>
      <c r="L11" s="45">
        <f t="shared" si="2"/>
        <v>0</v>
      </c>
    </row>
    <row r="12" spans="1:12" x14ac:dyDescent="0.35">
      <c r="B12" s="45"/>
      <c r="C12" s="45"/>
      <c r="D12" s="45"/>
      <c r="E12" s="45">
        <f t="shared" si="0"/>
        <v>0</v>
      </c>
      <c r="F12" s="45"/>
      <c r="G12" s="45"/>
      <c r="H12" s="45"/>
      <c r="I12" s="45">
        <f t="shared" si="1"/>
        <v>0</v>
      </c>
      <c r="J12" s="45"/>
      <c r="K12" s="45"/>
      <c r="L12" s="45">
        <f t="shared" si="2"/>
        <v>0</v>
      </c>
    </row>
    <row r="13" spans="1:12" x14ac:dyDescent="0.35">
      <c r="B13" s="45"/>
      <c r="C13" s="45"/>
      <c r="D13" s="45"/>
      <c r="E13" s="45">
        <f t="shared" si="0"/>
        <v>0</v>
      </c>
      <c r="F13" s="45"/>
      <c r="G13" s="45"/>
      <c r="H13" s="45"/>
      <c r="I13" s="45">
        <f t="shared" si="1"/>
        <v>0</v>
      </c>
      <c r="J13" s="45"/>
      <c r="K13" s="45"/>
      <c r="L13" s="45">
        <f t="shared" si="2"/>
        <v>0</v>
      </c>
    </row>
    <row r="14" spans="1:12" x14ac:dyDescent="0.35">
      <c r="B14" s="45" t="s">
        <v>314</v>
      </c>
      <c r="C14" s="45"/>
      <c r="D14" s="45"/>
      <c r="E14" s="45">
        <f t="shared" si="0"/>
        <v>0</v>
      </c>
      <c r="F14" s="45" t="s">
        <v>311</v>
      </c>
      <c r="G14" s="45"/>
      <c r="H14" s="45"/>
      <c r="I14" s="45">
        <f t="shared" si="1"/>
        <v>0</v>
      </c>
      <c r="J14" s="45"/>
      <c r="K14" s="45"/>
      <c r="L14" s="45">
        <f t="shared" si="2"/>
        <v>0</v>
      </c>
    </row>
    <row r="15" spans="1:12" x14ac:dyDescent="0.35">
      <c r="B15" s="45"/>
      <c r="C15" s="45"/>
      <c r="D15" s="45"/>
      <c r="E15" s="45">
        <f t="shared" si="0"/>
        <v>0</v>
      </c>
      <c r="F15" s="45" t="s">
        <v>313</v>
      </c>
      <c r="G15" s="45"/>
      <c r="H15" s="45"/>
      <c r="I15" s="45">
        <f t="shared" si="1"/>
        <v>0</v>
      </c>
      <c r="J15" s="45"/>
      <c r="K15" s="45"/>
      <c r="L15" s="45">
        <f t="shared" si="2"/>
        <v>0</v>
      </c>
    </row>
    <row r="16" spans="1:12" x14ac:dyDescent="0.35">
      <c r="B16" s="45"/>
      <c r="C16" s="45"/>
      <c r="D16" s="45"/>
      <c r="E16" s="45">
        <f t="shared" si="0"/>
        <v>0</v>
      </c>
      <c r="F16" s="45"/>
      <c r="G16" s="45"/>
      <c r="H16" s="45"/>
      <c r="I16" s="45">
        <f t="shared" si="1"/>
        <v>0</v>
      </c>
      <c r="J16" s="45"/>
      <c r="K16" s="45"/>
      <c r="L16" s="45">
        <f t="shared" si="2"/>
        <v>0</v>
      </c>
    </row>
    <row r="17" spans="2:12" x14ac:dyDescent="0.35">
      <c r="B17" s="45"/>
      <c r="C17" s="45"/>
      <c r="D17" s="45"/>
      <c r="E17" s="45">
        <f t="shared" si="0"/>
        <v>0</v>
      </c>
      <c r="F17" s="45"/>
      <c r="G17" s="45"/>
      <c r="H17" s="45"/>
      <c r="I17" s="45">
        <f t="shared" si="1"/>
        <v>0</v>
      </c>
      <c r="J17" s="45"/>
      <c r="K17" s="45"/>
      <c r="L17" s="45">
        <f t="shared" si="2"/>
        <v>0</v>
      </c>
    </row>
    <row r="18" spans="2:12" x14ac:dyDescent="0.35">
      <c r="B18" s="45" t="s">
        <v>315</v>
      </c>
      <c r="C18" s="45"/>
      <c r="D18" s="45"/>
      <c r="E18" s="45">
        <f t="shared" si="0"/>
        <v>0</v>
      </c>
      <c r="F18" s="45" t="s">
        <v>311</v>
      </c>
      <c r="G18" s="45"/>
      <c r="H18" s="45"/>
      <c r="I18" s="45">
        <f t="shared" si="1"/>
        <v>0</v>
      </c>
      <c r="J18" s="45"/>
      <c r="K18" s="45"/>
      <c r="L18" s="45">
        <f t="shared" si="2"/>
        <v>0</v>
      </c>
    </row>
    <row r="19" spans="2:12" x14ac:dyDescent="0.35">
      <c r="B19" s="45"/>
      <c r="C19" s="45"/>
      <c r="D19" s="45"/>
      <c r="E19" s="45">
        <f t="shared" si="0"/>
        <v>0</v>
      </c>
      <c r="F19" s="45" t="s">
        <v>313</v>
      </c>
      <c r="G19" s="45"/>
      <c r="H19" s="45"/>
      <c r="I19" s="45">
        <f t="shared" si="1"/>
        <v>0</v>
      </c>
      <c r="J19" s="45"/>
      <c r="K19" s="45"/>
      <c r="L19" s="45">
        <f t="shared" si="2"/>
        <v>0</v>
      </c>
    </row>
    <row r="20" spans="2:12" x14ac:dyDescent="0.35">
      <c r="B20" s="45"/>
      <c r="C20" s="45"/>
      <c r="D20" s="45"/>
      <c r="E20" s="45">
        <f t="shared" si="0"/>
        <v>0</v>
      </c>
      <c r="F20" s="45"/>
      <c r="G20" s="45"/>
      <c r="H20" s="45"/>
      <c r="I20" s="45">
        <f t="shared" si="1"/>
        <v>0</v>
      </c>
      <c r="J20" s="45"/>
      <c r="K20" s="45"/>
      <c r="L20" s="45">
        <f t="shared" si="2"/>
        <v>0</v>
      </c>
    </row>
    <row r="21" spans="2:12" x14ac:dyDescent="0.35">
      <c r="B21" s="45" t="s">
        <v>316</v>
      </c>
      <c r="C21" s="45"/>
      <c r="D21" s="45"/>
      <c r="E21" s="45">
        <f t="shared" si="0"/>
        <v>0</v>
      </c>
      <c r="F21" s="45" t="s">
        <v>311</v>
      </c>
      <c r="G21" s="45"/>
      <c r="H21" s="45"/>
      <c r="I21" s="45">
        <f t="shared" si="1"/>
        <v>0</v>
      </c>
      <c r="J21" s="45"/>
      <c r="K21" s="45"/>
      <c r="L21" s="45">
        <f t="shared" si="2"/>
        <v>0</v>
      </c>
    </row>
    <row r="22" spans="2:12" x14ac:dyDescent="0.35">
      <c r="B22" s="45"/>
      <c r="C22" s="45"/>
      <c r="D22" s="45"/>
      <c r="E22" s="45">
        <f t="shared" si="0"/>
        <v>0</v>
      </c>
      <c r="F22" s="45" t="s">
        <v>313</v>
      </c>
      <c r="G22" s="45"/>
      <c r="H22" s="45"/>
      <c r="I22" s="45">
        <f t="shared" si="1"/>
        <v>0</v>
      </c>
      <c r="J22" s="45"/>
      <c r="K22" s="45"/>
      <c r="L22" s="45">
        <f t="shared" si="2"/>
        <v>0</v>
      </c>
    </row>
    <row r="23" spans="2:12" x14ac:dyDescent="0.35">
      <c r="B23" s="45"/>
      <c r="C23" s="45"/>
      <c r="D23" s="45"/>
      <c r="E23" s="45">
        <f t="shared" si="0"/>
        <v>0</v>
      </c>
      <c r="F23" s="45"/>
      <c r="G23" s="45"/>
      <c r="H23" s="45"/>
      <c r="I23" s="45">
        <f t="shared" si="1"/>
        <v>0</v>
      </c>
      <c r="J23" s="45"/>
      <c r="K23" s="45"/>
      <c r="L23" s="45">
        <f t="shared" si="2"/>
        <v>0</v>
      </c>
    </row>
    <row r="24" spans="2:12" x14ac:dyDescent="0.35">
      <c r="B24" s="45" t="s">
        <v>317</v>
      </c>
      <c r="C24" s="45"/>
      <c r="D24" s="45"/>
      <c r="E24" s="45">
        <f t="shared" si="0"/>
        <v>0</v>
      </c>
      <c r="F24" s="45" t="s">
        <v>318</v>
      </c>
      <c r="G24" s="45"/>
      <c r="H24" s="45"/>
      <c r="I24" s="45">
        <f t="shared" si="1"/>
        <v>0</v>
      </c>
      <c r="J24" s="45"/>
      <c r="K24" s="45"/>
      <c r="L24" s="45">
        <f t="shared" si="2"/>
        <v>0</v>
      </c>
    </row>
    <row r="25" spans="2:12" x14ac:dyDescent="0.35">
      <c r="B25" s="45"/>
      <c r="C25" s="45"/>
      <c r="D25" s="45"/>
      <c r="E25" s="45">
        <f t="shared" ref="E25:E27" si="3">C25*D25</f>
        <v>0</v>
      </c>
      <c r="F25" s="45" t="s">
        <v>318</v>
      </c>
      <c r="G25" s="45"/>
      <c r="H25" s="45"/>
      <c r="I25" s="45">
        <f t="shared" ref="I25:I27" si="4">G25*H25</f>
        <v>0</v>
      </c>
      <c r="J25" s="45"/>
      <c r="K25" s="45"/>
      <c r="L25" s="45">
        <f t="shared" ref="L25:L27" si="5">J25*K25</f>
        <v>0</v>
      </c>
    </row>
    <row r="26" spans="2:12" x14ac:dyDescent="0.35">
      <c r="B26" s="45"/>
      <c r="C26" s="45"/>
      <c r="D26" s="45"/>
      <c r="E26" s="45">
        <f t="shared" si="3"/>
        <v>0</v>
      </c>
      <c r="F26" s="45" t="s">
        <v>318</v>
      </c>
      <c r="G26" s="45"/>
      <c r="H26" s="45"/>
      <c r="I26" s="45">
        <f t="shared" si="4"/>
        <v>0</v>
      </c>
      <c r="J26" s="45"/>
      <c r="K26" s="45"/>
      <c r="L26" s="45">
        <f t="shared" si="5"/>
        <v>0</v>
      </c>
    </row>
    <row r="27" spans="2:12" x14ac:dyDescent="0.35">
      <c r="B27" s="45"/>
      <c r="C27" s="45"/>
      <c r="D27" s="45"/>
      <c r="E27" s="45">
        <f t="shared" si="3"/>
        <v>0</v>
      </c>
      <c r="F27" s="45" t="s">
        <v>318</v>
      </c>
      <c r="G27" s="45"/>
      <c r="H27" s="45"/>
      <c r="I27" s="45">
        <f t="shared" si="4"/>
        <v>0</v>
      </c>
      <c r="J27" s="45"/>
      <c r="K27" s="45"/>
      <c r="L27" s="45">
        <f t="shared" si="5"/>
        <v>0</v>
      </c>
    </row>
    <row r="28" spans="2:12" x14ac:dyDescent="0.35">
      <c r="B28" s="45" t="s">
        <v>319</v>
      </c>
      <c r="C28" s="45"/>
      <c r="D28" s="45"/>
      <c r="E28" s="45">
        <f t="shared" si="0"/>
        <v>0</v>
      </c>
      <c r="F28" s="45" t="s">
        <v>318</v>
      </c>
      <c r="G28" s="45"/>
      <c r="H28" s="45"/>
      <c r="I28" s="45">
        <f t="shared" si="1"/>
        <v>0</v>
      </c>
      <c r="J28" s="45"/>
      <c r="K28" s="45"/>
      <c r="L28" s="45">
        <f t="shared" si="2"/>
        <v>0</v>
      </c>
    </row>
    <row r="29" spans="2:12" x14ac:dyDescent="0.35">
      <c r="B29" s="45" t="s">
        <v>320</v>
      </c>
      <c r="C29" s="45"/>
      <c r="D29" s="45"/>
      <c r="E29" s="45">
        <f t="shared" si="0"/>
        <v>0</v>
      </c>
      <c r="F29" s="45" t="s">
        <v>318</v>
      </c>
      <c r="G29" s="45"/>
      <c r="H29" s="45"/>
      <c r="I29" s="45">
        <f t="shared" si="1"/>
        <v>0</v>
      </c>
      <c r="J29" s="45"/>
      <c r="K29" s="45"/>
      <c r="L29" s="45">
        <f t="shared" si="2"/>
        <v>0</v>
      </c>
    </row>
    <row r="30" spans="2:12" x14ac:dyDescent="0.35">
      <c r="B30" s="45" t="s">
        <v>324</v>
      </c>
      <c r="C30" s="45"/>
      <c r="D30" s="45"/>
      <c r="E30" s="45">
        <f t="shared" si="0"/>
        <v>0</v>
      </c>
      <c r="F30" s="45"/>
      <c r="G30" s="45"/>
      <c r="H30" s="45"/>
      <c r="I30" s="45">
        <f t="shared" si="1"/>
        <v>0</v>
      </c>
      <c r="J30" s="45"/>
      <c r="K30" s="45"/>
      <c r="L30" s="45">
        <f t="shared" si="2"/>
        <v>0</v>
      </c>
    </row>
    <row r="31" spans="2:12" x14ac:dyDescent="0.35">
      <c r="B31" s="45"/>
      <c r="C31" s="45"/>
      <c r="D31" s="45"/>
      <c r="E31" s="45">
        <f t="shared" ref="E31:E32" si="6">C31*D31</f>
        <v>0</v>
      </c>
      <c r="F31" s="45"/>
      <c r="G31" s="45"/>
      <c r="H31" s="45"/>
      <c r="I31" s="45">
        <f t="shared" ref="I31:I32" si="7">G31*H31</f>
        <v>0</v>
      </c>
      <c r="J31" s="45"/>
      <c r="K31" s="45"/>
      <c r="L31" s="45">
        <f t="shared" ref="L31:L32" si="8">J31*K31</f>
        <v>0</v>
      </c>
    </row>
    <row r="32" spans="2:12" x14ac:dyDescent="0.35">
      <c r="B32" s="45"/>
      <c r="C32" s="45"/>
      <c r="D32" s="45"/>
      <c r="E32" s="45">
        <f t="shared" si="6"/>
        <v>0</v>
      </c>
      <c r="F32" s="45"/>
      <c r="G32" s="45"/>
      <c r="H32" s="45"/>
      <c r="I32" s="45">
        <f t="shared" si="7"/>
        <v>0</v>
      </c>
      <c r="J32" s="45"/>
      <c r="K32" s="45"/>
      <c r="L32" s="45">
        <f t="shared" si="8"/>
        <v>0</v>
      </c>
    </row>
    <row r="33" spans="2:12" x14ac:dyDescent="0.35">
      <c r="B33" s="45" t="s">
        <v>321</v>
      </c>
      <c r="C33" s="45"/>
      <c r="D33" s="45"/>
      <c r="E33" s="45">
        <f t="shared" si="0"/>
        <v>0</v>
      </c>
      <c r="F33" s="45"/>
      <c r="G33" s="45"/>
      <c r="H33" s="45"/>
      <c r="I33" s="45">
        <f t="shared" si="1"/>
        <v>0</v>
      </c>
      <c r="J33" s="45"/>
      <c r="K33" s="45"/>
      <c r="L33" s="45">
        <f t="shared" si="2"/>
        <v>0</v>
      </c>
    </row>
    <row r="34" spans="2:12" x14ac:dyDescent="0.35">
      <c r="B34" s="45" t="s">
        <v>325</v>
      </c>
      <c r="C34" s="45"/>
      <c r="D34" s="45"/>
      <c r="E34" s="45">
        <f t="shared" si="0"/>
        <v>0</v>
      </c>
      <c r="F34" s="45"/>
      <c r="G34" s="45"/>
      <c r="H34" s="45"/>
      <c r="I34" s="45">
        <f t="shared" si="1"/>
        <v>0</v>
      </c>
      <c r="J34" s="45"/>
      <c r="K34" s="45"/>
      <c r="L34" s="45">
        <f t="shared" si="2"/>
        <v>0</v>
      </c>
    </row>
    <row r="35" spans="2:12" x14ac:dyDescent="0.35">
      <c r="B35" s="45" t="s">
        <v>322</v>
      </c>
      <c r="C35" s="45"/>
      <c r="D35" s="45"/>
      <c r="E35" s="45">
        <f t="shared" si="0"/>
        <v>0</v>
      </c>
      <c r="F35" s="45"/>
      <c r="G35" s="45"/>
      <c r="H35" s="45"/>
      <c r="I35" s="45">
        <f t="shared" si="1"/>
        <v>0</v>
      </c>
      <c r="J35" s="45"/>
      <c r="K35" s="45"/>
      <c r="L35" s="45">
        <f t="shared" si="2"/>
        <v>0</v>
      </c>
    </row>
    <row r="36" spans="2:12" x14ac:dyDescent="0.35">
      <c r="B36" s="45" t="s">
        <v>323</v>
      </c>
      <c r="C36" s="45"/>
      <c r="D36" s="45"/>
      <c r="E36" s="45">
        <f t="shared" si="0"/>
        <v>0</v>
      </c>
      <c r="F36" s="45"/>
      <c r="G36" s="45"/>
      <c r="H36" s="45"/>
      <c r="I36" s="45">
        <f>G36*H36</f>
        <v>0</v>
      </c>
      <c r="J36" s="45"/>
      <c r="K36" s="45"/>
      <c r="L36" s="45">
        <f>J36*K36</f>
        <v>0</v>
      </c>
    </row>
    <row r="37" spans="2:12" x14ac:dyDescent="0.35">
      <c r="B37" s="45"/>
      <c r="C37" s="45"/>
      <c r="D37" s="45"/>
      <c r="E37" s="45">
        <f t="shared" ref="E37:E38" si="9">C37*D37</f>
        <v>0</v>
      </c>
      <c r="F37" s="45"/>
      <c r="G37" s="45"/>
      <c r="H37" s="45"/>
      <c r="I37" s="45">
        <f t="shared" ref="I37:I38" si="10">G37*H37</f>
        <v>0</v>
      </c>
      <c r="J37" s="45"/>
      <c r="K37" s="45"/>
      <c r="L37" s="45">
        <f t="shared" ref="L37:L38" si="11">J37*K37</f>
        <v>0</v>
      </c>
    </row>
    <row r="38" spans="2:12" x14ac:dyDescent="0.35">
      <c r="B38" s="45" t="s">
        <v>326</v>
      </c>
      <c r="C38" s="45"/>
      <c r="D38" s="45"/>
      <c r="E38" s="45">
        <f t="shared" si="9"/>
        <v>0</v>
      </c>
      <c r="F38" s="45"/>
      <c r="G38" s="45"/>
      <c r="H38" s="45"/>
      <c r="I38" s="45">
        <f t="shared" si="10"/>
        <v>0</v>
      </c>
      <c r="J38" s="45"/>
      <c r="K38" s="45"/>
      <c r="L38" s="45">
        <f t="shared" si="11"/>
        <v>0</v>
      </c>
    </row>
    <row r="39" spans="2:12" x14ac:dyDescent="0.35">
      <c r="B39" s="45"/>
      <c r="C39" s="45"/>
      <c r="D39" s="45"/>
      <c r="E39" s="45">
        <f t="shared" si="0"/>
        <v>0</v>
      </c>
      <c r="F39" s="45"/>
      <c r="G39" s="45"/>
      <c r="H39" s="45"/>
      <c r="I39" s="45">
        <f>G39*H39</f>
        <v>0</v>
      </c>
      <c r="J39" s="45"/>
      <c r="K39" s="45"/>
      <c r="L39" s="45">
        <f>J39*K39</f>
        <v>0</v>
      </c>
    </row>
    <row r="40" spans="2:12" x14ac:dyDescent="0.35">
      <c r="B40" s="45"/>
      <c r="C40" s="45"/>
      <c r="D40" s="45"/>
      <c r="E40" s="45">
        <f t="shared" si="0"/>
        <v>0</v>
      </c>
      <c r="F40" s="45"/>
      <c r="G40" s="45"/>
      <c r="H40" s="45"/>
      <c r="I40" s="45">
        <f>G40*H40</f>
        <v>0</v>
      </c>
      <c r="J40" s="45"/>
      <c r="K40" s="45"/>
      <c r="L40" s="45">
        <f>J40*K40</f>
        <v>0</v>
      </c>
    </row>
    <row r="41" spans="2:12" x14ac:dyDescent="0.35">
      <c r="B41" s="45"/>
      <c r="C41" s="45"/>
      <c r="D41" s="45"/>
      <c r="E41" s="45">
        <f t="shared" si="0"/>
        <v>0</v>
      </c>
      <c r="F41" s="45"/>
      <c r="G41" s="45"/>
      <c r="H41" s="45"/>
      <c r="I41" s="45">
        <f>G41*H41</f>
        <v>0</v>
      </c>
      <c r="J41" s="45"/>
      <c r="K41" s="45"/>
      <c r="L41" s="45">
        <f>J41*K41</f>
        <v>0</v>
      </c>
    </row>
    <row r="42" spans="2:12" x14ac:dyDescent="0.35">
      <c r="B42" s="45" t="s">
        <v>150</v>
      </c>
      <c r="C42" s="45"/>
      <c r="D42" s="45">
        <f>E42*10.764</f>
        <v>0</v>
      </c>
      <c r="E42" s="65">
        <f>SUM(E6:E41)</f>
        <v>0</v>
      </c>
      <c r="F42" s="45"/>
      <c r="G42" s="45"/>
      <c r="H42" s="45">
        <f>I42*10.764</f>
        <v>0</v>
      </c>
      <c r="I42" s="64">
        <f>SUM(I6:I41)</f>
        <v>0</v>
      </c>
      <c r="J42" s="45"/>
      <c r="K42" s="45">
        <f>L42*10.764</f>
        <v>0</v>
      </c>
      <c r="L42" s="63">
        <f>SUM(L6:L41)</f>
        <v>0</v>
      </c>
    </row>
    <row r="44" spans="2:12" x14ac:dyDescent="0.35">
      <c r="D44" s="44">
        <f>D42+H42</f>
        <v>0</v>
      </c>
      <c r="E44" s="4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2025-08-23T06:26:23Z</cp:lastPrinted>
  <dcterms:created xsi:type="dcterms:W3CDTF">2019-07-16T09:29:46Z</dcterms:created>
  <dcterms:modified xsi:type="dcterms:W3CDTF">2025-08-23T06:28:08Z</dcterms:modified>
</cp:coreProperties>
</file>