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Aug 25\Axis\New\New folder\"/>
    </mc:Choice>
  </mc:AlternateContent>
  <xr:revisionPtr revIDLastSave="0" documentId="13_ncr:1_{A3B96282-2F40-4306-9EA3-835641559CAD}"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6" i="1" l="1"/>
  <c r="N149" i="1"/>
  <c r="N148" i="1"/>
  <c r="N147" i="1"/>
  <c r="N146" i="1"/>
  <c r="F118" i="1"/>
  <c r="D152" i="1"/>
  <c r="C127" i="1" s="1"/>
  <c r="D149" i="1"/>
  <c r="D148" i="1"/>
  <c r="D147" i="1"/>
  <c r="D143" i="1"/>
  <c r="E152" i="1"/>
  <c r="J148" i="1"/>
  <c r="J143" i="1"/>
  <c r="G52" i="1"/>
  <c r="C52" i="1"/>
  <c r="C92" i="1"/>
  <c r="I53" i="1"/>
  <c r="E43" i="1"/>
  <c r="C78" i="1"/>
  <c r="C126" i="1" l="1"/>
  <c r="C128" i="1" s="1"/>
  <c r="F134" i="1"/>
  <c r="B38" i="6"/>
  <c r="B39" i="6" s="1"/>
  <c r="B40" i="6" s="1"/>
  <c r="B41" i="6" s="1"/>
  <c r="B42" i="6" s="1"/>
  <c r="B43" i="6" s="1"/>
  <c r="B44" i="6" s="1"/>
  <c r="B45" i="6" s="1"/>
  <c r="B46" i="6" s="1"/>
  <c r="B47" i="6" s="1"/>
  <c r="B48" i="6" s="1"/>
  <c r="B49" i="6" s="1"/>
  <c r="B50" i="6" s="1"/>
  <c r="B51" i="6" s="1"/>
  <c r="B52" i="6" s="1"/>
  <c r="B53" i="6" s="1"/>
  <c r="B54" i="6" s="1"/>
  <c r="H134" i="1" l="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182" i="1"/>
  <c r="B156" i="1"/>
  <c r="B155" i="1"/>
  <c r="F152" i="1"/>
  <c r="F149" i="1"/>
  <c r="H149" i="1" s="1"/>
  <c r="F148" i="1"/>
  <c r="H148" i="1" s="1"/>
  <c r="M148" i="1" s="1"/>
  <c r="F147" i="1"/>
  <c r="H147" i="1" s="1"/>
  <c r="M147" i="1" s="1"/>
  <c r="A148" i="1"/>
  <c r="A149" i="1" s="1"/>
  <c r="A144" i="1"/>
  <c r="A145" i="1" s="1"/>
  <c r="F143" i="1"/>
  <c r="F137" i="1"/>
  <c r="H137" i="1" s="1"/>
  <c r="F136" i="1"/>
  <c r="H136" i="1" s="1"/>
  <c r="F135" i="1"/>
  <c r="H135" i="1" s="1"/>
  <c r="A135" i="1"/>
  <c r="A136" i="1" s="1"/>
  <c r="A137" i="1" s="1"/>
  <c r="B79" i="1"/>
  <c r="D72" i="1"/>
  <c r="D66" i="1"/>
  <c r="G59" i="1"/>
  <c r="C59" i="1"/>
  <c r="K57" i="1"/>
  <c r="C57" i="1"/>
  <c r="E44" i="1"/>
  <c r="E45" i="1" s="1"/>
  <c r="S33" i="1"/>
  <c r="E31" i="1"/>
  <c r="E28" i="1"/>
  <c r="E26" i="1"/>
  <c r="C16" i="1"/>
  <c r="I15" i="1"/>
  <c r="Z13" i="1"/>
  <c r="E8" i="1"/>
  <c r="E3" i="1"/>
  <c r="B166" i="1" s="1"/>
  <c r="H93" i="1"/>
  <c r="H152" i="1" l="1"/>
  <c r="G127" i="1" s="1"/>
  <c r="E127" i="1"/>
  <c r="H143" i="1"/>
  <c r="G126" i="1" s="1"/>
  <c r="E126" i="1"/>
  <c r="E42" i="7"/>
  <c r="J86" i="1"/>
  <c r="J87" i="1"/>
  <c r="I42" i="7"/>
  <c r="H42" i="7" s="1"/>
  <c r="L42" i="7"/>
  <c r="K42" i="7" s="1"/>
  <c r="J92" i="1"/>
  <c r="J94" i="1" s="1"/>
  <c r="D101" i="1"/>
  <c r="D100" i="1"/>
  <c r="D105" i="1"/>
  <c r="D99" i="1"/>
  <c r="J95" i="1"/>
  <c r="D104" i="1"/>
  <c r="J97" i="1"/>
  <c r="C96" i="1" s="1"/>
  <c r="D98" i="1"/>
  <c r="D103" i="1"/>
  <c r="J96" i="1"/>
  <c r="D102" i="1"/>
  <c r="D42" i="7"/>
  <c r="L57" i="1"/>
  <c r="B93" i="1"/>
  <c r="J88" i="1"/>
  <c r="J89" i="1"/>
  <c r="I55" i="1"/>
  <c r="H79" i="1"/>
  <c r="E128" i="1" l="1"/>
  <c r="G128" i="1"/>
  <c r="D90" i="1"/>
  <c r="D84" i="1"/>
  <c r="J84" i="1"/>
  <c r="J85" i="1" s="1"/>
  <c r="J90" i="1" s="1"/>
  <c r="J91" i="1" s="1"/>
  <c r="C83" i="1" s="1"/>
  <c r="E82" i="1" s="1"/>
  <c r="J83" i="1"/>
  <c r="C82" i="1" s="1"/>
  <c r="D82" i="1" s="1"/>
  <c r="D89" i="1"/>
  <c r="D88" i="1"/>
  <c r="J78" i="1"/>
  <c r="J80" i="1" s="1"/>
  <c r="D87" i="1"/>
  <c r="D91" i="1"/>
  <c r="D85" i="1"/>
  <c r="J82" i="1"/>
  <c r="J81" i="1"/>
  <c r="D86" i="1"/>
  <c r="D44" i="7"/>
  <c r="E44" i="7"/>
  <c r="D96" i="1"/>
  <c r="J101" i="1"/>
  <c r="J98" i="1"/>
  <c r="J99" i="1" s="1"/>
  <c r="J104" i="1" s="1"/>
  <c r="J105" i="1" s="1"/>
  <c r="C97" i="1" s="1"/>
  <c r="J103" i="1"/>
  <c r="J100" i="1"/>
  <c r="J102" i="1"/>
  <c r="G82" i="1" l="1"/>
  <c r="D76" i="1" s="1"/>
  <c r="D77" i="1" s="1"/>
  <c r="D83" i="1"/>
  <c r="I79" i="1" s="1"/>
  <c r="I80" i="1" s="1"/>
  <c r="J79" i="1"/>
  <c r="E96" i="1"/>
  <c r="D97" i="1"/>
  <c r="I93" i="1" s="1"/>
  <c r="J93" i="1"/>
  <c r="G96" i="1"/>
  <c r="F77" i="1" l="1"/>
  <c r="I78" i="1"/>
  <c r="C80" i="1" s="1"/>
  <c r="I94" i="1"/>
  <c r="I92" i="1" s="1"/>
  <c r="C9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8" authorId="1" shapeId="0" xr:uid="{00000000-0006-0000-0000-000003000000}">
      <text>
        <r>
          <rPr>
            <b/>
            <sz val="9"/>
            <color indexed="81"/>
            <rFont val="Tahoma"/>
            <family val="2"/>
          </rPr>
          <t>SACHIN:</t>
        </r>
        <r>
          <rPr>
            <sz val="9"/>
            <color indexed="81"/>
            <rFont val="Tahoma"/>
            <family val="2"/>
          </rPr>
          <t xml:space="preserve">
Floor with height</t>
        </r>
      </text>
    </comment>
    <comment ref="C60" authorId="1" shapeId="0" xr:uid="{00000000-0006-0000-0000-000004000000}">
      <text>
        <r>
          <rPr>
            <b/>
            <sz val="9"/>
            <color indexed="81"/>
            <rFont val="Tahoma"/>
            <family val="2"/>
          </rPr>
          <t>SACHIN:</t>
        </r>
        <r>
          <rPr>
            <sz val="9"/>
            <color indexed="81"/>
            <rFont val="Tahoma"/>
            <family val="2"/>
          </rPr>
          <t xml:space="preserve">
Survey Nos.</t>
        </r>
      </text>
    </comment>
    <comment ref="D66" authorId="0" shapeId="0" xr:uid="{00000000-0006-0000-0000-000005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111" authorId="1" shapeId="0" xr:uid="{00000000-0006-0000-0000-000006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0" authorId="1" shapeId="0" xr:uid="{00000000-0006-0000-0000-000007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<sst xmlns="http://schemas.openxmlformats.org/spreadsheetml/2006/main" count="681" uniqueCount="436">
  <si>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</si>
  <si>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</si>
  <si>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</si>
  <si>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</si>
  <si>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</si>
  <si>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</si>
  <si>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</si>
  <si>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</si>
  <si>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</si>
  <si>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</si>
  <si>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</si>
  <si>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</si>
  <si>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</si>
  <si>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</si>
  <si>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</si>
  <si>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</si>
  <si>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</si>
  <si>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</si>
  <si>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</si>
  <si>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</si>
  <si>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</si>
  <si>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</si>
  <si>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</si>
  <si>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</si>
  <si>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</si>
  <si>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</si>
  <si>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</si>
  <si>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</si>
  <si>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</si>
  <si>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</si>
  <si>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</si>
  <si>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</si>
  <si>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</si>
  <si>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</si>
  <si>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</si>
  <si>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</si>
  <si>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</si>
  <si>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</si>
  <si>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</si>
  <si>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</si>
  <si>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</si>
  <si>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</si>
  <si>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</si>
  <si>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</si>
  <si>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</si>
  <si>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</si>
  <si>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</si>
  <si>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</si>
  <si>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</si>
  <si>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</si>
  <si>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</si>
  <si>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</si>
  <si>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</si>
  <si>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</si>
  <si>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</si>
  <si>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</si>
  <si>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</si>
  <si>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</si>
  <si>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</si>
  <si>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</si>
  <si>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</si>
  <si>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</si>
  <si>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</si>
  <si>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</si>
  <si>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</si>
  <si>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</si>
  <si>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</si>
  <si>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</si>
  <si>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</si>
  <si>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</si>
  <si>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</si>
  <si>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</si>
  <si>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</si>
  <si>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</si>
  <si>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</si>
  <si>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</si>
  <si>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</si>
  <si>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</si>
  <si>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</si>
  <si>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</si>
  <si>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</si>
  <si>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</si>
  <si>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</si>
  <si>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</si>
  <si>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</si>
  <si>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</si>
  <si>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</si>
  <si>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</si>
  <si>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</si>
  <si>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</si>
  <si>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</si>
  <si>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</si>
  <si>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</si>
  <si>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</si>
  <si>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</si>
  <si>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</si>
  <si>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</si>
  <si>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</si>
  <si>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</si>
  <si>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</si>
  <si>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</si>
  <si>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</si>
  <si>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</si>
  <si>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</si>
  <si>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</si>
  <si>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</si>
  <si>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</si>
  <si>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</si>
  <si>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</si>
  <si>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</si>
  <si>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</si>
  <si>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</si>
  <si>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</si>
  <si>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</si>
  <si>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</si>
  <si>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</si>
  <si>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</si>
  <si>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</si>
  <si>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</si>
  <si>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</si>
  <si>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</si>
  <si>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</si>
  <si>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</si>
  <si>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</si>
  <si>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</si>
  <si>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</si>
  <si>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</si>
  <si>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</si>
  <si>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</si>
  <si>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</si>
  <si>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</si>
  <si>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</si>
  <si>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</si>
  <si>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</si>
  <si>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</si>
  <si>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</si>
  <si>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</si>
  <si>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</si>
  <si>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</si>
  <si>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</si>
  <si>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</si>
  <si>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</si>
  <si>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</si>
  <si>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</si>
  <si>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</si>
  <si>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</si>
  <si>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</si>
  <si>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</si>
  <si>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</si>
  <si>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</si>
  <si>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</si>
  <si>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</si>
  <si>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</si>
  <si>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</si>
  <si>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</si>
  <si>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</si>
  <si>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</si>
  <si>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</si>
  <si>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</si>
  <si>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</si>
  <si>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</si>
  <si>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</si>
  <si>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</si>
  <si>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</si>
  <si>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</si>
  <si>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</si>
  <si>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</si>
  <si>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</si>
  <si>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</si>
  <si>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</si>
  <si>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</si>
  <si>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</si>
  <si>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</si>
  <si>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</si>
  <si>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</si>
  <si>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</si>
  <si>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</si>
  <si>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</si>
  <si>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</si>
  <si>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</si>
  <si>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</si>
  <si>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</si>
  <si>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</si>
  <si>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</si>
  <si>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</si>
  <si>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</si>
  <si>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</si>
  <si>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</si>
  <si>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</si>
  <si>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</si>
  <si>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</si>
  <si>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</si>
  <si>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</si>
  <si>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</si>
  <si>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</si>
  <si>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</si>
  <si>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</si>
  <si>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</si>
  <si>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</si>
  <si>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</si>
  <si>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</si>
  <si>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</si>
  <si>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</si>
  <si>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</si>
  <si>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</si>
  <si>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</si>
  <si>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</si>
  <si>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</si>
  <si>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</si>
  <si>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</si>
  <si>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</si>
  <si>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</si>
  <si>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</si>
  <si>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</si>
  <si>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</si>
  <si>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</si>
  <si>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</si>
  <si>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</si>
  <si>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</si>
  <si>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</si>
  <si>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</si>
  <si>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</si>
  <si>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</si>
  <si>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</si>
  <si>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</si>
  <si>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</si>
  <si>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</si>
  <si>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</si>
  <si>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</si>
  <si>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</si>
  <si>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</si>
  <si>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</si>
  <si>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</si>
  <si>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</si>
  <si>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</si>
  <si>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</si>
  <si>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</si>
  <si>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</si>
  <si>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</si>
  <si>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</si>
  <si>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</si>
  <si>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</si>
  <si>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</si>
  <si>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</si>
  <si>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</si>
  <si>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</si>
  <si>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</si>
  <si>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</si>
  <si>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</si>
  <si>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</si>
  <si>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</si>
  <si>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</si>
  <si>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</si>
  <si>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</si>
  <si>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</si>
  <si>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</si>
  <si>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</si>
  <si>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</si>
  <si>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</si>
  <si>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</si>
  <si>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</si>
  <si>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</si>
  <si>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</si>
  <si>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</si>
  <si>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</si>
  <si>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</si>
  <si>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</si>
  <si>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</si>
  <si>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</si>
  <si>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</si>
  <si>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</si>
  <si>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</si>
  <si>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</si>
  <si>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</si>
  <si>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</si>
  <si>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</si>
  <si>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</si>
  <si>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</si>
  <si>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</si>
  <si>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</si>
  <si>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</si>
  <si>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</si>
  <si>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</si>
  <si>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</si>
  <si>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</si>
  <si>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</si>
  <si>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</si>
  <si>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</si>
  <si>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</si>
  <si>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</si>
  <si>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</si>
  <si>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</si>
  <si>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</si>
  <si>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</si>
  <si>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</si>
  <si>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</si>
  <si>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</si>
  <si>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</si>
  <si>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</si>
  <si>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</si>
  <si>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</si>
  <si>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</si>
  <si>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</si>
  <si>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</si>
  <si>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</si>
  <si>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</si>
  <si>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</si>
  <si>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</si>
  <si>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</si>
  <si>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</si>
  <si>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</si>
  <si>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</si>
  <si>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</si>
  <si>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</si>
  <si>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</si>
  <si>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</si>
  <si>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</si>
  <si>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</si>
  <si>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</si>
  <si>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</si>
  <si>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</si>
  <si>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</si>
  <si>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</si>
  <si>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</si>
  <si>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</si>
  <si>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</si>
  <si>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</si>
  <si>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</si>
  <si>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</si>
  <si>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</si>
  <si>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</si>
  <si>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</si>
  <si>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</si>
  <si>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</si>
  <si>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</si>
  <si>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</si>
  <si>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</si>
  <si>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</si>
  <si>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</si>
  <si>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</si>
  <si>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</si>
  <si>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</si>
  <si>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</si>
  <si>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</si>
  <si>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</si>
  <si>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</si>
  <si>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</si>
  <si>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</si>
  <si>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</si>
  <si>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</si>
  <si>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</si>
  <si>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</si>
  <si>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</si>
  <si>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</si>
  <si>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</si>
  <si>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</si>
  <si>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</si>
  <si>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</si>
  <si>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</si>
  <si>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</si>
  <si>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</si>
  <si>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</si>
  <si>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</si>
  <si>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</si>
  <si>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</si>
  <si>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</si>
  <si>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</si>
  <si>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</si>
  <si>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</si>
  <si>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</si>
  <si>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</si>
  <si>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</si>
  <si>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</si>
  <si>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</si>
  <si>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</si>
  <si>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</si>
  <si>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</si>
  <si>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</si>
  <si>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</si>
  <si>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As per visit dtd 13/08/2025, we have observed that construction work of Shop no. 1, 2, 3, 6, 7, 8 from Building No. 1 and Shop no. 11, 12, 13, 16, 17 from Building No. 2 are Completed.Therefore it can be considered as Progress 100% and Disbursement 100%.</t>
  </si>
  <si>
    <t>Remark if shops construction is asked</t>
  </si>
  <si>
    <t>19.440833,72.793971</t>
  </si>
  <si>
    <t>https://maps.app.goo.gl/VRJju2fUDX6oWNAPA</t>
  </si>
  <si>
    <t>Survey No</t>
  </si>
  <si>
    <t>Shah And Daswani</t>
  </si>
  <si>
    <t>Kashidham NX</t>
  </si>
  <si>
    <t>P99000048005</t>
  </si>
  <si>
    <t>301A, H.No.02</t>
  </si>
  <si>
    <t>Bolinj</t>
  </si>
  <si>
    <t>Bolinj Sopara Road</t>
  </si>
  <si>
    <t>Virar West</t>
  </si>
  <si>
    <t>2.20KM from Virar Railway Station</t>
  </si>
  <si>
    <t>Adarsh Vidyalaya Agashi Hindi School</t>
  </si>
  <si>
    <t>Internal Road</t>
  </si>
  <si>
    <t>Other Plot</t>
  </si>
  <si>
    <t>Row House No 01 to 04/R.G.</t>
  </si>
  <si>
    <t>Open Plot</t>
  </si>
  <si>
    <t>Internal Road/Kashidham Apartment</t>
  </si>
  <si>
    <t>VVCMC/TP/AMEND/VP/0393/528/2022-23</t>
  </si>
  <si>
    <t>VVCMC/TP/RDP/VP-0393/528/2022-23</t>
  </si>
  <si>
    <t>Row House No.05 = Gr + 1st to 2nd Floor</t>
  </si>
  <si>
    <t>VVCMC/TP/RDP/VP-0393/716/2021-22</t>
  </si>
  <si>
    <t>Residential Building No. 1 Wing C = Gr + 1st to 7th Floor 
No of Flats = 22, Built up Area = 791.46 Sq.Mt</t>
  </si>
  <si>
    <t>C Wing = Gr + 1st to 7th Floor</t>
  </si>
  <si>
    <t>As per RERA - 31/12/2025</t>
  </si>
  <si>
    <r>
      <t xml:space="preserve">Proposed Amenities :                                                                                                                                                                                                                         </t>
    </r>
    <r>
      <rPr>
        <b/>
        <sz val="12"/>
        <rFont val="Times New Roman"/>
        <family val="1"/>
      </rPr>
      <t xml:space="preserve">                                               </t>
    </r>
  </si>
  <si>
    <t>Vitrified tiles flooring, Granite Kitchen Platform, Decorative Entrance, etc.</t>
  </si>
  <si>
    <t>C Wing = Gr + 1st to 7th Floor
Row House No.05 = Gr + 1st to 2nd Floor</t>
  </si>
  <si>
    <t xml:space="preserve">Approved Floor plan No.
Wing C  </t>
  </si>
  <si>
    <t>Approved Floor plan No.
Row House No.05</t>
  </si>
  <si>
    <t>VVCMC/TP/AMEND/VP/0393/73/2022-23</t>
  </si>
  <si>
    <t>Wing C</t>
  </si>
  <si>
    <t>Ground Floor For Residential, Entrance Lobby, Meter Room  &amp; Society Office</t>
  </si>
  <si>
    <t>1RK</t>
  </si>
  <si>
    <t>Meter Room  &amp; Society Office</t>
  </si>
  <si>
    <t>1st to 7th Floor For Residential</t>
  </si>
  <si>
    <t>Row House No. 05</t>
  </si>
  <si>
    <t>Gr + 1st to 2nd Floor</t>
  </si>
  <si>
    <t>4BHK</t>
  </si>
  <si>
    <t xml:space="preserve">Details of Residential in Building   </t>
  </si>
  <si>
    <r>
      <t xml:space="preserve">Shop No.
</t>
    </r>
    <r>
      <rPr>
        <b/>
        <sz val="11"/>
        <rFont val="Times New Roman"/>
        <family val="1"/>
      </rPr>
      <t>(Approved Plan)</t>
    </r>
  </si>
  <si>
    <r>
      <t xml:space="preserve">Flat No.
</t>
    </r>
    <r>
      <rPr>
        <b/>
        <sz val="11"/>
        <rFont val="Times New Roman"/>
        <family val="1"/>
      </rPr>
      <t>(Approved Plan)</t>
    </r>
  </si>
  <si>
    <t>Wing C Flats</t>
  </si>
  <si>
    <t>Kunal Kadam</t>
  </si>
  <si>
    <t>Mr. Sameer Shaikh 8329536714</t>
  </si>
  <si>
    <t>01 Building</t>
  </si>
  <si>
    <t>Flats - 22</t>
  </si>
  <si>
    <t>Navnath Bhatkar</t>
  </si>
  <si>
    <t>Construction work is in process (Slow Speed).</t>
  </si>
  <si>
    <t xml:space="preserve">Parking is not provided in this Project.
</t>
  </si>
  <si>
    <t xml:space="preserve">As per Rera, The project Kashidham NX Consist of Building No.1 Wing C &amp; Row House No. 05. But as per the discussion with Mr. Rishi daswani, they have informed us that Row House No. 05 has been eliminated from the project. 
Hence We have drafted only Wing C in the report.
 </t>
  </si>
  <si>
    <t>Mr. Rishi Daswani 9823787092</t>
  </si>
  <si>
    <t>Bhandar Aali</t>
  </si>
  <si>
    <t>We considered Gross carpet area = Net carpet.</t>
  </si>
  <si>
    <t>Fungible area</t>
  </si>
  <si>
    <t>Approved Plans, CC &amp; Sale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</si>
</sst>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74">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4" fillId="2" borderId="0" xfId="1" applyFont="1" applyFill="1"/>
    <xf numFmtId="14" fontId="11"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4" xfId="0" applyBorder="1" applyAlignment="1">
      <alignment vertical="top"/>
    </xf>
    <xf numFmtId="0" fontId="0" fillId="0" borderId="35" xfId="0" applyBorder="1" applyAlignment="1">
      <alignment vertical="top" wrapText="1"/>
    </xf>
    <xf numFmtId="0" fontId="0" fillId="0" borderId="36"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5"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6" fillId="0" borderId="0" xfId="1" applyNumberFormat="1" applyFont="1"/>
    <xf numFmtId="0" fontId="0" fillId="0" borderId="37" xfId="0" applyBorder="1" applyAlignment="1">
      <alignment vertical="top" wrapText="1"/>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0" fontId="11" fillId="0" borderId="0" xfId="0" applyFont="1" applyAlignment="1">
      <alignment horizontal="center" vertical="center"/>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5" fillId="0" borderId="0" xfId="1" applyNumberFormat="1" applyFont="1" applyAlignment="1" applyProtection="1">
      <alignment horizontal="center" vertical="center"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6" fillId="0" borderId="25" xfId="1" applyFont="1" applyBorder="1" applyAlignment="1">
      <alignment horizontal="center"/>
    </xf>
    <xf numFmtId="0" fontId="6" fillId="0" borderId="0" xfId="1" applyFont="1" applyAlignment="1">
      <alignment horizontal="center"/>
    </xf>
    <xf numFmtId="167" fontId="14" fillId="0" borderId="1" xfId="9" applyNumberFormat="1" applyFont="1" applyFill="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1" fontId="11" fillId="0" borderId="8"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 fontId="5"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11" fillId="0" borderId="2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left"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0" fontId="7" fillId="0" borderId="16" xfId="1" applyFont="1" applyBorder="1" applyAlignment="1" applyProtection="1">
      <alignment horizontal="left" vertical="top"/>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12" fillId="0" borderId="16" xfId="1" applyFont="1" applyBorder="1" applyAlignment="1" applyProtection="1">
      <alignment horizontal="center" vertical="top"/>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7" fillId="0" borderId="16" xfId="1" applyFont="1" applyBorder="1" applyAlignment="1" applyProtection="1">
      <alignment horizontal="center" vertical="top"/>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left"/>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14" fillId="0" borderId="25" xfId="1" applyFont="1" applyBorder="1" applyAlignment="1" applyProtection="1">
      <alignment horizontal="left" vertical="top" wrapText="1"/>
      <protection locked="0"/>
    </xf>
    <xf numFmtId="0" fontId="14" fillId="0" borderId="26"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17" xfId="1" applyFont="1" applyBorder="1" applyAlignment="1" applyProtection="1">
      <alignment horizontal="center" vertical="top" wrapText="1"/>
      <protection locked="0"/>
    </xf>
    <xf numFmtId="0" fontId="5" fillId="0" borderId="24" xfId="1" applyFont="1" applyBorder="1" applyAlignment="1" applyProtection="1">
      <alignment horizontal="center" vertical="top" wrapText="1"/>
      <protection locked="0"/>
    </xf>
    <xf numFmtId="0" fontId="5" fillId="0" borderId="18" xfId="1" applyFont="1" applyBorder="1" applyAlignment="1" applyProtection="1">
      <alignment horizontal="center" vertical="top" wrapText="1"/>
      <protection locked="0"/>
    </xf>
    <xf numFmtId="0" fontId="5" fillId="0" borderId="19" xfId="1" applyFont="1" applyBorder="1" applyAlignment="1" applyProtection="1">
      <alignment horizontal="center" vertical="top" wrapText="1"/>
      <protection locked="0"/>
    </xf>
    <xf numFmtId="0" fontId="5" fillId="0" borderId="2" xfId="1" applyFont="1" applyBorder="1" applyAlignment="1" applyProtection="1">
      <alignment horizontal="center" vertical="top" wrapText="1"/>
      <protection locked="0"/>
    </xf>
    <xf numFmtId="0" fontId="5" fillId="0" borderId="20" xfId="1" applyFont="1" applyBorder="1" applyAlignment="1" applyProtection="1">
      <alignment horizontal="center" vertical="top" wrapText="1"/>
      <protection locked="0"/>
    </xf>
    <xf numFmtId="2" fontId="5" fillId="0" borderId="1" xfId="1" applyNumberFormat="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24" xfId="1" applyFont="1" applyBorder="1" applyAlignment="1" applyProtection="1">
      <alignment horizontal="left" vertical="top" wrapText="1"/>
      <protection locked="0"/>
    </xf>
    <xf numFmtId="0" fontId="6" fillId="0" borderId="0" xfId="1" applyFont="1" applyAlignment="1">
      <alignment horizontal="center" vertical="center"/>
    </xf>
    <xf numFmtId="1" fontId="6" fillId="0" borderId="1" xfId="0" applyNumberFormat="1" applyFont="1" applyBorder="1" applyAlignment="1" applyProtection="1">
      <alignment horizontal="center" vertical="center"/>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9" fontId="11" fillId="0" borderId="17"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25" fillId="0" borderId="1" xfId="10" applyFill="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0" fontId="11" fillId="0" borderId="16" xfId="1" applyFont="1" applyBorder="1" applyAlignment="1" applyProtection="1">
      <alignment horizontal="left" vertical="top" wrapText="1"/>
      <protection locked="0"/>
    </xf>
    <xf numFmtId="9" fontId="6" fillId="0" borderId="17"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0" fontId="11" fillId="0" borderId="1" xfId="1" applyFont="1" applyBorder="1" applyAlignment="1" applyProtection="1">
      <alignment horizontal="center" vertical="top" wrapText="1"/>
      <protection locked="0"/>
    </xf>
    <xf numFmtId="0" fontId="11" fillId="0" borderId="5" xfId="1" applyFont="1" applyBorder="1" applyAlignment="1" applyProtection="1">
      <alignment horizontal="center" vertical="top"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9" fontId="11" fillId="0" borderId="18"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0" fontId="8" fillId="0" borderId="1" xfId="5" applyFont="1" applyBorder="1" applyAlignment="1">
      <alignment horizontal="left"/>
    </xf>
    <xf numFmtId="0" fontId="0" fillId="0" borderId="25" xfId="0" applyBorder="1" applyAlignment="1">
      <alignment horizontal="left" vertical="top" wrapText="1"/>
    </xf>
    <xf numFmtId="0" fontId="0" fillId="0" borderId="0" xfId="0" applyAlignment="1">
      <alignment horizontal="left" vertical="top" wrapText="1"/>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2" fontId="6" fillId="0" borderId="0" xfId="1" applyNumberFormat="1" applyFont="1"/>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jp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jp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g"/><Relationship Id="rId5" Type="http://schemas.openxmlformats.org/officeDocument/2006/relationships/image" Target="../media/image5.png"/><Relationship Id="rId15" Type="http://schemas.openxmlformats.org/officeDocument/2006/relationships/image" Target="../media/image15.jpg"/><Relationship Id="rId10" Type="http://schemas.openxmlformats.org/officeDocument/2006/relationships/image" Target="../media/image10.jpg"/><Relationship Id="rId4" Type="http://schemas.openxmlformats.org/officeDocument/2006/relationships/image" Target="../media/image4.png"/><Relationship Id="rId9" Type="http://schemas.openxmlformats.org/officeDocument/2006/relationships/image" Target="../media/image9.jpg"/><Relationship Id="rId14" Type="http://schemas.openxmlformats.org/officeDocument/2006/relationships/image" Target="../media/image14.jpg"/></Relationships>
</file>

<file path=xl/drawings/_rels/drawing2.xml.rels><?xml version="1.0" encoding="UTF-8" standalone="yes"?>
<Relationships xmlns="http://schemas.openxmlformats.org/package/2006/relationships"><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9</xdr:col>
      <xdr:colOff>45720</xdr:colOff>
      <xdr:row>41</xdr:row>
      <xdr:rowOff>38101</xdr:rowOff>
    </xdr:from>
    <xdr:to>
      <xdr:col>12</xdr:col>
      <xdr:colOff>411120</xdr:colOff>
      <xdr:row>49</xdr:row>
      <xdr:rowOff>94976</xdr:rowOff>
    </xdr:to>
    <xdr:pic>
      <xdr:nvPicPr>
        <xdr:cNvPr id="2" name="Picture 1">
          <a:extLst>
            <a:ext uri="{FF2B5EF4-FFF2-40B4-BE49-F238E27FC236}">
              <a16:creationId xmlns:a16="http://schemas.microsoft.com/office/drawing/2014/main" id="{8CFA2060-9974-D615-7FDA-9A7B23041AF3}"/>
            </a:ext>
          </a:extLst>
        </xdr:cNvPr>
        <xdr:cNvPicPr>
          <a:picLocks noChangeAspect="1"/>
        </xdr:cNvPicPr>
      </xdr:nvPicPr>
      <xdr:blipFill>
        <a:blip xmlns:r="http://schemas.openxmlformats.org/officeDocument/2006/relationships" r:embed="rId1"/>
        <a:stretch>
          <a:fillRect/>
        </a:stretch>
      </xdr:blipFill>
      <xdr:spPr>
        <a:xfrm>
          <a:off x="7726680" y="9174481"/>
          <a:ext cx="2880000" cy="1870435"/>
        </a:xfrm>
        <a:prstGeom prst="rect">
          <a:avLst/>
        </a:prstGeom>
      </xdr:spPr>
    </xdr:pic>
    <xdr:clientData/>
  </xdr:twoCellAnchor>
  <xdr:oneCellAnchor>
    <xdr:from>
      <xdr:col>8</xdr:col>
      <xdr:colOff>1036320</xdr:colOff>
      <xdr:row>50</xdr:row>
      <xdr:rowOff>45720</xdr:rowOff>
    </xdr:from>
    <xdr:ext cx="3600000" cy="522581"/>
    <xdr:pic>
      <xdr:nvPicPr>
        <xdr:cNvPr id="4" name="Picture 3">
          <a:extLst>
            <a:ext uri="{FF2B5EF4-FFF2-40B4-BE49-F238E27FC236}">
              <a16:creationId xmlns:a16="http://schemas.microsoft.com/office/drawing/2014/main" id="{6A5D673C-C9FA-4515-8AB7-34ADD7A676CE}"/>
            </a:ext>
          </a:extLst>
        </xdr:cNvPr>
        <xdr:cNvPicPr>
          <a:picLocks noChangeAspect="1"/>
        </xdr:cNvPicPr>
      </xdr:nvPicPr>
      <xdr:blipFill>
        <a:blip xmlns:r="http://schemas.openxmlformats.org/officeDocument/2006/relationships" r:embed="rId2"/>
        <a:stretch>
          <a:fillRect/>
        </a:stretch>
      </xdr:blipFill>
      <xdr:spPr>
        <a:xfrm>
          <a:off x="7520940" y="11193780"/>
          <a:ext cx="3600000" cy="522581"/>
        </a:xfrm>
        <a:prstGeom prst="rect">
          <a:avLst/>
        </a:prstGeom>
      </xdr:spPr>
    </xdr:pic>
    <xdr:clientData/>
  </xdr:oneCellAnchor>
  <xdr:twoCellAnchor editAs="oneCell">
    <xdr:from>
      <xdr:col>9</xdr:col>
      <xdr:colOff>434340</xdr:colOff>
      <xdr:row>51</xdr:row>
      <xdr:rowOff>396241</xdr:rowOff>
    </xdr:from>
    <xdr:to>
      <xdr:col>13</xdr:col>
      <xdr:colOff>704400</xdr:colOff>
      <xdr:row>68</xdr:row>
      <xdr:rowOff>84474</xdr:rowOff>
    </xdr:to>
    <xdr:pic>
      <xdr:nvPicPr>
        <xdr:cNvPr id="5" name="Picture 4">
          <a:extLst>
            <a:ext uri="{FF2B5EF4-FFF2-40B4-BE49-F238E27FC236}">
              <a16:creationId xmlns:a16="http://schemas.microsoft.com/office/drawing/2014/main" id="{36A8E964-9E79-B2B3-3248-DD9AD495E8D1}"/>
            </a:ext>
          </a:extLst>
        </xdr:cNvPr>
        <xdr:cNvPicPr>
          <a:picLocks noChangeAspect="1"/>
        </xdr:cNvPicPr>
      </xdr:nvPicPr>
      <xdr:blipFill>
        <a:blip xmlns:r="http://schemas.openxmlformats.org/officeDocument/2006/relationships" r:embed="rId3"/>
        <a:stretch>
          <a:fillRect/>
        </a:stretch>
      </xdr:blipFill>
      <xdr:spPr>
        <a:xfrm>
          <a:off x="8115300" y="11993881"/>
          <a:ext cx="3600000" cy="1722773"/>
        </a:xfrm>
        <a:prstGeom prst="rect">
          <a:avLst/>
        </a:prstGeom>
      </xdr:spPr>
    </xdr:pic>
    <xdr:clientData/>
  </xdr:twoCellAnchor>
  <xdr:twoCellAnchor>
    <xdr:from>
      <xdr:col>0</xdr:col>
      <xdr:colOff>190500</xdr:colOff>
      <xdr:row>224</xdr:row>
      <xdr:rowOff>15240</xdr:rowOff>
    </xdr:from>
    <xdr:to>
      <xdr:col>7</xdr:col>
      <xdr:colOff>580260</xdr:colOff>
      <xdr:row>263</xdr:row>
      <xdr:rowOff>0</xdr:rowOff>
    </xdr:to>
    <xdr:grpSp>
      <xdr:nvGrpSpPr>
        <xdr:cNvPr id="6" name="Group 5">
          <a:extLst>
            <a:ext uri="{FF2B5EF4-FFF2-40B4-BE49-F238E27FC236}">
              <a16:creationId xmlns:a16="http://schemas.microsoft.com/office/drawing/2014/main" id="{974E0AAD-FEFB-5556-D573-3C04E0A701E1}"/>
            </a:ext>
          </a:extLst>
        </xdr:cNvPr>
        <xdr:cNvGrpSpPr/>
      </xdr:nvGrpSpPr>
      <xdr:grpSpPr>
        <a:xfrm>
          <a:off x="190500" y="36835080"/>
          <a:ext cx="6120000" cy="7711440"/>
          <a:chOff x="369000" y="250194"/>
          <a:chExt cx="6120000" cy="7921199"/>
        </a:xfrm>
      </xdr:grpSpPr>
      <xdr:grpSp>
        <xdr:nvGrpSpPr>
          <xdr:cNvPr id="7" name="Group 6">
            <a:extLst>
              <a:ext uri="{FF2B5EF4-FFF2-40B4-BE49-F238E27FC236}">
                <a16:creationId xmlns:a16="http://schemas.microsoft.com/office/drawing/2014/main" id="{01D56D3F-10C9-CF5F-AEEE-D61B13824405}"/>
              </a:ext>
            </a:extLst>
          </xdr:cNvPr>
          <xdr:cNvGrpSpPr/>
        </xdr:nvGrpSpPr>
        <xdr:grpSpPr>
          <a:xfrm>
            <a:off x="369000" y="250194"/>
            <a:ext cx="6120000" cy="4865504"/>
            <a:chOff x="369000" y="250194"/>
            <a:chExt cx="6120000" cy="4865504"/>
          </a:xfrm>
        </xdr:grpSpPr>
        <xdr:pic>
          <xdr:nvPicPr>
            <xdr:cNvPr id="9" name="Picture 8">
              <a:extLst>
                <a:ext uri="{FF2B5EF4-FFF2-40B4-BE49-F238E27FC236}">
                  <a16:creationId xmlns:a16="http://schemas.microsoft.com/office/drawing/2014/main" id="{52A53044-2141-220C-D37F-D297D5D86EAF}"/>
                </a:ext>
              </a:extLst>
            </xdr:cNvPr>
            <xdr:cNvPicPr>
              <a:picLocks noChangeAspect="1"/>
            </xdr:cNvPicPr>
          </xdr:nvPicPr>
          <xdr:blipFill>
            <a:blip xmlns:r="http://schemas.openxmlformats.org/officeDocument/2006/relationships" r:embed="rId4"/>
            <a:stretch>
              <a:fillRect/>
            </a:stretch>
          </xdr:blipFill>
          <xdr:spPr>
            <a:xfrm>
              <a:off x="369000" y="250194"/>
              <a:ext cx="6120000" cy="4865504"/>
            </a:xfrm>
            <a:prstGeom prst="rect">
              <a:avLst/>
            </a:prstGeom>
            <a:ln>
              <a:solidFill>
                <a:schemeClr val="tx1"/>
              </a:solidFill>
            </a:ln>
          </xdr:spPr>
        </xdr:pic>
        <xdr:sp macro="" textlink="">
          <xdr:nvSpPr>
            <xdr:cNvPr id="10" name="Rectangle 9">
              <a:extLst>
                <a:ext uri="{FF2B5EF4-FFF2-40B4-BE49-F238E27FC236}">
                  <a16:creationId xmlns:a16="http://schemas.microsoft.com/office/drawing/2014/main" id="{A96FCD17-543D-F830-2538-4927682B5725}"/>
                </a:ext>
              </a:extLst>
            </xdr:cNvPr>
            <xdr:cNvSpPr/>
          </xdr:nvSpPr>
          <xdr:spPr>
            <a:xfrm>
              <a:off x="841248" y="658368"/>
              <a:ext cx="841248" cy="1322832"/>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1" name="TextBox 4">
              <a:extLst>
                <a:ext uri="{FF2B5EF4-FFF2-40B4-BE49-F238E27FC236}">
                  <a16:creationId xmlns:a16="http://schemas.microsoft.com/office/drawing/2014/main" id="{88237152-D269-C008-E74E-19B76B641E49}"/>
                </a:ext>
              </a:extLst>
            </xdr:cNvPr>
            <xdr:cNvSpPr txBox="1"/>
          </xdr:nvSpPr>
          <xdr:spPr>
            <a:xfrm>
              <a:off x="890016" y="381369"/>
              <a:ext cx="636713"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Wing C</a:t>
              </a:r>
              <a:endParaRPr lang="en-IN" sz="1200" b="1">
                <a:solidFill>
                  <a:srgbClr val="FF0000"/>
                </a:solidFill>
              </a:endParaRPr>
            </a:p>
          </xdr:txBody>
        </xdr:sp>
        <xdr:sp macro="" textlink="">
          <xdr:nvSpPr>
            <xdr:cNvPr id="12" name="Rectangle 11">
              <a:extLst>
                <a:ext uri="{FF2B5EF4-FFF2-40B4-BE49-F238E27FC236}">
                  <a16:creationId xmlns:a16="http://schemas.microsoft.com/office/drawing/2014/main" id="{D45CFA84-A77A-42EF-444A-122DCD4130F8}"/>
                </a:ext>
              </a:extLst>
            </xdr:cNvPr>
            <xdr:cNvSpPr/>
          </xdr:nvSpPr>
          <xdr:spPr>
            <a:xfrm>
              <a:off x="1792224" y="2395728"/>
              <a:ext cx="688848" cy="566928"/>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3" name="TextBox 6">
              <a:extLst>
                <a:ext uri="{FF2B5EF4-FFF2-40B4-BE49-F238E27FC236}">
                  <a16:creationId xmlns:a16="http://schemas.microsoft.com/office/drawing/2014/main" id="{5446357D-F059-AC7C-665D-F6757F1E74EB}"/>
                </a:ext>
              </a:extLst>
            </xdr:cNvPr>
            <xdr:cNvSpPr txBox="1"/>
          </xdr:nvSpPr>
          <xdr:spPr>
            <a:xfrm>
              <a:off x="2423299" y="2204484"/>
              <a:ext cx="1316579"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Row House No 05</a:t>
              </a:r>
              <a:endParaRPr lang="en-IN" sz="1200" b="1">
                <a:solidFill>
                  <a:srgbClr val="FF0000"/>
                </a:solidFill>
              </a:endParaRPr>
            </a:p>
          </xdr:txBody>
        </xdr:sp>
        <xdr:sp macro="" textlink="">
          <xdr:nvSpPr>
            <xdr:cNvPr id="14" name="Rectangle 13">
              <a:extLst>
                <a:ext uri="{FF2B5EF4-FFF2-40B4-BE49-F238E27FC236}">
                  <a16:creationId xmlns:a16="http://schemas.microsoft.com/office/drawing/2014/main" id="{8E607F03-AD36-2DAE-8DC7-7CBC90735F74}"/>
                </a:ext>
              </a:extLst>
            </xdr:cNvPr>
            <xdr:cNvSpPr/>
          </xdr:nvSpPr>
          <xdr:spPr>
            <a:xfrm>
              <a:off x="2177778" y="3029712"/>
              <a:ext cx="3139440" cy="1633728"/>
            </a:xfrm>
            <a:prstGeom prst="rect">
              <a:avLst/>
            </a:prstGeom>
            <a:noFill/>
            <a:ln>
              <a:solidFill>
                <a:srgbClr val="20242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5" name="TextBox 8">
              <a:extLst>
                <a:ext uri="{FF2B5EF4-FFF2-40B4-BE49-F238E27FC236}">
                  <a16:creationId xmlns:a16="http://schemas.microsoft.com/office/drawing/2014/main" id="{CE7D17D4-8CC2-7B56-AE1F-8946C73185A3}"/>
                </a:ext>
              </a:extLst>
            </xdr:cNvPr>
            <xdr:cNvSpPr txBox="1"/>
          </xdr:nvSpPr>
          <xdr:spPr>
            <a:xfrm>
              <a:off x="3977086" y="4674125"/>
              <a:ext cx="845103" cy="43088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050" b="1"/>
                <a:t>Kashidham </a:t>
              </a:r>
            </a:p>
            <a:p>
              <a:r>
                <a:rPr lang="en-IN" sz="1050" b="1"/>
                <a:t>Wing A &amp; B</a:t>
              </a:r>
            </a:p>
          </xdr:txBody>
        </xdr:sp>
      </xdr:grpSp>
      <xdr:pic>
        <xdr:nvPicPr>
          <xdr:cNvPr id="8" name="Picture 7">
            <a:extLst>
              <a:ext uri="{FF2B5EF4-FFF2-40B4-BE49-F238E27FC236}">
                <a16:creationId xmlns:a16="http://schemas.microsoft.com/office/drawing/2014/main" id="{2F184A5A-ED82-C56C-16AE-615F8BA80A3C}"/>
              </a:ext>
            </a:extLst>
          </xdr:cNvPr>
          <xdr:cNvPicPr>
            <a:picLocks noChangeAspect="1"/>
          </xdr:cNvPicPr>
        </xdr:nvPicPr>
        <xdr:blipFill>
          <a:blip xmlns:r="http://schemas.openxmlformats.org/officeDocument/2006/relationships" r:embed="rId5"/>
          <a:stretch>
            <a:fillRect/>
          </a:stretch>
        </xdr:blipFill>
        <xdr:spPr>
          <a:xfrm>
            <a:off x="729000" y="5246873"/>
            <a:ext cx="5400000" cy="2924520"/>
          </a:xfrm>
          <a:prstGeom prst="rect">
            <a:avLst/>
          </a:prstGeom>
          <a:ln>
            <a:solidFill>
              <a:schemeClr val="tx1"/>
            </a:solidFill>
          </a:ln>
        </xdr:spPr>
      </xdr:pic>
    </xdr:grpSp>
    <xdr:clientData/>
  </xdr:twoCellAnchor>
  <xdr:twoCellAnchor>
    <xdr:from>
      <xdr:col>0</xdr:col>
      <xdr:colOff>746760</xdr:colOff>
      <xdr:row>266</xdr:row>
      <xdr:rowOff>22860</xdr:rowOff>
    </xdr:from>
    <xdr:to>
      <xdr:col>7</xdr:col>
      <xdr:colOff>56520</xdr:colOff>
      <xdr:row>302</xdr:row>
      <xdr:rowOff>8842</xdr:rowOff>
    </xdr:to>
    <xdr:grpSp>
      <xdr:nvGrpSpPr>
        <xdr:cNvPr id="16" name="Group 15">
          <a:extLst>
            <a:ext uri="{FF2B5EF4-FFF2-40B4-BE49-F238E27FC236}">
              <a16:creationId xmlns:a16="http://schemas.microsoft.com/office/drawing/2014/main" id="{6D47D66B-AEC9-26E2-E133-E499EFAEDB49}"/>
            </a:ext>
          </a:extLst>
        </xdr:cNvPr>
        <xdr:cNvGrpSpPr/>
      </xdr:nvGrpSpPr>
      <xdr:grpSpPr>
        <a:xfrm>
          <a:off x="746760" y="45163740"/>
          <a:ext cx="5040000" cy="7118302"/>
          <a:chOff x="1075038" y="462256"/>
          <a:chExt cx="5040000" cy="7118302"/>
        </a:xfrm>
      </xdr:grpSpPr>
      <xdr:pic>
        <xdr:nvPicPr>
          <xdr:cNvPr id="17" name="Picture 16">
            <a:extLst>
              <a:ext uri="{FF2B5EF4-FFF2-40B4-BE49-F238E27FC236}">
                <a16:creationId xmlns:a16="http://schemas.microsoft.com/office/drawing/2014/main" id="{6C72E395-6A2C-8E54-BED7-9601F50C63F6}"/>
              </a:ext>
            </a:extLst>
          </xdr:cNvPr>
          <xdr:cNvPicPr>
            <a:picLocks noChangeAspect="1"/>
          </xdr:cNvPicPr>
        </xdr:nvPicPr>
        <xdr:blipFill>
          <a:blip xmlns:r="http://schemas.openxmlformats.org/officeDocument/2006/relationships" r:embed="rId6" cstate="hqprint">
            <a:extLst>
              <a:ext uri="{28A0092B-C50C-407E-A947-70E740481C1C}">
                <a14:useLocalDpi xmlns:a14="http://schemas.microsoft.com/office/drawing/2010/main"/>
              </a:ext>
            </a:extLst>
          </a:blip>
          <a:srcRect/>
          <a:stretch/>
        </xdr:blipFill>
        <xdr:spPr>
          <a:xfrm>
            <a:off x="1075038" y="462256"/>
            <a:ext cx="5040000" cy="3585917"/>
          </a:xfrm>
          <a:prstGeom prst="rect">
            <a:avLst/>
          </a:prstGeom>
          <a:ln>
            <a:solidFill>
              <a:schemeClr val="tx1"/>
            </a:solidFill>
          </a:ln>
        </xdr:spPr>
      </xdr:pic>
      <xdr:grpSp>
        <xdr:nvGrpSpPr>
          <xdr:cNvPr id="18" name="Group 17">
            <a:extLst>
              <a:ext uri="{FF2B5EF4-FFF2-40B4-BE49-F238E27FC236}">
                <a16:creationId xmlns:a16="http://schemas.microsoft.com/office/drawing/2014/main" id="{30826557-92E6-6219-FF15-0EAFD91C5D62}"/>
              </a:ext>
            </a:extLst>
          </xdr:cNvPr>
          <xdr:cNvGrpSpPr/>
        </xdr:nvGrpSpPr>
        <xdr:grpSpPr>
          <a:xfrm>
            <a:off x="1075038" y="4163609"/>
            <a:ext cx="5040000" cy="3416949"/>
            <a:chOff x="1075038" y="4262669"/>
            <a:chExt cx="5040000" cy="3416949"/>
          </a:xfrm>
        </xdr:grpSpPr>
        <xdr:pic>
          <xdr:nvPicPr>
            <xdr:cNvPr id="19" name="Picture 18">
              <a:extLst>
                <a:ext uri="{FF2B5EF4-FFF2-40B4-BE49-F238E27FC236}">
                  <a16:creationId xmlns:a16="http://schemas.microsoft.com/office/drawing/2014/main" id="{68B984DA-A48C-57F8-51FB-D12F7999B0DB}"/>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a:ext>
              </a:extLst>
            </a:blip>
            <a:srcRect/>
            <a:stretch/>
          </xdr:blipFill>
          <xdr:spPr>
            <a:xfrm>
              <a:off x="1075038" y="4262669"/>
              <a:ext cx="5040000" cy="3416949"/>
            </a:xfrm>
            <a:prstGeom prst="rect">
              <a:avLst/>
            </a:prstGeom>
            <a:ln>
              <a:solidFill>
                <a:schemeClr val="tx1"/>
              </a:solidFill>
            </a:ln>
          </xdr:spPr>
        </xdr:pic>
        <xdr:sp macro="" textlink="">
          <xdr:nvSpPr>
            <xdr:cNvPr id="20" name="Rectangle 19">
              <a:extLst>
                <a:ext uri="{FF2B5EF4-FFF2-40B4-BE49-F238E27FC236}">
                  <a16:creationId xmlns:a16="http://schemas.microsoft.com/office/drawing/2014/main" id="{0FE93B19-9E33-3CDF-75AF-5DF37549FD48}"/>
                </a:ext>
              </a:extLst>
            </xdr:cNvPr>
            <xdr:cNvSpPr/>
          </xdr:nvSpPr>
          <xdr:spPr>
            <a:xfrm>
              <a:off x="2804160" y="5539740"/>
              <a:ext cx="849630" cy="853440"/>
            </a:xfrm>
            <a:prstGeom prst="rect">
              <a:avLst/>
            </a:prstGeom>
            <a:noFill/>
            <a:ln w="28575">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grpSp>
    <xdr:clientData/>
  </xdr:twoCellAnchor>
  <xdr:twoCellAnchor>
    <xdr:from>
      <xdr:col>0</xdr:col>
      <xdr:colOff>251460</xdr:colOff>
      <xdr:row>183</xdr:row>
      <xdr:rowOff>15240</xdr:rowOff>
    </xdr:from>
    <xdr:to>
      <xdr:col>7</xdr:col>
      <xdr:colOff>442825</xdr:colOff>
      <xdr:row>219</xdr:row>
      <xdr:rowOff>26460</xdr:rowOff>
    </xdr:to>
    <xdr:grpSp>
      <xdr:nvGrpSpPr>
        <xdr:cNvPr id="3" name="Group 2">
          <a:extLst>
            <a:ext uri="{FF2B5EF4-FFF2-40B4-BE49-F238E27FC236}">
              <a16:creationId xmlns:a16="http://schemas.microsoft.com/office/drawing/2014/main" id="{96DA165F-67DC-78DD-072C-3ADC6D68C61D}"/>
            </a:ext>
          </a:extLst>
        </xdr:cNvPr>
        <xdr:cNvGrpSpPr/>
      </xdr:nvGrpSpPr>
      <xdr:grpSpPr>
        <a:xfrm>
          <a:off x="251460" y="28719780"/>
          <a:ext cx="5921605" cy="7135920"/>
          <a:chOff x="262652" y="167640"/>
          <a:chExt cx="5921605" cy="7135920"/>
        </a:xfrm>
      </xdr:grpSpPr>
      <xdr:grpSp>
        <xdr:nvGrpSpPr>
          <xdr:cNvPr id="21" name="Group 20">
            <a:extLst>
              <a:ext uri="{FF2B5EF4-FFF2-40B4-BE49-F238E27FC236}">
                <a16:creationId xmlns:a16="http://schemas.microsoft.com/office/drawing/2014/main" id="{5CC6A271-3B09-CE97-BF7F-7A7AEA26A08A}"/>
              </a:ext>
            </a:extLst>
          </xdr:cNvPr>
          <xdr:cNvGrpSpPr/>
        </xdr:nvGrpSpPr>
        <xdr:grpSpPr>
          <a:xfrm>
            <a:off x="262652" y="2835600"/>
            <a:ext cx="5921605" cy="2520000"/>
            <a:chOff x="262652" y="2835600"/>
            <a:chExt cx="5921605" cy="2520000"/>
          </a:xfrm>
        </xdr:grpSpPr>
        <xdr:pic>
          <xdr:nvPicPr>
            <xdr:cNvPr id="30" name="Picture 29">
              <a:extLst>
                <a:ext uri="{FF2B5EF4-FFF2-40B4-BE49-F238E27FC236}">
                  <a16:creationId xmlns:a16="http://schemas.microsoft.com/office/drawing/2014/main" id="{A21B0C01-C567-3D6E-13C8-71D8D4E41330}"/>
                </a:ext>
              </a:extLst>
            </xdr:cNvPr>
            <xdr:cNvPicPr>
              <a:picLocks noChangeAspect="1"/>
            </xdr:cNvPicPr>
          </xdr:nvPicPr>
          <xdr:blipFill>
            <a:blip xmlns:r="http://schemas.openxmlformats.org/officeDocument/2006/relationships" r:embed="rId8" cstate="hqprint">
              <a:extLst>
                <a:ext uri="{28A0092B-C50C-407E-A947-70E740481C1C}">
                  <a14:useLocalDpi xmlns:a14="http://schemas.microsoft.com/office/drawing/2010/main"/>
                </a:ext>
              </a:extLst>
            </a:blip>
            <a:stretch>
              <a:fillRect/>
            </a:stretch>
          </xdr:blipFill>
          <xdr:spPr>
            <a:xfrm>
              <a:off x="262652" y="2835600"/>
              <a:ext cx="1888031" cy="2520000"/>
            </a:xfrm>
            <a:prstGeom prst="rect">
              <a:avLst/>
            </a:prstGeom>
            <a:ln>
              <a:solidFill>
                <a:schemeClr val="tx1"/>
              </a:solidFill>
            </a:ln>
          </xdr:spPr>
        </xdr:pic>
        <xdr:pic>
          <xdr:nvPicPr>
            <xdr:cNvPr id="31" name="Picture 30">
              <a:extLst>
                <a:ext uri="{FF2B5EF4-FFF2-40B4-BE49-F238E27FC236}">
                  <a16:creationId xmlns:a16="http://schemas.microsoft.com/office/drawing/2014/main" id="{88CDC799-F39A-71B4-71CD-EE2E1795035D}"/>
                </a:ext>
              </a:extLst>
            </xdr:cNvPr>
            <xdr:cNvPicPr>
              <a:picLocks noChangeAspect="1"/>
            </xdr:cNvPicPr>
          </xdr:nvPicPr>
          <xdr:blipFill>
            <a:blip xmlns:r="http://schemas.openxmlformats.org/officeDocument/2006/relationships" r:embed="rId9" cstate="hqprint">
              <a:extLst>
                <a:ext uri="{28A0092B-C50C-407E-A947-70E740481C1C}">
                  <a14:useLocalDpi xmlns:a14="http://schemas.microsoft.com/office/drawing/2010/main"/>
                </a:ext>
              </a:extLst>
            </a:blip>
            <a:stretch>
              <a:fillRect/>
            </a:stretch>
          </xdr:blipFill>
          <xdr:spPr>
            <a:xfrm>
              <a:off x="2274333" y="2835600"/>
              <a:ext cx="1888031" cy="2520000"/>
            </a:xfrm>
            <a:prstGeom prst="rect">
              <a:avLst/>
            </a:prstGeom>
            <a:ln>
              <a:solidFill>
                <a:schemeClr val="tx1"/>
              </a:solidFill>
            </a:ln>
          </xdr:spPr>
        </xdr:pic>
        <xdr:pic>
          <xdr:nvPicPr>
            <xdr:cNvPr id="32" name="Picture 31">
              <a:extLst>
                <a:ext uri="{FF2B5EF4-FFF2-40B4-BE49-F238E27FC236}">
                  <a16:creationId xmlns:a16="http://schemas.microsoft.com/office/drawing/2014/main" id="{7F1AB82B-2B48-FA8C-D99F-AEF38FE7FB41}"/>
                </a:ext>
              </a:extLst>
            </xdr:cNvPr>
            <xdr:cNvPicPr>
              <a:picLocks noChangeAspect="1"/>
            </xdr:cNvPicPr>
          </xdr:nvPicPr>
          <xdr:blipFill>
            <a:blip xmlns:r="http://schemas.openxmlformats.org/officeDocument/2006/relationships" r:embed="rId10" cstate="hqprint">
              <a:extLst>
                <a:ext uri="{28A0092B-C50C-407E-A947-70E740481C1C}">
                  <a14:useLocalDpi xmlns:a14="http://schemas.microsoft.com/office/drawing/2010/main"/>
                </a:ext>
              </a:extLst>
            </a:blip>
            <a:stretch>
              <a:fillRect/>
            </a:stretch>
          </xdr:blipFill>
          <xdr:spPr>
            <a:xfrm>
              <a:off x="4296226" y="2835600"/>
              <a:ext cx="1888031" cy="2520000"/>
            </a:xfrm>
            <a:prstGeom prst="rect">
              <a:avLst/>
            </a:prstGeom>
            <a:ln>
              <a:solidFill>
                <a:schemeClr val="tx1"/>
              </a:solidFill>
            </a:ln>
          </xdr:spPr>
        </xdr:pic>
      </xdr:grpSp>
      <xdr:grpSp>
        <xdr:nvGrpSpPr>
          <xdr:cNvPr id="22" name="Group 21">
            <a:extLst>
              <a:ext uri="{FF2B5EF4-FFF2-40B4-BE49-F238E27FC236}">
                <a16:creationId xmlns:a16="http://schemas.microsoft.com/office/drawing/2014/main" id="{426B1CC5-1A88-F08C-2389-4D1D394FD86D}"/>
              </a:ext>
            </a:extLst>
          </xdr:cNvPr>
          <xdr:cNvGrpSpPr/>
        </xdr:nvGrpSpPr>
        <xdr:grpSpPr>
          <a:xfrm>
            <a:off x="1004378" y="5503560"/>
            <a:ext cx="4438153" cy="1800000"/>
            <a:chOff x="1206667" y="5503560"/>
            <a:chExt cx="4438153" cy="1800000"/>
          </a:xfrm>
        </xdr:grpSpPr>
        <xdr:pic>
          <xdr:nvPicPr>
            <xdr:cNvPr id="27" name="Picture 26">
              <a:extLst>
                <a:ext uri="{FF2B5EF4-FFF2-40B4-BE49-F238E27FC236}">
                  <a16:creationId xmlns:a16="http://schemas.microsoft.com/office/drawing/2014/main" id="{77B29A48-95F2-277E-6E53-CC7BE29010D9}"/>
                </a:ext>
              </a:extLst>
            </xdr:cNvPr>
            <xdr:cNvPicPr>
              <a:picLocks noChangeAspect="1"/>
            </xdr:cNvPicPr>
          </xdr:nvPicPr>
          <xdr:blipFill>
            <a:blip xmlns:r="http://schemas.openxmlformats.org/officeDocument/2006/relationships" r:embed="rId11" cstate="hqprint">
              <a:extLst>
                <a:ext uri="{28A0092B-C50C-407E-A947-70E740481C1C}">
                  <a14:useLocalDpi xmlns:a14="http://schemas.microsoft.com/office/drawing/2010/main"/>
                </a:ext>
              </a:extLst>
            </a:blip>
            <a:stretch>
              <a:fillRect/>
            </a:stretch>
          </xdr:blipFill>
          <xdr:spPr>
            <a:xfrm>
              <a:off x="1206667" y="5503560"/>
              <a:ext cx="1348594" cy="1800000"/>
            </a:xfrm>
            <a:prstGeom prst="rect">
              <a:avLst/>
            </a:prstGeom>
            <a:ln>
              <a:solidFill>
                <a:schemeClr val="tx1"/>
              </a:solidFill>
            </a:ln>
          </xdr:spPr>
        </xdr:pic>
        <xdr:pic>
          <xdr:nvPicPr>
            <xdr:cNvPr id="28" name="Picture 27">
              <a:extLst>
                <a:ext uri="{FF2B5EF4-FFF2-40B4-BE49-F238E27FC236}">
                  <a16:creationId xmlns:a16="http://schemas.microsoft.com/office/drawing/2014/main" id="{B68713B2-09C6-7A29-D7B7-1049177A9831}"/>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2754703" y="5503560"/>
              <a:ext cx="1348594" cy="1800000"/>
            </a:xfrm>
            <a:prstGeom prst="rect">
              <a:avLst/>
            </a:prstGeom>
            <a:ln>
              <a:solidFill>
                <a:schemeClr val="tx1"/>
              </a:solidFill>
            </a:ln>
          </xdr:spPr>
        </xdr:pic>
        <xdr:pic>
          <xdr:nvPicPr>
            <xdr:cNvPr id="29" name="Picture 28">
              <a:extLst>
                <a:ext uri="{FF2B5EF4-FFF2-40B4-BE49-F238E27FC236}">
                  <a16:creationId xmlns:a16="http://schemas.microsoft.com/office/drawing/2014/main" id="{E1BD0765-5A80-DCEB-C417-8C59293BC7F8}"/>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4296226" y="5503560"/>
              <a:ext cx="1348594" cy="1800000"/>
            </a:xfrm>
            <a:prstGeom prst="rect">
              <a:avLst/>
            </a:prstGeom>
            <a:ln>
              <a:solidFill>
                <a:schemeClr val="tx1"/>
              </a:solidFill>
            </a:ln>
          </xdr:spPr>
        </xdr:pic>
      </xdr:grpSp>
      <xdr:grpSp>
        <xdr:nvGrpSpPr>
          <xdr:cNvPr id="23" name="Group 22">
            <a:extLst>
              <a:ext uri="{FF2B5EF4-FFF2-40B4-BE49-F238E27FC236}">
                <a16:creationId xmlns:a16="http://schemas.microsoft.com/office/drawing/2014/main" id="{F75B2201-6532-5DB4-5EB0-B5512910AEB0}"/>
              </a:ext>
            </a:extLst>
          </xdr:cNvPr>
          <xdr:cNvGrpSpPr/>
        </xdr:nvGrpSpPr>
        <xdr:grpSpPr>
          <a:xfrm>
            <a:off x="262652" y="167640"/>
            <a:ext cx="5921604" cy="2520000"/>
            <a:chOff x="262653" y="167640"/>
            <a:chExt cx="5921604" cy="2520000"/>
          </a:xfrm>
        </xdr:grpSpPr>
        <xdr:pic>
          <xdr:nvPicPr>
            <xdr:cNvPr id="24" name="Picture 23">
              <a:extLst>
                <a:ext uri="{FF2B5EF4-FFF2-40B4-BE49-F238E27FC236}">
                  <a16:creationId xmlns:a16="http://schemas.microsoft.com/office/drawing/2014/main" id="{0C937EDE-06A6-9BAC-EB4B-374E3EE91129}"/>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2274333" y="167640"/>
              <a:ext cx="1888031" cy="2520000"/>
            </a:xfrm>
            <a:prstGeom prst="rect">
              <a:avLst/>
            </a:prstGeom>
            <a:ln>
              <a:solidFill>
                <a:schemeClr val="tx1"/>
              </a:solidFill>
            </a:ln>
          </xdr:spPr>
        </xdr:pic>
        <xdr:pic>
          <xdr:nvPicPr>
            <xdr:cNvPr id="25" name="Picture 24">
              <a:extLst>
                <a:ext uri="{FF2B5EF4-FFF2-40B4-BE49-F238E27FC236}">
                  <a16:creationId xmlns:a16="http://schemas.microsoft.com/office/drawing/2014/main" id="{CF2E9EC7-B9F5-B5FA-4F83-92A33DCB9F0F}"/>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4296226" y="167640"/>
              <a:ext cx="1888031" cy="2520000"/>
            </a:xfrm>
            <a:prstGeom prst="rect">
              <a:avLst/>
            </a:prstGeom>
            <a:ln>
              <a:solidFill>
                <a:schemeClr val="tx1"/>
              </a:solidFill>
            </a:ln>
          </xdr:spPr>
        </xdr:pic>
        <xdr:pic>
          <xdr:nvPicPr>
            <xdr:cNvPr id="26" name="Picture 25">
              <a:extLst>
                <a:ext uri="{FF2B5EF4-FFF2-40B4-BE49-F238E27FC236}">
                  <a16:creationId xmlns:a16="http://schemas.microsoft.com/office/drawing/2014/main" id="{1C1DD232-0C85-2EA9-85B8-BD19848EE0F2}"/>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262653" y="167640"/>
              <a:ext cx="1888031"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VRJju2fUDX6oWNAP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265"/>
  <sheetViews>
    <sheetView tabSelected="1" view="pageBreakPreview" topLeftCell="A77" zoomScaleNormal="100" zoomScaleSheetLayoutView="100" zoomScalePageLayoutView="85" workbookViewId="0">
      <selection activeCell="O82" sqref="O82"/>
    </sheetView>
  </sheetViews>
  <sheetFormatPr defaultColWidth="9.109375" defaultRowHeight="15.6" x14ac:dyDescent="0.3"/>
  <cols>
    <col min="1" max="1" width="11.44140625" style="39" customWidth="1"/>
    <col min="2" max="2" width="12" style="39" customWidth="1"/>
    <col min="3" max="3" width="12.6640625" style="39" customWidth="1"/>
    <col min="4" max="4" width="13.6640625" style="39" customWidth="1"/>
    <col min="5" max="5" width="11.6640625" style="39" customWidth="1"/>
    <col min="6" max="6" width="11.109375" style="39" customWidth="1"/>
    <col min="7" max="8" width="11" style="39" customWidth="1"/>
    <col min="9" max="9" width="17.44140625" style="20" customWidth="1"/>
    <col min="10" max="10" width="11.44140625" style="20" customWidth="1"/>
    <col min="11" max="11" width="11.33203125" style="20" bestFit="1" customWidth="1"/>
    <col min="12" max="12" width="13.88671875" style="20" bestFit="1" customWidth="1"/>
    <col min="13" max="13" width="11.88671875" style="20" customWidth="1"/>
    <col min="14" max="14" width="12.5546875" style="20" customWidth="1"/>
    <col min="15" max="15" width="12.109375" style="20" customWidth="1"/>
    <col min="16" max="16" width="11.6640625" style="20" customWidth="1"/>
    <col min="17" max="18" width="9.109375" style="20"/>
    <col min="19" max="19" width="10.88671875" style="20" bestFit="1" customWidth="1"/>
    <col min="20" max="20" width="10.6640625" style="20" customWidth="1"/>
    <col min="21" max="247" width="9.109375" style="20"/>
    <col min="248" max="248" width="8.6640625" style="20" customWidth="1"/>
    <col min="249" max="249" width="9.88671875" style="20" customWidth="1"/>
    <col min="250" max="250" width="14.44140625" style="20" customWidth="1"/>
    <col min="251" max="251" width="7.33203125" style="20" customWidth="1"/>
    <col min="252" max="252" width="5.5546875" style="20" customWidth="1"/>
    <col min="253" max="253" width="9" style="20" customWidth="1"/>
    <col min="254" max="255" width="9.88671875" style="20" customWidth="1"/>
    <col min="256" max="256" width="11.109375" style="20" customWidth="1"/>
    <col min="257" max="257" width="2.88671875" style="20" customWidth="1"/>
    <col min="258" max="258" width="3.5546875" style="20" customWidth="1"/>
    <col min="259" max="503" width="9.109375" style="20"/>
    <col min="504" max="504" width="8.6640625" style="20" customWidth="1"/>
    <col min="505" max="505" width="9.88671875" style="20" customWidth="1"/>
    <col min="506" max="506" width="14.44140625" style="20" customWidth="1"/>
    <col min="507" max="507" width="7.33203125" style="20" customWidth="1"/>
    <col min="508" max="508" width="5.5546875" style="20" customWidth="1"/>
    <col min="509" max="509" width="9" style="20" customWidth="1"/>
    <col min="510" max="511" width="9.88671875" style="20" customWidth="1"/>
    <col min="512" max="512" width="11.109375" style="20" customWidth="1"/>
    <col min="513" max="513" width="2.88671875" style="20" customWidth="1"/>
    <col min="514" max="514" width="3.5546875" style="20" customWidth="1"/>
    <col min="515" max="759" width="9.109375" style="20"/>
    <col min="760" max="760" width="8.6640625" style="20" customWidth="1"/>
    <col min="761" max="761" width="9.88671875" style="20" customWidth="1"/>
    <col min="762" max="762" width="14.44140625" style="20" customWidth="1"/>
    <col min="763" max="763" width="7.33203125" style="20" customWidth="1"/>
    <col min="764" max="764" width="5.5546875" style="20" customWidth="1"/>
    <col min="765" max="765" width="9" style="20" customWidth="1"/>
    <col min="766" max="767" width="9.88671875" style="20" customWidth="1"/>
    <col min="768" max="768" width="11.109375" style="20" customWidth="1"/>
    <col min="769" max="769" width="2.88671875" style="20" customWidth="1"/>
    <col min="770" max="770" width="3.5546875" style="20" customWidth="1"/>
    <col min="771" max="1015" width="9.109375" style="20"/>
    <col min="1016" max="1016" width="8.6640625" style="20" customWidth="1"/>
    <col min="1017" max="1017" width="9.88671875" style="20" customWidth="1"/>
    <col min="1018" max="1018" width="14.44140625" style="20" customWidth="1"/>
    <col min="1019" max="1019" width="7.33203125" style="20" customWidth="1"/>
    <col min="1020" max="1020" width="5.5546875" style="20" customWidth="1"/>
    <col min="1021" max="1021" width="9" style="20" customWidth="1"/>
    <col min="1022" max="1023" width="9.88671875" style="20" customWidth="1"/>
    <col min="1024" max="1024" width="11.109375" style="20" customWidth="1"/>
    <col min="1025" max="1025" width="2.88671875" style="20" customWidth="1"/>
    <col min="1026" max="1026" width="3.5546875" style="20" customWidth="1"/>
    <col min="1027" max="1271" width="9.109375" style="20"/>
    <col min="1272" max="1272" width="8.6640625" style="20" customWidth="1"/>
    <col min="1273" max="1273" width="9.88671875" style="20" customWidth="1"/>
    <col min="1274" max="1274" width="14.44140625" style="20" customWidth="1"/>
    <col min="1275" max="1275" width="7.33203125" style="20" customWidth="1"/>
    <col min="1276" max="1276" width="5.5546875" style="20" customWidth="1"/>
    <col min="1277" max="1277" width="9" style="20" customWidth="1"/>
    <col min="1278" max="1279" width="9.88671875" style="20" customWidth="1"/>
    <col min="1280" max="1280" width="11.109375" style="20" customWidth="1"/>
    <col min="1281" max="1281" width="2.88671875" style="20" customWidth="1"/>
    <col min="1282" max="1282" width="3.5546875" style="20" customWidth="1"/>
    <col min="1283" max="1527" width="9.109375" style="20"/>
    <col min="1528" max="1528" width="8.6640625" style="20" customWidth="1"/>
    <col min="1529" max="1529" width="9.88671875" style="20" customWidth="1"/>
    <col min="1530" max="1530" width="14.44140625" style="20" customWidth="1"/>
    <col min="1531" max="1531" width="7.33203125" style="20" customWidth="1"/>
    <col min="1532" max="1532" width="5.5546875" style="20" customWidth="1"/>
    <col min="1533" max="1533" width="9" style="20" customWidth="1"/>
    <col min="1534" max="1535" width="9.88671875" style="20" customWidth="1"/>
    <col min="1536" max="1536" width="11.109375" style="20" customWidth="1"/>
    <col min="1537" max="1537" width="2.88671875" style="20" customWidth="1"/>
    <col min="1538" max="1538" width="3.5546875" style="20" customWidth="1"/>
    <col min="1539" max="1783" width="9.109375" style="20"/>
    <col min="1784" max="1784" width="8.6640625" style="20" customWidth="1"/>
    <col min="1785" max="1785" width="9.88671875" style="20" customWidth="1"/>
    <col min="1786" max="1786" width="14.44140625" style="20" customWidth="1"/>
    <col min="1787" max="1787" width="7.33203125" style="20" customWidth="1"/>
    <col min="1788" max="1788" width="5.5546875" style="20" customWidth="1"/>
    <col min="1789" max="1789" width="9" style="20" customWidth="1"/>
    <col min="1790" max="1791" width="9.88671875" style="20" customWidth="1"/>
    <col min="1792" max="1792" width="11.109375" style="20" customWidth="1"/>
    <col min="1793" max="1793" width="2.88671875" style="20" customWidth="1"/>
    <col min="1794" max="1794" width="3.5546875" style="20" customWidth="1"/>
    <col min="1795" max="2039" width="9.109375" style="20"/>
    <col min="2040" max="2040" width="8.6640625" style="20" customWidth="1"/>
    <col min="2041" max="2041" width="9.88671875" style="20" customWidth="1"/>
    <col min="2042" max="2042" width="14.44140625" style="20" customWidth="1"/>
    <col min="2043" max="2043" width="7.33203125" style="20" customWidth="1"/>
    <col min="2044" max="2044" width="5.5546875" style="20" customWidth="1"/>
    <col min="2045" max="2045" width="9" style="20" customWidth="1"/>
    <col min="2046" max="2047" width="9.88671875" style="20" customWidth="1"/>
    <col min="2048" max="2048" width="11.109375" style="20" customWidth="1"/>
    <col min="2049" max="2049" width="2.88671875" style="20" customWidth="1"/>
    <col min="2050" max="2050" width="3.5546875" style="20" customWidth="1"/>
    <col min="2051" max="2295" width="9.109375" style="20"/>
    <col min="2296" max="2296" width="8.6640625" style="20" customWidth="1"/>
    <col min="2297" max="2297" width="9.88671875" style="20" customWidth="1"/>
    <col min="2298" max="2298" width="14.44140625" style="20" customWidth="1"/>
    <col min="2299" max="2299" width="7.33203125" style="20" customWidth="1"/>
    <col min="2300" max="2300" width="5.5546875" style="20" customWidth="1"/>
    <col min="2301" max="2301" width="9" style="20" customWidth="1"/>
    <col min="2302" max="2303" width="9.88671875" style="20" customWidth="1"/>
    <col min="2304" max="2304" width="11.109375" style="20" customWidth="1"/>
    <col min="2305" max="2305" width="2.88671875" style="20" customWidth="1"/>
    <col min="2306" max="2306" width="3.5546875" style="20" customWidth="1"/>
    <col min="2307" max="2551" width="9.109375" style="20"/>
    <col min="2552" max="2552" width="8.6640625" style="20" customWidth="1"/>
    <col min="2553" max="2553" width="9.88671875" style="20" customWidth="1"/>
    <col min="2554" max="2554" width="14.44140625" style="20" customWidth="1"/>
    <col min="2555" max="2555" width="7.33203125" style="20" customWidth="1"/>
    <col min="2556" max="2556" width="5.5546875" style="20" customWidth="1"/>
    <col min="2557" max="2557" width="9" style="20" customWidth="1"/>
    <col min="2558" max="2559" width="9.88671875" style="20" customWidth="1"/>
    <col min="2560" max="2560" width="11.109375" style="20" customWidth="1"/>
    <col min="2561" max="2561" width="2.88671875" style="20" customWidth="1"/>
    <col min="2562" max="2562" width="3.5546875" style="20" customWidth="1"/>
    <col min="2563" max="2807" width="9.109375" style="20"/>
    <col min="2808" max="2808" width="8.6640625" style="20" customWidth="1"/>
    <col min="2809" max="2809" width="9.88671875" style="20" customWidth="1"/>
    <col min="2810" max="2810" width="14.44140625" style="20" customWidth="1"/>
    <col min="2811" max="2811" width="7.33203125" style="20" customWidth="1"/>
    <col min="2812" max="2812" width="5.5546875" style="20" customWidth="1"/>
    <col min="2813" max="2813" width="9" style="20" customWidth="1"/>
    <col min="2814" max="2815" width="9.88671875" style="20" customWidth="1"/>
    <col min="2816" max="2816" width="11.109375" style="20" customWidth="1"/>
    <col min="2817" max="2817" width="2.88671875" style="20" customWidth="1"/>
    <col min="2818" max="2818" width="3.5546875" style="20" customWidth="1"/>
    <col min="2819" max="3063" width="9.109375" style="20"/>
    <col min="3064" max="3064" width="8.6640625" style="20" customWidth="1"/>
    <col min="3065" max="3065" width="9.88671875" style="20" customWidth="1"/>
    <col min="3066" max="3066" width="14.44140625" style="20" customWidth="1"/>
    <col min="3067" max="3067" width="7.33203125" style="20" customWidth="1"/>
    <col min="3068" max="3068" width="5.5546875" style="20" customWidth="1"/>
    <col min="3069" max="3069" width="9" style="20" customWidth="1"/>
    <col min="3070" max="3071" width="9.88671875" style="20" customWidth="1"/>
    <col min="3072" max="3072" width="11.109375" style="20" customWidth="1"/>
    <col min="3073" max="3073" width="2.88671875" style="20" customWidth="1"/>
    <col min="3074" max="3074" width="3.5546875" style="20" customWidth="1"/>
    <col min="3075" max="3319" width="9.109375" style="20"/>
    <col min="3320" max="3320" width="8.6640625" style="20" customWidth="1"/>
    <col min="3321" max="3321" width="9.88671875" style="20" customWidth="1"/>
    <col min="3322" max="3322" width="14.44140625" style="20" customWidth="1"/>
    <col min="3323" max="3323" width="7.33203125" style="20" customWidth="1"/>
    <col min="3324" max="3324" width="5.5546875" style="20" customWidth="1"/>
    <col min="3325" max="3325" width="9" style="20" customWidth="1"/>
    <col min="3326" max="3327" width="9.88671875" style="20" customWidth="1"/>
    <col min="3328" max="3328" width="11.109375" style="20" customWidth="1"/>
    <col min="3329" max="3329" width="2.88671875" style="20" customWidth="1"/>
    <col min="3330" max="3330" width="3.5546875" style="20" customWidth="1"/>
    <col min="3331" max="3575" width="9.109375" style="20"/>
    <col min="3576" max="3576" width="8.6640625" style="20" customWidth="1"/>
    <col min="3577" max="3577" width="9.88671875" style="20" customWidth="1"/>
    <col min="3578" max="3578" width="14.44140625" style="20" customWidth="1"/>
    <col min="3579" max="3579" width="7.33203125" style="20" customWidth="1"/>
    <col min="3580" max="3580" width="5.5546875" style="20" customWidth="1"/>
    <col min="3581" max="3581" width="9" style="20" customWidth="1"/>
    <col min="3582" max="3583" width="9.88671875" style="20" customWidth="1"/>
    <col min="3584" max="3584" width="11.109375" style="20" customWidth="1"/>
    <col min="3585" max="3585" width="2.88671875" style="20" customWidth="1"/>
    <col min="3586" max="3586" width="3.5546875" style="20" customWidth="1"/>
    <col min="3587" max="3831" width="9.109375" style="20"/>
    <col min="3832" max="3832" width="8.6640625" style="20" customWidth="1"/>
    <col min="3833" max="3833" width="9.88671875" style="20" customWidth="1"/>
    <col min="3834" max="3834" width="14.44140625" style="20" customWidth="1"/>
    <col min="3835" max="3835" width="7.33203125" style="20" customWidth="1"/>
    <col min="3836" max="3836" width="5.5546875" style="20" customWidth="1"/>
    <col min="3837" max="3837" width="9" style="20" customWidth="1"/>
    <col min="3838" max="3839" width="9.88671875" style="20" customWidth="1"/>
    <col min="3840" max="3840" width="11.109375" style="20" customWidth="1"/>
    <col min="3841" max="3841" width="2.88671875" style="20" customWidth="1"/>
    <col min="3842" max="3842" width="3.5546875" style="20" customWidth="1"/>
    <col min="3843" max="4087" width="9.109375" style="20"/>
    <col min="4088" max="4088" width="8.6640625" style="20" customWidth="1"/>
    <col min="4089" max="4089" width="9.88671875" style="20" customWidth="1"/>
    <col min="4090" max="4090" width="14.44140625" style="20" customWidth="1"/>
    <col min="4091" max="4091" width="7.33203125" style="20" customWidth="1"/>
    <col min="4092" max="4092" width="5.5546875" style="20" customWidth="1"/>
    <col min="4093" max="4093" width="9" style="20" customWidth="1"/>
    <col min="4094" max="4095" width="9.88671875" style="20" customWidth="1"/>
    <col min="4096" max="4096" width="11.109375" style="20" customWidth="1"/>
    <col min="4097" max="4097" width="2.88671875" style="20" customWidth="1"/>
    <col min="4098" max="4098" width="3.5546875" style="20" customWidth="1"/>
    <col min="4099" max="4343" width="9.109375" style="20"/>
    <col min="4344" max="4344" width="8.6640625" style="20" customWidth="1"/>
    <col min="4345" max="4345" width="9.88671875" style="20" customWidth="1"/>
    <col min="4346" max="4346" width="14.44140625" style="20" customWidth="1"/>
    <col min="4347" max="4347" width="7.33203125" style="20" customWidth="1"/>
    <col min="4348" max="4348" width="5.5546875" style="20" customWidth="1"/>
    <col min="4349" max="4349" width="9" style="20" customWidth="1"/>
    <col min="4350" max="4351" width="9.88671875" style="20" customWidth="1"/>
    <col min="4352" max="4352" width="11.109375" style="20" customWidth="1"/>
    <col min="4353" max="4353" width="2.88671875" style="20" customWidth="1"/>
    <col min="4354" max="4354" width="3.5546875" style="20" customWidth="1"/>
    <col min="4355" max="4599" width="9.109375" style="20"/>
    <col min="4600" max="4600" width="8.6640625" style="20" customWidth="1"/>
    <col min="4601" max="4601" width="9.88671875" style="20" customWidth="1"/>
    <col min="4602" max="4602" width="14.44140625" style="20" customWidth="1"/>
    <col min="4603" max="4603" width="7.33203125" style="20" customWidth="1"/>
    <col min="4604" max="4604" width="5.5546875" style="20" customWidth="1"/>
    <col min="4605" max="4605" width="9" style="20" customWidth="1"/>
    <col min="4606" max="4607" width="9.88671875" style="20" customWidth="1"/>
    <col min="4608" max="4608" width="11.109375" style="20" customWidth="1"/>
    <col min="4609" max="4609" width="2.88671875" style="20" customWidth="1"/>
    <col min="4610" max="4610" width="3.5546875" style="20" customWidth="1"/>
    <col min="4611" max="4855" width="9.109375" style="20"/>
    <col min="4856" max="4856" width="8.6640625" style="20" customWidth="1"/>
    <col min="4857" max="4857" width="9.88671875" style="20" customWidth="1"/>
    <col min="4858" max="4858" width="14.44140625" style="20" customWidth="1"/>
    <col min="4859" max="4859" width="7.33203125" style="20" customWidth="1"/>
    <col min="4860" max="4860" width="5.5546875" style="20" customWidth="1"/>
    <col min="4861" max="4861" width="9" style="20" customWidth="1"/>
    <col min="4862" max="4863" width="9.88671875" style="20" customWidth="1"/>
    <col min="4864" max="4864" width="11.109375" style="20" customWidth="1"/>
    <col min="4865" max="4865" width="2.88671875" style="20" customWidth="1"/>
    <col min="4866" max="4866" width="3.5546875" style="20" customWidth="1"/>
    <col min="4867" max="5111" width="9.109375" style="20"/>
    <col min="5112" max="5112" width="8.6640625" style="20" customWidth="1"/>
    <col min="5113" max="5113" width="9.88671875" style="20" customWidth="1"/>
    <col min="5114" max="5114" width="14.44140625" style="20" customWidth="1"/>
    <col min="5115" max="5115" width="7.33203125" style="20" customWidth="1"/>
    <col min="5116" max="5116" width="5.5546875" style="20" customWidth="1"/>
    <col min="5117" max="5117" width="9" style="20" customWidth="1"/>
    <col min="5118" max="5119" width="9.88671875" style="20" customWidth="1"/>
    <col min="5120" max="5120" width="11.109375" style="20" customWidth="1"/>
    <col min="5121" max="5121" width="2.88671875" style="20" customWidth="1"/>
    <col min="5122" max="5122" width="3.5546875" style="20" customWidth="1"/>
    <col min="5123" max="5367" width="9.109375" style="20"/>
    <col min="5368" max="5368" width="8.6640625" style="20" customWidth="1"/>
    <col min="5369" max="5369" width="9.88671875" style="20" customWidth="1"/>
    <col min="5370" max="5370" width="14.44140625" style="20" customWidth="1"/>
    <col min="5371" max="5371" width="7.33203125" style="20" customWidth="1"/>
    <col min="5372" max="5372" width="5.5546875" style="20" customWidth="1"/>
    <col min="5373" max="5373" width="9" style="20" customWidth="1"/>
    <col min="5374" max="5375" width="9.88671875" style="20" customWidth="1"/>
    <col min="5376" max="5376" width="11.109375" style="20" customWidth="1"/>
    <col min="5377" max="5377" width="2.88671875" style="20" customWidth="1"/>
    <col min="5378" max="5378" width="3.5546875" style="20" customWidth="1"/>
    <col min="5379" max="5623" width="9.109375" style="20"/>
    <col min="5624" max="5624" width="8.6640625" style="20" customWidth="1"/>
    <col min="5625" max="5625" width="9.88671875" style="20" customWidth="1"/>
    <col min="5626" max="5626" width="14.44140625" style="20" customWidth="1"/>
    <col min="5627" max="5627" width="7.33203125" style="20" customWidth="1"/>
    <col min="5628" max="5628" width="5.5546875" style="20" customWidth="1"/>
    <col min="5629" max="5629" width="9" style="20" customWidth="1"/>
    <col min="5630" max="5631" width="9.88671875" style="20" customWidth="1"/>
    <col min="5632" max="5632" width="11.109375" style="20" customWidth="1"/>
    <col min="5633" max="5633" width="2.88671875" style="20" customWidth="1"/>
    <col min="5634" max="5634" width="3.5546875" style="20" customWidth="1"/>
    <col min="5635" max="5879" width="9.109375" style="20"/>
    <col min="5880" max="5880" width="8.6640625" style="20" customWidth="1"/>
    <col min="5881" max="5881" width="9.88671875" style="20" customWidth="1"/>
    <col min="5882" max="5882" width="14.44140625" style="20" customWidth="1"/>
    <col min="5883" max="5883" width="7.33203125" style="20" customWidth="1"/>
    <col min="5884" max="5884" width="5.5546875" style="20" customWidth="1"/>
    <col min="5885" max="5885" width="9" style="20" customWidth="1"/>
    <col min="5886" max="5887" width="9.88671875" style="20" customWidth="1"/>
    <col min="5888" max="5888" width="11.109375" style="20" customWidth="1"/>
    <col min="5889" max="5889" width="2.88671875" style="20" customWidth="1"/>
    <col min="5890" max="5890" width="3.5546875" style="20" customWidth="1"/>
    <col min="5891" max="6135" width="9.109375" style="20"/>
    <col min="6136" max="6136" width="8.6640625" style="20" customWidth="1"/>
    <col min="6137" max="6137" width="9.88671875" style="20" customWidth="1"/>
    <col min="6138" max="6138" width="14.44140625" style="20" customWidth="1"/>
    <col min="6139" max="6139" width="7.33203125" style="20" customWidth="1"/>
    <col min="6140" max="6140" width="5.5546875" style="20" customWidth="1"/>
    <col min="6141" max="6141" width="9" style="20" customWidth="1"/>
    <col min="6142" max="6143" width="9.88671875" style="20" customWidth="1"/>
    <col min="6144" max="6144" width="11.109375" style="20" customWidth="1"/>
    <col min="6145" max="6145" width="2.88671875" style="20" customWidth="1"/>
    <col min="6146" max="6146" width="3.5546875" style="20" customWidth="1"/>
    <col min="6147" max="6391" width="9.109375" style="20"/>
    <col min="6392" max="6392" width="8.6640625" style="20" customWidth="1"/>
    <col min="6393" max="6393" width="9.88671875" style="20" customWidth="1"/>
    <col min="6394" max="6394" width="14.44140625" style="20" customWidth="1"/>
    <col min="6395" max="6395" width="7.33203125" style="20" customWidth="1"/>
    <col min="6396" max="6396" width="5.5546875" style="20" customWidth="1"/>
    <col min="6397" max="6397" width="9" style="20" customWidth="1"/>
    <col min="6398" max="6399" width="9.88671875" style="20" customWidth="1"/>
    <col min="6400" max="6400" width="11.109375" style="20" customWidth="1"/>
    <col min="6401" max="6401" width="2.88671875" style="20" customWidth="1"/>
    <col min="6402" max="6402" width="3.5546875" style="20" customWidth="1"/>
    <col min="6403" max="6647" width="9.109375" style="20"/>
    <col min="6648" max="6648" width="8.6640625" style="20" customWidth="1"/>
    <col min="6649" max="6649" width="9.88671875" style="20" customWidth="1"/>
    <col min="6650" max="6650" width="14.44140625" style="20" customWidth="1"/>
    <col min="6651" max="6651" width="7.33203125" style="20" customWidth="1"/>
    <col min="6652" max="6652" width="5.5546875" style="20" customWidth="1"/>
    <col min="6653" max="6653" width="9" style="20" customWidth="1"/>
    <col min="6654" max="6655" width="9.88671875" style="20" customWidth="1"/>
    <col min="6656" max="6656" width="11.109375" style="20" customWidth="1"/>
    <col min="6657" max="6657" width="2.88671875" style="20" customWidth="1"/>
    <col min="6658" max="6658" width="3.5546875" style="20" customWidth="1"/>
    <col min="6659" max="6903" width="9.109375" style="20"/>
    <col min="6904" max="6904" width="8.6640625" style="20" customWidth="1"/>
    <col min="6905" max="6905" width="9.88671875" style="20" customWidth="1"/>
    <col min="6906" max="6906" width="14.44140625" style="20" customWidth="1"/>
    <col min="6907" max="6907" width="7.33203125" style="20" customWidth="1"/>
    <col min="6908" max="6908" width="5.5546875" style="20" customWidth="1"/>
    <col min="6909" max="6909" width="9" style="20" customWidth="1"/>
    <col min="6910" max="6911" width="9.88671875" style="20" customWidth="1"/>
    <col min="6912" max="6912" width="11.109375" style="20" customWidth="1"/>
    <col min="6913" max="6913" width="2.88671875" style="20" customWidth="1"/>
    <col min="6914" max="6914" width="3.5546875" style="20" customWidth="1"/>
    <col min="6915" max="7159" width="9.109375" style="20"/>
    <col min="7160" max="7160" width="8.6640625" style="20" customWidth="1"/>
    <col min="7161" max="7161" width="9.88671875" style="20" customWidth="1"/>
    <col min="7162" max="7162" width="14.44140625" style="20" customWidth="1"/>
    <col min="7163" max="7163" width="7.33203125" style="20" customWidth="1"/>
    <col min="7164" max="7164" width="5.5546875" style="20" customWidth="1"/>
    <col min="7165" max="7165" width="9" style="20" customWidth="1"/>
    <col min="7166" max="7167" width="9.88671875" style="20" customWidth="1"/>
    <col min="7168" max="7168" width="11.109375" style="20" customWidth="1"/>
    <col min="7169" max="7169" width="2.88671875" style="20" customWidth="1"/>
    <col min="7170" max="7170" width="3.5546875" style="20" customWidth="1"/>
    <col min="7171" max="7415" width="9.109375" style="20"/>
    <col min="7416" max="7416" width="8.6640625" style="20" customWidth="1"/>
    <col min="7417" max="7417" width="9.88671875" style="20" customWidth="1"/>
    <col min="7418" max="7418" width="14.44140625" style="20" customWidth="1"/>
    <col min="7419" max="7419" width="7.33203125" style="20" customWidth="1"/>
    <col min="7420" max="7420" width="5.5546875" style="20" customWidth="1"/>
    <col min="7421" max="7421" width="9" style="20" customWidth="1"/>
    <col min="7422" max="7423" width="9.88671875" style="20" customWidth="1"/>
    <col min="7424" max="7424" width="11.109375" style="20" customWidth="1"/>
    <col min="7425" max="7425" width="2.88671875" style="20" customWidth="1"/>
    <col min="7426" max="7426" width="3.5546875" style="20" customWidth="1"/>
    <col min="7427" max="7671" width="9.109375" style="20"/>
    <col min="7672" max="7672" width="8.6640625" style="20" customWidth="1"/>
    <col min="7673" max="7673" width="9.88671875" style="20" customWidth="1"/>
    <col min="7674" max="7674" width="14.44140625" style="20" customWidth="1"/>
    <col min="7675" max="7675" width="7.33203125" style="20" customWidth="1"/>
    <col min="7676" max="7676" width="5.5546875" style="20" customWidth="1"/>
    <col min="7677" max="7677" width="9" style="20" customWidth="1"/>
    <col min="7678" max="7679" width="9.88671875" style="20" customWidth="1"/>
    <col min="7680" max="7680" width="11.109375" style="20" customWidth="1"/>
    <col min="7681" max="7681" width="2.88671875" style="20" customWidth="1"/>
    <col min="7682" max="7682" width="3.5546875" style="20" customWidth="1"/>
    <col min="7683" max="7927" width="9.109375" style="20"/>
    <col min="7928" max="7928" width="8.6640625" style="20" customWidth="1"/>
    <col min="7929" max="7929" width="9.88671875" style="20" customWidth="1"/>
    <col min="7930" max="7930" width="14.44140625" style="20" customWidth="1"/>
    <col min="7931" max="7931" width="7.33203125" style="20" customWidth="1"/>
    <col min="7932" max="7932" width="5.5546875" style="20" customWidth="1"/>
    <col min="7933" max="7933" width="9" style="20" customWidth="1"/>
    <col min="7934" max="7935" width="9.88671875" style="20" customWidth="1"/>
    <col min="7936" max="7936" width="11.109375" style="20" customWidth="1"/>
    <col min="7937" max="7937" width="2.88671875" style="20" customWidth="1"/>
    <col min="7938" max="7938" width="3.5546875" style="20" customWidth="1"/>
    <col min="7939" max="8183" width="9.109375" style="20"/>
    <col min="8184" max="8184" width="8.6640625" style="20" customWidth="1"/>
    <col min="8185" max="8185" width="9.88671875" style="20" customWidth="1"/>
    <col min="8186" max="8186" width="14.44140625" style="20" customWidth="1"/>
    <col min="8187" max="8187" width="7.33203125" style="20" customWidth="1"/>
    <col min="8188" max="8188" width="5.5546875" style="20" customWidth="1"/>
    <col min="8189" max="8189" width="9" style="20" customWidth="1"/>
    <col min="8190" max="8191" width="9.88671875" style="20" customWidth="1"/>
    <col min="8192" max="8192" width="11.109375" style="20" customWidth="1"/>
    <col min="8193" max="8193" width="2.88671875" style="20" customWidth="1"/>
    <col min="8194" max="8194" width="3.5546875" style="20" customWidth="1"/>
    <col min="8195" max="8439" width="9.109375" style="20"/>
    <col min="8440" max="8440" width="8.6640625" style="20" customWidth="1"/>
    <col min="8441" max="8441" width="9.88671875" style="20" customWidth="1"/>
    <col min="8442" max="8442" width="14.44140625" style="20" customWidth="1"/>
    <col min="8443" max="8443" width="7.33203125" style="20" customWidth="1"/>
    <col min="8444" max="8444" width="5.5546875" style="20" customWidth="1"/>
    <col min="8445" max="8445" width="9" style="20" customWidth="1"/>
    <col min="8446" max="8447" width="9.88671875" style="20" customWidth="1"/>
    <col min="8448" max="8448" width="11.109375" style="20" customWidth="1"/>
    <col min="8449" max="8449" width="2.88671875" style="20" customWidth="1"/>
    <col min="8450" max="8450" width="3.5546875" style="20" customWidth="1"/>
    <col min="8451" max="8695" width="9.109375" style="20"/>
    <col min="8696" max="8696" width="8.6640625" style="20" customWidth="1"/>
    <col min="8697" max="8697" width="9.88671875" style="20" customWidth="1"/>
    <col min="8698" max="8698" width="14.44140625" style="20" customWidth="1"/>
    <col min="8699" max="8699" width="7.33203125" style="20" customWidth="1"/>
    <col min="8700" max="8700" width="5.5546875" style="20" customWidth="1"/>
    <col min="8701" max="8701" width="9" style="20" customWidth="1"/>
    <col min="8702" max="8703" width="9.88671875" style="20" customWidth="1"/>
    <col min="8704" max="8704" width="11.109375" style="20" customWidth="1"/>
    <col min="8705" max="8705" width="2.88671875" style="20" customWidth="1"/>
    <col min="8706" max="8706" width="3.5546875" style="20" customWidth="1"/>
    <col min="8707" max="8951" width="9.109375" style="20"/>
    <col min="8952" max="8952" width="8.6640625" style="20" customWidth="1"/>
    <col min="8953" max="8953" width="9.88671875" style="20" customWidth="1"/>
    <col min="8954" max="8954" width="14.44140625" style="20" customWidth="1"/>
    <col min="8955" max="8955" width="7.33203125" style="20" customWidth="1"/>
    <col min="8956" max="8956" width="5.5546875" style="20" customWidth="1"/>
    <col min="8957" max="8957" width="9" style="20" customWidth="1"/>
    <col min="8958" max="8959" width="9.88671875" style="20" customWidth="1"/>
    <col min="8960" max="8960" width="11.109375" style="20" customWidth="1"/>
    <col min="8961" max="8961" width="2.88671875" style="20" customWidth="1"/>
    <col min="8962" max="8962" width="3.5546875" style="20" customWidth="1"/>
    <col min="8963" max="9207" width="9.109375" style="20"/>
    <col min="9208" max="9208" width="8.6640625" style="20" customWidth="1"/>
    <col min="9209" max="9209" width="9.88671875" style="20" customWidth="1"/>
    <col min="9210" max="9210" width="14.44140625" style="20" customWidth="1"/>
    <col min="9211" max="9211" width="7.33203125" style="20" customWidth="1"/>
    <col min="9212" max="9212" width="5.5546875" style="20" customWidth="1"/>
    <col min="9213" max="9213" width="9" style="20" customWidth="1"/>
    <col min="9214" max="9215" width="9.88671875" style="20" customWidth="1"/>
    <col min="9216" max="9216" width="11.109375" style="20" customWidth="1"/>
    <col min="9217" max="9217" width="2.88671875" style="20" customWidth="1"/>
    <col min="9218" max="9218" width="3.5546875" style="20" customWidth="1"/>
    <col min="9219" max="9463" width="9.109375" style="20"/>
    <col min="9464" max="9464" width="8.6640625" style="20" customWidth="1"/>
    <col min="9465" max="9465" width="9.88671875" style="20" customWidth="1"/>
    <col min="9466" max="9466" width="14.44140625" style="20" customWidth="1"/>
    <col min="9467" max="9467" width="7.33203125" style="20" customWidth="1"/>
    <col min="9468" max="9468" width="5.5546875" style="20" customWidth="1"/>
    <col min="9469" max="9469" width="9" style="20" customWidth="1"/>
    <col min="9470" max="9471" width="9.88671875" style="20" customWidth="1"/>
    <col min="9472" max="9472" width="11.109375" style="20" customWidth="1"/>
    <col min="9473" max="9473" width="2.88671875" style="20" customWidth="1"/>
    <col min="9474" max="9474" width="3.5546875" style="20" customWidth="1"/>
    <col min="9475" max="9719" width="9.109375" style="20"/>
    <col min="9720" max="9720" width="8.6640625" style="20" customWidth="1"/>
    <col min="9721" max="9721" width="9.88671875" style="20" customWidth="1"/>
    <col min="9722" max="9722" width="14.44140625" style="20" customWidth="1"/>
    <col min="9723" max="9723" width="7.33203125" style="20" customWidth="1"/>
    <col min="9724" max="9724" width="5.5546875" style="20" customWidth="1"/>
    <col min="9725" max="9725" width="9" style="20" customWidth="1"/>
    <col min="9726" max="9727" width="9.88671875" style="20" customWidth="1"/>
    <col min="9728" max="9728" width="11.109375" style="20" customWidth="1"/>
    <col min="9729" max="9729" width="2.88671875" style="20" customWidth="1"/>
    <col min="9730" max="9730" width="3.5546875" style="20" customWidth="1"/>
    <col min="9731" max="9975" width="9.109375" style="20"/>
    <col min="9976" max="9976" width="8.6640625" style="20" customWidth="1"/>
    <col min="9977" max="9977" width="9.88671875" style="20" customWidth="1"/>
    <col min="9978" max="9978" width="14.44140625" style="20" customWidth="1"/>
    <col min="9979" max="9979" width="7.33203125" style="20" customWidth="1"/>
    <col min="9980" max="9980" width="5.5546875" style="20" customWidth="1"/>
    <col min="9981" max="9981" width="9" style="20" customWidth="1"/>
    <col min="9982" max="9983" width="9.88671875" style="20" customWidth="1"/>
    <col min="9984" max="9984" width="11.109375" style="20" customWidth="1"/>
    <col min="9985" max="9985" width="2.88671875" style="20" customWidth="1"/>
    <col min="9986" max="9986" width="3.5546875" style="20" customWidth="1"/>
    <col min="9987" max="10231" width="9.109375" style="20"/>
    <col min="10232" max="10232" width="8.6640625" style="20" customWidth="1"/>
    <col min="10233" max="10233" width="9.88671875" style="20" customWidth="1"/>
    <col min="10234" max="10234" width="14.44140625" style="20" customWidth="1"/>
    <col min="10235" max="10235" width="7.33203125" style="20" customWidth="1"/>
    <col min="10236" max="10236" width="5.5546875" style="20" customWidth="1"/>
    <col min="10237" max="10237" width="9" style="20" customWidth="1"/>
    <col min="10238" max="10239" width="9.88671875" style="20" customWidth="1"/>
    <col min="10240" max="10240" width="11.109375" style="20" customWidth="1"/>
    <col min="10241" max="10241" width="2.88671875" style="20" customWidth="1"/>
    <col min="10242" max="10242" width="3.5546875" style="20" customWidth="1"/>
    <col min="10243" max="10487" width="9.109375" style="20"/>
    <col min="10488" max="10488" width="8.6640625" style="20" customWidth="1"/>
    <col min="10489" max="10489" width="9.88671875" style="20" customWidth="1"/>
    <col min="10490" max="10490" width="14.44140625" style="20" customWidth="1"/>
    <col min="10491" max="10491" width="7.33203125" style="20" customWidth="1"/>
    <col min="10492" max="10492" width="5.5546875" style="20" customWidth="1"/>
    <col min="10493" max="10493" width="9" style="20" customWidth="1"/>
    <col min="10494" max="10495" width="9.88671875" style="20" customWidth="1"/>
    <col min="10496" max="10496" width="11.109375" style="20" customWidth="1"/>
    <col min="10497" max="10497" width="2.88671875" style="20" customWidth="1"/>
    <col min="10498" max="10498" width="3.5546875" style="20" customWidth="1"/>
    <col min="10499" max="10743" width="9.109375" style="20"/>
    <col min="10744" max="10744" width="8.6640625" style="20" customWidth="1"/>
    <col min="10745" max="10745" width="9.88671875" style="20" customWidth="1"/>
    <col min="10746" max="10746" width="14.44140625" style="20" customWidth="1"/>
    <col min="10747" max="10747" width="7.33203125" style="20" customWidth="1"/>
    <col min="10748" max="10748" width="5.5546875" style="20" customWidth="1"/>
    <col min="10749" max="10749" width="9" style="20" customWidth="1"/>
    <col min="10750" max="10751" width="9.88671875" style="20" customWidth="1"/>
    <col min="10752" max="10752" width="11.109375" style="20" customWidth="1"/>
    <col min="10753" max="10753" width="2.88671875" style="20" customWidth="1"/>
    <col min="10754" max="10754" width="3.5546875" style="20" customWidth="1"/>
    <col min="10755" max="10999" width="9.109375" style="20"/>
    <col min="11000" max="11000" width="8.6640625" style="20" customWidth="1"/>
    <col min="11001" max="11001" width="9.88671875" style="20" customWidth="1"/>
    <col min="11002" max="11002" width="14.44140625" style="20" customWidth="1"/>
    <col min="11003" max="11003" width="7.33203125" style="20" customWidth="1"/>
    <col min="11004" max="11004" width="5.5546875" style="20" customWidth="1"/>
    <col min="11005" max="11005" width="9" style="20" customWidth="1"/>
    <col min="11006" max="11007" width="9.88671875" style="20" customWidth="1"/>
    <col min="11008" max="11008" width="11.109375" style="20" customWidth="1"/>
    <col min="11009" max="11009" width="2.88671875" style="20" customWidth="1"/>
    <col min="11010" max="11010" width="3.5546875" style="20" customWidth="1"/>
    <col min="11011" max="11255" width="9.109375" style="20"/>
    <col min="11256" max="11256" width="8.6640625" style="20" customWidth="1"/>
    <col min="11257" max="11257" width="9.88671875" style="20" customWidth="1"/>
    <col min="11258" max="11258" width="14.44140625" style="20" customWidth="1"/>
    <col min="11259" max="11259" width="7.33203125" style="20" customWidth="1"/>
    <col min="11260" max="11260" width="5.5546875" style="20" customWidth="1"/>
    <col min="11261" max="11261" width="9" style="20" customWidth="1"/>
    <col min="11262" max="11263" width="9.88671875" style="20" customWidth="1"/>
    <col min="11264" max="11264" width="11.109375" style="20" customWidth="1"/>
    <col min="11265" max="11265" width="2.88671875" style="20" customWidth="1"/>
    <col min="11266" max="11266" width="3.5546875" style="20" customWidth="1"/>
    <col min="11267" max="11511" width="9.109375" style="20"/>
    <col min="11512" max="11512" width="8.6640625" style="20" customWidth="1"/>
    <col min="11513" max="11513" width="9.88671875" style="20" customWidth="1"/>
    <col min="11514" max="11514" width="14.44140625" style="20" customWidth="1"/>
    <col min="11515" max="11515" width="7.33203125" style="20" customWidth="1"/>
    <col min="11516" max="11516" width="5.5546875" style="20" customWidth="1"/>
    <col min="11517" max="11517" width="9" style="20" customWidth="1"/>
    <col min="11518" max="11519" width="9.88671875" style="20" customWidth="1"/>
    <col min="11520" max="11520" width="11.109375" style="20" customWidth="1"/>
    <col min="11521" max="11521" width="2.88671875" style="20" customWidth="1"/>
    <col min="11522" max="11522" width="3.5546875" style="20" customWidth="1"/>
    <col min="11523" max="11767" width="9.109375" style="20"/>
    <col min="11768" max="11768" width="8.6640625" style="20" customWidth="1"/>
    <col min="11769" max="11769" width="9.88671875" style="20" customWidth="1"/>
    <col min="11770" max="11770" width="14.44140625" style="20" customWidth="1"/>
    <col min="11771" max="11771" width="7.33203125" style="20" customWidth="1"/>
    <col min="11772" max="11772" width="5.5546875" style="20" customWidth="1"/>
    <col min="11773" max="11773" width="9" style="20" customWidth="1"/>
    <col min="11774" max="11775" width="9.88671875" style="20" customWidth="1"/>
    <col min="11776" max="11776" width="11.109375" style="20" customWidth="1"/>
    <col min="11777" max="11777" width="2.88671875" style="20" customWidth="1"/>
    <col min="11778" max="11778" width="3.5546875" style="20" customWidth="1"/>
    <col min="11779" max="12023" width="9.109375" style="20"/>
    <col min="12024" max="12024" width="8.6640625" style="20" customWidth="1"/>
    <col min="12025" max="12025" width="9.88671875" style="20" customWidth="1"/>
    <col min="12026" max="12026" width="14.44140625" style="20" customWidth="1"/>
    <col min="12027" max="12027" width="7.33203125" style="20" customWidth="1"/>
    <col min="12028" max="12028" width="5.5546875" style="20" customWidth="1"/>
    <col min="12029" max="12029" width="9" style="20" customWidth="1"/>
    <col min="12030" max="12031" width="9.88671875" style="20" customWidth="1"/>
    <col min="12032" max="12032" width="11.109375" style="20" customWidth="1"/>
    <col min="12033" max="12033" width="2.88671875" style="20" customWidth="1"/>
    <col min="12034" max="12034" width="3.5546875" style="20" customWidth="1"/>
    <col min="12035" max="12279" width="9.109375" style="20"/>
    <col min="12280" max="12280" width="8.6640625" style="20" customWidth="1"/>
    <col min="12281" max="12281" width="9.88671875" style="20" customWidth="1"/>
    <col min="12282" max="12282" width="14.44140625" style="20" customWidth="1"/>
    <col min="12283" max="12283" width="7.33203125" style="20" customWidth="1"/>
    <col min="12284" max="12284" width="5.5546875" style="20" customWidth="1"/>
    <col min="12285" max="12285" width="9" style="20" customWidth="1"/>
    <col min="12286" max="12287" width="9.88671875" style="20" customWidth="1"/>
    <col min="12288" max="12288" width="11.109375" style="20" customWidth="1"/>
    <col min="12289" max="12289" width="2.88671875" style="20" customWidth="1"/>
    <col min="12290" max="12290" width="3.5546875" style="20" customWidth="1"/>
    <col min="12291" max="12535" width="9.109375" style="20"/>
    <col min="12536" max="12536" width="8.6640625" style="20" customWidth="1"/>
    <col min="12537" max="12537" width="9.88671875" style="20" customWidth="1"/>
    <col min="12538" max="12538" width="14.44140625" style="20" customWidth="1"/>
    <col min="12539" max="12539" width="7.33203125" style="20" customWidth="1"/>
    <col min="12540" max="12540" width="5.5546875" style="20" customWidth="1"/>
    <col min="12541" max="12541" width="9" style="20" customWidth="1"/>
    <col min="12542" max="12543" width="9.88671875" style="20" customWidth="1"/>
    <col min="12544" max="12544" width="11.109375" style="20" customWidth="1"/>
    <col min="12545" max="12545" width="2.88671875" style="20" customWidth="1"/>
    <col min="12546" max="12546" width="3.5546875" style="20" customWidth="1"/>
    <col min="12547" max="12791" width="9.109375" style="20"/>
    <col min="12792" max="12792" width="8.6640625" style="20" customWidth="1"/>
    <col min="12793" max="12793" width="9.88671875" style="20" customWidth="1"/>
    <col min="12794" max="12794" width="14.44140625" style="20" customWidth="1"/>
    <col min="12795" max="12795" width="7.33203125" style="20" customWidth="1"/>
    <col min="12796" max="12796" width="5.5546875" style="20" customWidth="1"/>
    <col min="12797" max="12797" width="9" style="20" customWidth="1"/>
    <col min="12798" max="12799" width="9.88671875" style="20" customWidth="1"/>
    <col min="12800" max="12800" width="11.109375" style="20" customWidth="1"/>
    <col min="12801" max="12801" width="2.88671875" style="20" customWidth="1"/>
    <col min="12802" max="12802" width="3.5546875" style="20" customWidth="1"/>
    <col min="12803" max="13047" width="9.109375" style="20"/>
    <col min="13048" max="13048" width="8.6640625" style="20" customWidth="1"/>
    <col min="13049" max="13049" width="9.88671875" style="20" customWidth="1"/>
    <col min="13050" max="13050" width="14.44140625" style="20" customWidth="1"/>
    <col min="13051" max="13051" width="7.33203125" style="20" customWidth="1"/>
    <col min="13052" max="13052" width="5.5546875" style="20" customWidth="1"/>
    <col min="13053" max="13053" width="9" style="20" customWidth="1"/>
    <col min="13054" max="13055" width="9.88671875" style="20" customWidth="1"/>
    <col min="13056" max="13056" width="11.109375" style="20" customWidth="1"/>
    <col min="13057" max="13057" width="2.88671875" style="20" customWidth="1"/>
    <col min="13058" max="13058" width="3.5546875" style="20" customWidth="1"/>
    <col min="13059" max="13303" width="9.109375" style="20"/>
    <col min="13304" max="13304" width="8.6640625" style="20" customWidth="1"/>
    <col min="13305" max="13305" width="9.88671875" style="20" customWidth="1"/>
    <col min="13306" max="13306" width="14.44140625" style="20" customWidth="1"/>
    <col min="13307" max="13307" width="7.33203125" style="20" customWidth="1"/>
    <col min="13308" max="13308" width="5.5546875" style="20" customWidth="1"/>
    <col min="13309" max="13309" width="9" style="20" customWidth="1"/>
    <col min="13310" max="13311" width="9.88671875" style="20" customWidth="1"/>
    <col min="13312" max="13312" width="11.109375" style="20" customWidth="1"/>
    <col min="13313" max="13313" width="2.88671875" style="20" customWidth="1"/>
    <col min="13314" max="13314" width="3.5546875" style="20" customWidth="1"/>
    <col min="13315" max="13559" width="9.109375" style="20"/>
    <col min="13560" max="13560" width="8.6640625" style="20" customWidth="1"/>
    <col min="13561" max="13561" width="9.88671875" style="20" customWidth="1"/>
    <col min="13562" max="13562" width="14.44140625" style="20" customWidth="1"/>
    <col min="13563" max="13563" width="7.33203125" style="20" customWidth="1"/>
    <col min="13564" max="13564" width="5.5546875" style="20" customWidth="1"/>
    <col min="13565" max="13565" width="9" style="20" customWidth="1"/>
    <col min="13566" max="13567" width="9.88671875" style="20" customWidth="1"/>
    <col min="13568" max="13568" width="11.109375" style="20" customWidth="1"/>
    <col min="13569" max="13569" width="2.88671875" style="20" customWidth="1"/>
    <col min="13570" max="13570" width="3.5546875" style="20" customWidth="1"/>
    <col min="13571" max="13815" width="9.109375" style="20"/>
    <col min="13816" max="13816" width="8.6640625" style="20" customWidth="1"/>
    <col min="13817" max="13817" width="9.88671875" style="20" customWidth="1"/>
    <col min="13818" max="13818" width="14.44140625" style="20" customWidth="1"/>
    <col min="13819" max="13819" width="7.33203125" style="20" customWidth="1"/>
    <col min="13820" max="13820" width="5.5546875" style="20" customWidth="1"/>
    <col min="13821" max="13821" width="9" style="20" customWidth="1"/>
    <col min="13822" max="13823" width="9.88671875" style="20" customWidth="1"/>
    <col min="13824" max="13824" width="11.109375" style="20" customWidth="1"/>
    <col min="13825" max="13825" width="2.88671875" style="20" customWidth="1"/>
    <col min="13826" max="13826" width="3.5546875" style="20" customWidth="1"/>
    <col min="13827" max="14071" width="9.109375" style="20"/>
    <col min="14072" max="14072" width="8.6640625" style="20" customWidth="1"/>
    <col min="14073" max="14073" width="9.88671875" style="20" customWidth="1"/>
    <col min="14074" max="14074" width="14.44140625" style="20" customWidth="1"/>
    <col min="14075" max="14075" width="7.33203125" style="20" customWidth="1"/>
    <col min="14076" max="14076" width="5.5546875" style="20" customWidth="1"/>
    <col min="14077" max="14077" width="9" style="20" customWidth="1"/>
    <col min="14078" max="14079" width="9.88671875" style="20" customWidth="1"/>
    <col min="14080" max="14080" width="11.109375" style="20" customWidth="1"/>
    <col min="14081" max="14081" width="2.88671875" style="20" customWidth="1"/>
    <col min="14082" max="14082" width="3.5546875" style="20" customWidth="1"/>
    <col min="14083" max="14327" width="9.109375" style="20"/>
    <col min="14328" max="14328" width="8.6640625" style="20" customWidth="1"/>
    <col min="14329" max="14329" width="9.88671875" style="20" customWidth="1"/>
    <col min="14330" max="14330" width="14.44140625" style="20" customWidth="1"/>
    <col min="14331" max="14331" width="7.33203125" style="20" customWidth="1"/>
    <col min="14332" max="14332" width="5.5546875" style="20" customWidth="1"/>
    <col min="14333" max="14333" width="9" style="20" customWidth="1"/>
    <col min="14334" max="14335" width="9.88671875" style="20" customWidth="1"/>
    <col min="14336" max="14336" width="11.109375" style="20" customWidth="1"/>
    <col min="14337" max="14337" width="2.88671875" style="20" customWidth="1"/>
    <col min="14338" max="14338" width="3.5546875" style="20" customWidth="1"/>
    <col min="14339" max="14583" width="9.109375" style="20"/>
    <col min="14584" max="14584" width="8.6640625" style="20" customWidth="1"/>
    <col min="14585" max="14585" width="9.88671875" style="20" customWidth="1"/>
    <col min="14586" max="14586" width="14.44140625" style="20" customWidth="1"/>
    <col min="14587" max="14587" width="7.33203125" style="20" customWidth="1"/>
    <col min="14588" max="14588" width="5.5546875" style="20" customWidth="1"/>
    <col min="14589" max="14589" width="9" style="20" customWidth="1"/>
    <col min="14590" max="14591" width="9.88671875" style="20" customWidth="1"/>
    <col min="14592" max="14592" width="11.109375" style="20" customWidth="1"/>
    <col min="14593" max="14593" width="2.88671875" style="20" customWidth="1"/>
    <col min="14594" max="14594" width="3.5546875" style="20" customWidth="1"/>
    <col min="14595" max="14839" width="9.109375" style="20"/>
    <col min="14840" max="14840" width="8.6640625" style="20" customWidth="1"/>
    <col min="14841" max="14841" width="9.88671875" style="20" customWidth="1"/>
    <col min="14842" max="14842" width="14.44140625" style="20" customWidth="1"/>
    <col min="14843" max="14843" width="7.33203125" style="20" customWidth="1"/>
    <col min="14844" max="14844" width="5.5546875" style="20" customWidth="1"/>
    <col min="14845" max="14845" width="9" style="20" customWidth="1"/>
    <col min="14846" max="14847" width="9.88671875" style="20" customWidth="1"/>
    <col min="14848" max="14848" width="11.109375" style="20" customWidth="1"/>
    <col min="14849" max="14849" width="2.88671875" style="20" customWidth="1"/>
    <col min="14850" max="14850" width="3.5546875" style="20" customWidth="1"/>
    <col min="14851" max="15095" width="9.109375" style="20"/>
    <col min="15096" max="15096" width="8.6640625" style="20" customWidth="1"/>
    <col min="15097" max="15097" width="9.88671875" style="20" customWidth="1"/>
    <col min="15098" max="15098" width="14.44140625" style="20" customWidth="1"/>
    <col min="15099" max="15099" width="7.33203125" style="20" customWidth="1"/>
    <col min="15100" max="15100" width="5.5546875" style="20" customWidth="1"/>
    <col min="15101" max="15101" width="9" style="20" customWidth="1"/>
    <col min="15102" max="15103" width="9.88671875" style="20" customWidth="1"/>
    <col min="15104" max="15104" width="11.109375" style="20" customWidth="1"/>
    <col min="15105" max="15105" width="2.88671875" style="20" customWidth="1"/>
    <col min="15106" max="15106" width="3.5546875" style="20" customWidth="1"/>
    <col min="15107" max="15351" width="9.109375" style="20"/>
    <col min="15352" max="15352" width="8.6640625" style="20" customWidth="1"/>
    <col min="15353" max="15353" width="9.88671875" style="20" customWidth="1"/>
    <col min="15354" max="15354" width="14.44140625" style="20" customWidth="1"/>
    <col min="15355" max="15355" width="7.33203125" style="20" customWidth="1"/>
    <col min="15356" max="15356" width="5.5546875" style="20" customWidth="1"/>
    <col min="15357" max="15357" width="9" style="20" customWidth="1"/>
    <col min="15358" max="15359" width="9.88671875" style="20" customWidth="1"/>
    <col min="15360" max="15360" width="11.109375" style="20" customWidth="1"/>
    <col min="15361" max="15361" width="2.88671875" style="20" customWidth="1"/>
    <col min="15362" max="15362" width="3.5546875" style="20" customWidth="1"/>
    <col min="15363" max="15607" width="9.109375" style="20"/>
    <col min="15608" max="15608" width="8.6640625" style="20" customWidth="1"/>
    <col min="15609" max="15609" width="9.88671875" style="20" customWidth="1"/>
    <col min="15610" max="15610" width="14.44140625" style="20" customWidth="1"/>
    <col min="15611" max="15611" width="7.33203125" style="20" customWidth="1"/>
    <col min="15612" max="15612" width="5.5546875" style="20" customWidth="1"/>
    <col min="15613" max="15613" width="9" style="20" customWidth="1"/>
    <col min="15614" max="15615" width="9.88671875" style="20" customWidth="1"/>
    <col min="15616" max="15616" width="11.109375" style="20" customWidth="1"/>
    <col min="15617" max="15617" width="2.88671875" style="20" customWidth="1"/>
    <col min="15618" max="15618" width="3.5546875" style="20" customWidth="1"/>
    <col min="15619" max="15863" width="9.109375" style="20"/>
    <col min="15864" max="15864" width="8.6640625" style="20" customWidth="1"/>
    <col min="15865" max="15865" width="9.88671875" style="20" customWidth="1"/>
    <col min="15866" max="15866" width="14.44140625" style="20" customWidth="1"/>
    <col min="15867" max="15867" width="7.33203125" style="20" customWidth="1"/>
    <col min="15868" max="15868" width="5.5546875" style="20" customWidth="1"/>
    <col min="15869" max="15869" width="9" style="20" customWidth="1"/>
    <col min="15870" max="15871" width="9.88671875" style="20" customWidth="1"/>
    <col min="15872" max="15872" width="11.109375" style="20" customWidth="1"/>
    <col min="15873" max="15873" width="2.88671875" style="20" customWidth="1"/>
    <col min="15874" max="15874" width="3.5546875" style="20" customWidth="1"/>
    <col min="15875" max="16119" width="9.109375" style="20"/>
    <col min="16120" max="16120" width="8.6640625" style="20" customWidth="1"/>
    <col min="16121" max="16121" width="9.88671875" style="20" customWidth="1"/>
    <col min="16122" max="16122" width="14.44140625" style="20" customWidth="1"/>
    <col min="16123" max="16123" width="7.33203125" style="20" customWidth="1"/>
    <col min="16124" max="16124" width="5.5546875" style="20" customWidth="1"/>
    <col min="16125" max="16125" width="9" style="20" customWidth="1"/>
    <col min="16126" max="16127" width="9.88671875" style="20" customWidth="1"/>
    <col min="16128" max="16128" width="11.109375" style="20" customWidth="1"/>
    <col min="16129" max="16129" width="2.88671875" style="20" customWidth="1"/>
    <col min="16130" max="16130" width="3.5546875" style="20" customWidth="1"/>
    <col min="16131" max="16384" width="9.109375" style="20"/>
  </cols>
  <sheetData>
    <row r="1" spans="1:26" ht="46.5" customHeight="1" x14ac:dyDescent="0.3">
      <c r="A1" s="170" t="s">
        <v>372</v>
      </c>
      <c r="B1" s="170"/>
      <c r="C1" s="170"/>
      <c r="D1" s="170"/>
      <c r="E1" s="170"/>
      <c r="F1" s="170"/>
      <c r="G1" s="170"/>
      <c r="H1" s="170"/>
    </row>
    <row r="2" spans="1:26" ht="16.5" customHeight="1" x14ac:dyDescent="0.3">
      <c r="A2" s="171" t="s">
        <v>0</v>
      </c>
      <c r="B2" s="171"/>
      <c r="C2" s="171"/>
      <c r="D2" s="171"/>
      <c r="E2" s="171"/>
      <c r="F2" s="171"/>
      <c r="G2" s="171"/>
      <c r="H2" s="171"/>
    </row>
    <row r="3" spans="1:26" x14ac:dyDescent="0.3">
      <c r="A3" s="123" t="s">
        <v>1</v>
      </c>
      <c r="B3" s="123"/>
      <c r="C3" s="123"/>
      <c r="D3" s="123"/>
      <c r="E3" s="123" t="str">
        <f ca="1">TEXT(TODAY(),"DD/MM/YYYY")</f>
        <v>28/08/2025</v>
      </c>
      <c r="F3" s="123"/>
      <c r="G3" s="123"/>
      <c r="H3" s="123"/>
      <c r="K3" s="54" t="s">
        <v>229</v>
      </c>
      <c r="L3" s="53" t="s">
        <v>227</v>
      </c>
      <c r="M3" s="53" t="s">
        <v>232</v>
      </c>
      <c r="N3" s="53" t="s">
        <v>230</v>
      </c>
      <c r="O3" s="53" t="s">
        <v>349</v>
      </c>
      <c r="P3" s="53" t="s">
        <v>375</v>
      </c>
    </row>
    <row r="4" spans="1:26" ht="15" customHeight="1" x14ac:dyDescent="0.3">
      <c r="A4" s="123" t="s">
        <v>226</v>
      </c>
      <c r="B4" s="123"/>
      <c r="C4" s="123"/>
      <c r="D4" s="123"/>
      <c r="E4" s="123" t="s">
        <v>227</v>
      </c>
      <c r="F4" s="123"/>
      <c r="G4" s="123"/>
      <c r="H4" s="123"/>
      <c r="K4" s="52" t="s">
        <v>228</v>
      </c>
      <c r="L4" s="53" t="s">
        <v>164</v>
      </c>
      <c r="M4" s="53" t="s">
        <v>237</v>
      </c>
      <c r="N4" s="53" t="s">
        <v>239</v>
      </c>
      <c r="O4" s="53" t="s">
        <v>334</v>
      </c>
      <c r="P4" s="53" t="s">
        <v>376</v>
      </c>
    </row>
    <row r="5" spans="1:26" ht="15" customHeight="1" x14ac:dyDescent="0.3">
      <c r="A5" s="123" t="s">
        <v>2</v>
      </c>
      <c r="B5" s="123"/>
      <c r="C5" s="123"/>
      <c r="D5" s="123"/>
      <c r="E5" s="123" t="s">
        <v>164</v>
      </c>
      <c r="F5" s="123"/>
      <c r="G5" s="123"/>
      <c r="H5" s="123"/>
      <c r="K5" s="52"/>
      <c r="L5" s="53" t="s">
        <v>234</v>
      </c>
      <c r="M5" s="53" t="s">
        <v>238</v>
      </c>
      <c r="N5" s="53" t="s">
        <v>240</v>
      </c>
      <c r="O5" s="53" t="s">
        <v>335</v>
      </c>
      <c r="P5" s="53"/>
    </row>
    <row r="6" spans="1:26" x14ac:dyDescent="0.3">
      <c r="A6" s="123" t="s">
        <v>3</v>
      </c>
      <c r="B6" s="123"/>
      <c r="C6" s="123"/>
      <c r="D6" s="123"/>
      <c r="E6" s="173">
        <v>45891</v>
      </c>
      <c r="F6" s="123"/>
      <c r="G6" s="123"/>
      <c r="H6" s="123"/>
      <c r="K6" s="52"/>
      <c r="L6" s="53" t="s">
        <v>235</v>
      </c>
      <c r="M6" s="53" t="s">
        <v>347</v>
      </c>
      <c r="N6" s="53"/>
      <c r="O6" s="53" t="s">
        <v>336</v>
      </c>
      <c r="P6" s="53"/>
    </row>
    <row r="7" spans="1:26" ht="16.5" customHeight="1" x14ac:dyDescent="0.3">
      <c r="A7" s="123" t="s">
        <v>4</v>
      </c>
      <c r="B7" s="123"/>
      <c r="C7" s="123"/>
      <c r="D7" s="123"/>
      <c r="E7" s="123" t="s">
        <v>384</v>
      </c>
      <c r="F7" s="123"/>
      <c r="G7" s="123"/>
      <c r="H7" s="123"/>
      <c r="K7" s="52"/>
      <c r="L7" s="53" t="s">
        <v>236</v>
      </c>
      <c r="M7" s="53"/>
      <c r="N7" s="53"/>
      <c r="O7" s="53" t="s">
        <v>336</v>
      </c>
      <c r="P7" s="53"/>
    </row>
    <row r="8" spans="1:26" ht="15" customHeight="1" x14ac:dyDescent="0.3">
      <c r="A8" s="123" t="s">
        <v>5</v>
      </c>
      <c r="B8" s="123"/>
      <c r="C8" s="123"/>
      <c r="D8" s="123"/>
      <c r="E8" s="123" t="str">
        <f>E7</f>
        <v>Shah And Daswani</v>
      </c>
      <c r="F8" s="123"/>
      <c r="G8" s="123"/>
      <c r="H8" s="123"/>
      <c r="K8" s="52"/>
      <c r="L8" s="53"/>
      <c r="M8" s="53"/>
      <c r="N8" s="53"/>
      <c r="O8" s="53" t="s">
        <v>337</v>
      </c>
      <c r="P8" s="53"/>
    </row>
    <row r="9" spans="1:26" x14ac:dyDescent="0.3">
      <c r="A9" s="123" t="s">
        <v>6</v>
      </c>
      <c r="B9" s="123"/>
      <c r="C9" s="123"/>
      <c r="D9" s="123"/>
      <c r="E9" s="172" t="s">
        <v>385</v>
      </c>
      <c r="F9" s="172"/>
      <c r="G9" s="172"/>
      <c r="H9" s="172"/>
      <c r="K9" s="52"/>
      <c r="L9" s="53"/>
      <c r="M9" s="53"/>
      <c r="N9" s="53"/>
      <c r="O9" s="53" t="s">
        <v>338</v>
      </c>
      <c r="P9" s="53"/>
    </row>
    <row r="10" spans="1:26" x14ac:dyDescent="0.3">
      <c r="A10" s="123" t="s">
        <v>161</v>
      </c>
      <c r="B10" s="123"/>
      <c r="C10" s="123"/>
      <c r="D10" s="123"/>
      <c r="E10" s="123" t="s">
        <v>431</v>
      </c>
      <c r="F10" s="123"/>
      <c r="G10" s="123"/>
      <c r="H10" s="123"/>
      <c r="K10" s="52"/>
      <c r="L10" s="53"/>
      <c r="M10" s="53"/>
      <c r="N10" s="53"/>
      <c r="O10" s="53" t="s">
        <v>339</v>
      </c>
      <c r="P10" s="53"/>
    </row>
    <row r="11" spans="1:26" x14ac:dyDescent="0.3">
      <c r="A11" s="123" t="s">
        <v>162</v>
      </c>
      <c r="B11" s="123"/>
      <c r="C11" s="123"/>
      <c r="D11" s="123"/>
      <c r="E11" s="123" t="s">
        <v>424</v>
      </c>
      <c r="F11" s="123"/>
      <c r="G11" s="123"/>
      <c r="H11" s="123"/>
      <c r="O11" s="53" t="s">
        <v>340</v>
      </c>
    </row>
    <row r="12" spans="1:26" x14ac:dyDescent="0.3">
      <c r="A12" s="123" t="s">
        <v>7</v>
      </c>
      <c r="B12" s="123"/>
      <c r="C12" s="123"/>
      <c r="D12" s="123"/>
      <c r="E12" s="123" t="s">
        <v>411</v>
      </c>
      <c r="F12" s="123"/>
      <c r="G12" s="123"/>
      <c r="H12" s="123"/>
    </row>
    <row r="13" spans="1:26" x14ac:dyDescent="0.3">
      <c r="A13" s="123" t="s">
        <v>165</v>
      </c>
      <c r="B13" s="123"/>
      <c r="C13" s="123"/>
      <c r="D13" s="123"/>
      <c r="E13" s="123" t="s">
        <v>28</v>
      </c>
      <c r="F13" s="123"/>
      <c r="G13" s="123"/>
      <c r="H13" s="123"/>
      <c r="S13" s="53" t="s">
        <v>173</v>
      </c>
      <c r="T13" s="53" t="s">
        <v>182</v>
      </c>
      <c r="U13" s="53" t="s">
        <v>166</v>
      </c>
      <c r="V13" s="53" t="s">
        <v>187</v>
      </c>
      <c r="W13" s="53" t="s">
        <v>205</v>
      </c>
      <c r="X13"/>
      <c r="Y13" t="s">
        <v>187</v>
      </c>
      <c r="Z13" t="e">
        <f ca="1">OFFSET($S$13,1,MATCH($G20,$S$13:$W$13,0)-1,15,1)</f>
        <v>#VALUE!</v>
      </c>
    </row>
    <row r="14" spans="1:26" x14ac:dyDescent="0.3">
      <c r="A14" s="123" t="s">
        <v>272</v>
      </c>
      <c r="B14" s="123"/>
      <c r="C14" s="123"/>
      <c r="D14" s="123"/>
      <c r="E14" s="174" t="s">
        <v>435</v>
      </c>
      <c r="F14" s="174"/>
      <c r="G14" s="174"/>
      <c r="H14" s="174"/>
      <c r="S14" s="53" t="s">
        <v>173</v>
      </c>
      <c r="T14" s="53" t="s">
        <v>180</v>
      </c>
      <c r="U14" s="53" t="s">
        <v>202</v>
      </c>
      <c r="V14" s="53" t="s">
        <v>188</v>
      </c>
      <c r="W14" s="53" t="s">
        <v>206</v>
      </c>
      <c r="X14"/>
      <c r="Y14"/>
      <c r="Z14"/>
    </row>
    <row r="15" spans="1:26" x14ac:dyDescent="0.3">
      <c r="A15" s="114" t="s">
        <v>8</v>
      </c>
      <c r="B15" s="114"/>
      <c r="C15" s="114"/>
      <c r="D15" s="114"/>
      <c r="E15" s="174" t="s">
        <v>386</v>
      </c>
      <c r="F15" s="123"/>
      <c r="G15" s="123"/>
      <c r="H15" s="123"/>
      <c r="I15" s="109" t="e">
        <f ca="1">OFFSET($D$5,1,MATCH($J13,$D$5:$H$5,0)-1,15,1)</f>
        <v>#N/A</v>
      </c>
      <c r="J15" s="110"/>
      <c r="K15" s="110"/>
      <c r="L15" s="110"/>
      <c r="M15" s="110"/>
      <c r="N15" s="110"/>
      <c r="O15" s="110"/>
      <c r="P15" s="110"/>
      <c r="S15" s="53" t="s">
        <v>174</v>
      </c>
      <c r="T15" s="53" t="s">
        <v>181</v>
      </c>
      <c r="U15" s="53" t="s">
        <v>203</v>
      </c>
      <c r="V15" s="53" t="s">
        <v>189</v>
      </c>
      <c r="W15" s="53" t="s">
        <v>219</v>
      </c>
      <c r="X15"/>
      <c r="Y15"/>
      <c r="Z15"/>
    </row>
    <row r="16" spans="1:26" ht="48.75" customHeight="1" x14ac:dyDescent="0.3">
      <c r="A16" s="122" t="s">
        <v>9</v>
      </c>
      <c r="B16" s="122"/>
      <c r="C16" s="122" t="str">
        <f>CONCATENATE((IF(OR(E9="",E9="NA"),"",E9)),", ",(IF(OR(A17="",A17="NA"),"",A17)),".",(IF(OR(C17="",C17="NA"),"",C17)),", near ",(IF(OR(C22="",C22="NA"),"",C22)),", ",(IF(OR(C19="",C19="NA"),"",C19)),", ",(IF(OR(C18="",C18="NA"),"",C18)),", ",(IF(OR(G19="",G19="NA"),"",G19)),", ",(IF(OR(C20="",C20="NA"),"",C20)),", ",(IF(OR(C21="",C21="NA"),"",C21)),", ",(IF(OR(G20="",G20="NA"),"",G20))," - ",(IF(OR(G21="",G21="NA"),"",G21)),".")</f>
        <v>Kashidham NX, Survey No.301A, H.No.02, near Adarsh Vidyalaya Agashi Hindi School, Bolinj Sopara Road, Bhandar Aali, Bolinj, Virar West, Vasai, Palghar - 401303.</v>
      </c>
      <c r="D16" s="122"/>
      <c r="E16" s="122"/>
      <c r="F16" s="122"/>
      <c r="G16" s="122"/>
      <c r="H16" s="122"/>
      <c r="S16" s="53" t="s">
        <v>175</v>
      </c>
      <c r="T16" s="53" t="s">
        <v>183</v>
      </c>
      <c r="U16" s="53" t="s">
        <v>204</v>
      </c>
      <c r="V16" s="53" t="s">
        <v>190</v>
      </c>
      <c r="W16" s="53" t="s">
        <v>207</v>
      </c>
      <c r="X16"/>
      <c r="Y16"/>
      <c r="Z16"/>
    </row>
    <row r="17" spans="1:26" x14ac:dyDescent="0.3">
      <c r="A17" s="174" t="s">
        <v>383</v>
      </c>
      <c r="B17" s="174"/>
      <c r="C17" s="174" t="s">
        <v>387</v>
      </c>
      <c r="D17" s="174"/>
      <c r="E17" s="174"/>
      <c r="F17" s="174"/>
      <c r="G17" s="174"/>
      <c r="H17" s="174"/>
      <c r="S17" s="53" t="s">
        <v>176</v>
      </c>
      <c r="T17" s="53" t="s">
        <v>184</v>
      </c>
      <c r="U17" s="53" t="s">
        <v>166</v>
      </c>
      <c r="V17" s="53" t="s">
        <v>191</v>
      </c>
      <c r="W17" s="53" t="s">
        <v>208</v>
      </c>
      <c r="X17"/>
      <c r="Y17"/>
      <c r="Z17"/>
    </row>
    <row r="18" spans="1:26" ht="15.75" customHeight="1" x14ac:dyDescent="0.3">
      <c r="A18" s="174" t="s">
        <v>157</v>
      </c>
      <c r="B18" s="174"/>
      <c r="C18" s="174" t="s">
        <v>432</v>
      </c>
      <c r="D18" s="174"/>
      <c r="E18" s="174"/>
      <c r="F18" s="174"/>
      <c r="G18" s="174"/>
      <c r="H18" s="174"/>
      <c r="S18" s="53" t="s">
        <v>177</v>
      </c>
      <c r="T18" s="53" t="s">
        <v>182</v>
      </c>
      <c r="U18" s="53"/>
      <c r="V18" s="53" t="s">
        <v>192</v>
      </c>
      <c r="W18" s="53" t="s">
        <v>209</v>
      </c>
      <c r="X18"/>
      <c r="Y18"/>
      <c r="Z18"/>
    </row>
    <row r="19" spans="1:26" ht="15.75" customHeight="1" x14ac:dyDescent="0.3">
      <c r="A19" s="122" t="s">
        <v>10</v>
      </c>
      <c r="B19" s="122"/>
      <c r="C19" s="123" t="s">
        <v>389</v>
      </c>
      <c r="D19" s="123"/>
      <c r="E19" s="174" t="s">
        <v>68</v>
      </c>
      <c r="F19" s="174"/>
      <c r="G19" s="174" t="s">
        <v>388</v>
      </c>
      <c r="H19" s="174"/>
      <c r="S19" s="53" t="s">
        <v>178</v>
      </c>
      <c r="T19" s="53" t="s">
        <v>185</v>
      </c>
      <c r="U19" s="53"/>
      <c r="V19" s="53" t="s">
        <v>193</v>
      </c>
      <c r="W19" s="53" t="s">
        <v>210</v>
      </c>
      <c r="X19"/>
      <c r="Y19"/>
      <c r="Z19"/>
    </row>
    <row r="20" spans="1:26" x14ac:dyDescent="0.3">
      <c r="A20" s="114" t="s">
        <v>12</v>
      </c>
      <c r="B20" s="114"/>
      <c r="C20" s="174" t="s">
        <v>390</v>
      </c>
      <c r="D20" s="174"/>
      <c r="E20" s="174" t="s">
        <v>11</v>
      </c>
      <c r="F20" s="174"/>
      <c r="G20" s="179" t="s">
        <v>182</v>
      </c>
      <c r="H20" s="179"/>
      <c r="S20" s="53" t="s">
        <v>179</v>
      </c>
      <c r="T20" s="53" t="s">
        <v>186</v>
      </c>
      <c r="U20" s="53"/>
      <c r="V20" s="53" t="s">
        <v>194</v>
      </c>
      <c r="W20" s="53" t="s">
        <v>211</v>
      </c>
      <c r="X20"/>
      <c r="Y20"/>
      <c r="Z20"/>
    </row>
    <row r="21" spans="1:26" x14ac:dyDescent="0.3">
      <c r="A21" s="114" t="s">
        <v>69</v>
      </c>
      <c r="B21" s="114"/>
      <c r="C21" s="174" t="s">
        <v>183</v>
      </c>
      <c r="D21" s="174"/>
      <c r="E21" s="174" t="s">
        <v>13</v>
      </c>
      <c r="F21" s="174"/>
      <c r="G21" s="174">
        <v>401303</v>
      </c>
      <c r="H21" s="174"/>
      <c r="S21" s="53"/>
      <c r="T21" s="53"/>
      <c r="U21" s="53"/>
      <c r="V21" s="53" t="s">
        <v>195</v>
      </c>
      <c r="W21" s="53" t="s">
        <v>212</v>
      </c>
      <c r="X21"/>
      <c r="Y21"/>
      <c r="Z21"/>
    </row>
    <row r="22" spans="1:26" ht="32.25" customHeight="1" x14ac:dyDescent="0.3">
      <c r="A22" s="114" t="s">
        <v>116</v>
      </c>
      <c r="B22" s="114"/>
      <c r="C22" s="174" t="s">
        <v>392</v>
      </c>
      <c r="D22" s="174"/>
      <c r="E22" s="174" t="s">
        <v>14</v>
      </c>
      <c r="F22" s="174"/>
      <c r="G22" s="174" t="s">
        <v>391</v>
      </c>
      <c r="H22" s="174"/>
      <c r="S22" s="53"/>
      <c r="T22" s="53"/>
      <c r="U22" s="53"/>
      <c r="V22" s="53" t="s">
        <v>196</v>
      </c>
      <c r="W22" s="53" t="s">
        <v>213</v>
      </c>
      <c r="X22"/>
      <c r="Y22"/>
      <c r="Z22"/>
    </row>
    <row r="23" spans="1:26" ht="15" customHeight="1" x14ac:dyDescent="0.3">
      <c r="A23" s="122" t="s">
        <v>71</v>
      </c>
      <c r="B23" s="122"/>
      <c r="C23" s="122"/>
      <c r="D23" s="122"/>
      <c r="E23" s="123" t="s">
        <v>15</v>
      </c>
      <c r="F23" s="123"/>
      <c r="G23" s="123"/>
      <c r="H23" s="123"/>
      <c r="S23" s="53"/>
      <c r="T23" s="53"/>
      <c r="U23" s="53"/>
      <c r="V23" s="53" t="s">
        <v>197</v>
      </c>
      <c r="W23" s="53" t="s">
        <v>214</v>
      </c>
      <c r="X23"/>
      <c r="Y23"/>
      <c r="Z23"/>
    </row>
    <row r="24" spans="1:26" ht="18.75" customHeight="1" x14ac:dyDescent="0.3">
      <c r="A24" s="122"/>
      <c r="B24" s="122"/>
      <c r="C24" s="122"/>
      <c r="D24" s="122"/>
      <c r="E24" s="123"/>
      <c r="F24" s="123"/>
      <c r="G24" s="123"/>
      <c r="H24" s="123"/>
      <c r="S24" s="53"/>
      <c r="T24" s="53"/>
      <c r="U24" s="53"/>
      <c r="V24" s="53" t="s">
        <v>198</v>
      </c>
      <c r="W24" s="53" t="s">
        <v>215</v>
      </c>
      <c r="X24"/>
      <c r="Y24"/>
      <c r="Z24"/>
    </row>
    <row r="25" spans="1:26" ht="15" customHeight="1" x14ac:dyDescent="0.3">
      <c r="A25" s="122" t="s">
        <v>16</v>
      </c>
      <c r="B25" s="122"/>
      <c r="C25" s="122"/>
      <c r="D25" s="122"/>
      <c r="E25" s="174" t="s">
        <v>17</v>
      </c>
      <c r="F25" s="174"/>
      <c r="G25" s="174"/>
      <c r="H25" s="174"/>
      <c r="S25" s="53"/>
      <c r="T25" s="53"/>
      <c r="U25" s="53"/>
      <c r="V25" s="53" t="s">
        <v>199</v>
      </c>
      <c r="W25" s="53" t="s">
        <v>216</v>
      </c>
      <c r="X25"/>
      <c r="Y25"/>
      <c r="Z25"/>
    </row>
    <row r="26" spans="1:26" ht="15" customHeight="1" x14ac:dyDescent="0.3">
      <c r="A26" s="114" t="s">
        <v>18</v>
      </c>
      <c r="B26" s="114"/>
      <c r="C26" s="114"/>
      <c r="D26" s="114"/>
      <c r="E26" s="174" t="str">
        <f>IF(AND(G20="Mumbai"),"Upper Class","Middle Class")</f>
        <v>Middle Class</v>
      </c>
      <c r="F26" s="174"/>
      <c r="G26" s="174"/>
      <c r="H26" s="174"/>
      <c r="S26" s="53"/>
      <c r="T26" s="53"/>
      <c r="U26" s="53"/>
      <c r="V26" s="53" t="s">
        <v>200</v>
      </c>
      <c r="W26" s="53" t="s">
        <v>217</v>
      </c>
      <c r="X26"/>
      <c r="Y26"/>
      <c r="Z26"/>
    </row>
    <row r="27" spans="1:26" x14ac:dyDescent="0.3">
      <c r="A27" s="114" t="s">
        <v>19</v>
      </c>
      <c r="B27" s="114"/>
      <c r="C27" s="114"/>
      <c r="D27" s="114"/>
      <c r="E27" s="174" t="s">
        <v>20</v>
      </c>
      <c r="F27" s="174"/>
      <c r="G27" s="174"/>
      <c r="H27" s="174"/>
      <c r="S27" s="53"/>
      <c r="T27" s="53"/>
      <c r="U27" s="53"/>
      <c r="V27" s="53" t="s">
        <v>201</v>
      </c>
      <c r="W27" s="53" t="s">
        <v>218</v>
      </c>
      <c r="X27"/>
      <c r="Y27"/>
      <c r="Z27"/>
    </row>
    <row r="28" spans="1:26" ht="15.75" customHeight="1" x14ac:dyDescent="0.3">
      <c r="A28" s="114" t="s">
        <v>21</v>
      </c>
      <c r="B28" s="114"/>
      <c r="C28" s="114"/>
      <c r="D28" s="114"/>
      <c r="E28" s="174" t="str">
        <f>IF(AND(G20="Mumbai"),"Developed","Developing")</f>
        <v>Developing</v>
      </c>
      <c r="F28" s="174"/>
      <c r="G28" s="174"/>
      <c r="H28" s="174"/>
    </row>
    <row r="29" spans="1:26" x14ac:dyDescent="0.3">
      <c r="A29" s="114" t="s">
        <v>22</v>
      </c>
      <c r="B29" s="114"/>
      <c r="C29" s="114"/>
      <c r="D29" s="114"/>
      <c r="E29" s="174" t="s">
        <v>23</v>
      </c>
      <c r="F29" s="174"/>
      <c r="G29" s="174"/>
      <c r="H29" s="174"/>
    </row>
    <row r="30" spans="1:26" ht="15.75" customHeight="1" x14ac:dyDescent="0.3">
      <c r="A30" s="114" t="s">
        <v>76</v>
      </c>
      <c r="B30" s="114"/>
      <c r="C30" s="114"/>
      <c r="D30" s="114"/>
      <c r="E30" s="174" t="s">
        <v>77</v>
      </c>
      <c r="F30" s="174"/>
      <c r="G30" s="174"/>
      <c r="H30" s="174"/>
    </row>
    <row r="31" spans="1:26" ht="15" customHeight="1" x14ac:dyDescent="0.3">
      <c r="A31" s="114" t="s">
        <v>30</v>
      </c>
      <c r="B31" s="114"/>
      <c r="C31" s="114"/>
      <c r="D31" s="114"/>
      <c r="E31" s="174" t="str">
        <f>IF(AND(ISNUMBER(SEARCH("Flat",D67)),ISNUMBER(SEARCH("Shop",D67)),ISNUMBER(SEARCH("Office",D67))),"Residential + Commercial",IF(AND(ISNUMBER(SEARCH("Flat",D67)),ISNUMBER(SEARCH("Shop",D67))),"Residential + Commercial",IF(AND(ISNUMBER(SEARCH("Flat",D67)),ISNUMBER(SEARCH("Office",D67))),"Residential + Commercial",IF(AND(ISNUMBER(SEARCH("Shop",D67)),ISNUMBER(SEARCH("Office",D67))),"Commercial",IF(ISNUMBER(SEARCH("Shop",D67)),"Commercial",IF(ISNUMBER(SEARCH("Office",D67)),"Commercial",IF(ISNUMBER(SEARCH("Flat",D67)),"Residential")))))))</f>
        <v>Residential</v>
      </c>
      <c r="F31" s="174"/>
      <c r="G31" s="174"/>
      <c r="H31" s="174"/>
    </row>
    <row r="32" spans="1:26" ht="15.75" customHeight="1" x14ac:dyDescent="0.3">
      <c r="A32" s="114" t="s">
        <v>88</v>
      </c>
      <c r="B32" s="114"/>
      <c r="C32" s="114"/>
      <c r="D32" s="114"/>
      <c r="E32" s="174" t="s">
        <v>31</v>
      </c>
      <c r="F32" s="174"/>
      <c r="G32" s="174"/>
      <c r="H32" s="174"/>
    </row>
    <row r="33" spans="1:19" s="21" customFormat="1" x14ac:dyDescent="0.3">
      <c r="A33" s="183" t="s">
        <v>89</v>
      </c>
      <c r="B33" s="183"/>
      <c r="C33" s="180" t="s">
        <v>167</v>
      </c>
      <c r="D33" s="181"/>
      <c r="E33" s="182"/>
      <c r="F33" s="180" t="s">
        <v>29</v>
      </c>
      <c r="G33" s="181"/>
      <c r="H33" s="182"/>
      <c r="S33" s="21" t="e">
        <f ca="1">OFFSET($S$13,1,MATCH($G20,$S$13:$W$13,0)-1,15,1)</f>
        <v>#VALUE!</v>
      </c>
    </row>
    <row r="34" spans="1:19" s="21" customFormat="1" x14ac:dyDescent="0.3">
      <c r="A34" s="175" t="s">
        <v>24</v>
      </c>
      <c r="B34" s="175" t="s">
        <v>28</v>
      </c>
      <c r="C34" s="176" t="s">
        <v>395</v>
      </c>
      <c r="D34" s="177"/>
      <c r="E34" s="178"/>
      <c r="F34" s="176" t="s">
        <v>396</v>
      </c>
      <c r="G34" s="177"/>
      <c r="H34" s="178"/>
    </row>
    <row r="35" spans="1:19" x14ac:dyDescent="0.3">
      <c r="A35" s="175" t="s">
        <v>25</v>
      </c>
      <c r="B35" s="175" t="s">
        <v>28</v>
      </c>
      <c r="C35" s="176" t="s">
        <v>394</v>
      </c>
      <c r="D35" s="177"/>
      <c r="E35" s="178"/>
      <c r="F35" s="176" t="s">
        <v>396</v>
      </c>
      <c r="G35" s="177"/>
      <c r="H35" s="178"/>
    </row>
    <row r="36" spans="1:19" s="21" customFormat="1" x14ac:dyDescent="0.3">
      <c r="A36" s="175" t="s">
        <v>27</v>
      </c>
      <c r="B36" s="175" t="s">
        <v>28</v>
      </c>
      <c r="C36" s="176" t="s">
        <v>394</v>
      </c>
      <c r="D36" s="177"/>
      <c r="E36" s="178"/>
      <c r="F36" s="176" t="s">
        <v>396</v>
      </c>
      <c r="G36" s="177"/>
      <c r="H36" s="178"/>
    </row>
    <row r="37" spans="1:19" x14ac:dyDescent="0.3">
      <c r="A37" s="175" t="s">
        <v>26</v>
      </c>
      <c r="B37" s="175" t="s">
        <v>28</v>
      </c>
      <c r="C37" s="176" t="s">
        <v>393</v>
      </c>
      <c r="D37" s="177"/>
      <c r="E37" s="178"/>
      <c r="F37" s="176" t="s">
        <v>397</v>
      </c>
      <c r="G37" s="177"/>
      <c r="H37" s="178"/>
    </row>
    <row r="38" spans="1:19" x14ac:dyDescent="0.3">
      <c r="A38" s="114" t="s">
        <v>273</v>
      </c>
      <c r="B38" s="114"/>
      <c r="C38" s="114"/>
      <c r="D38" s="114"/>
      <c r="E38" s="114"/>
      <c r="F38" s="114"/>
      <c r="G38" s="114"/>
      <c r="H38" s="114"/>
    </row>
    <row r="39" spans="1:19" ht="15.75" customHeight="1" x14ac:dyDescent="0.3">
      <c r="A39" s="114" t="s">
        <v>159</v>
      </c>
      <c r="B39" s="114"/>
      <c r="C39" s="166" t="s">
        <v>381</v>
      </c>
      <c r="D39" s="166"/>
      <c r="E39" s="166"/>
      <c r="F39" s="166"/>
      <c r="G39" s="166"/>
      <c r="H39" s="166"/>
    </row>
    <row r="40" spans="1:19" x14ac:dyDescent="0.3">
      <c r="A40" s="114" t="s">
        <v>156</v>
      </c>
      <c r="B40" s="114"/>
      <c r="C40" s="238" t="s">
        <v>382</v>
      </c>
      <c r="D40" s="174"/>
      <c r="E40" s="174"/>
      <c r="F40" s="174"/>
      <c r="G40" s="174"/>
      <c r="H40" s="174"/>
    </row>
    <row r="41" spans="1:19" x14ac:dyDescent="0.3">
      <c r="A41" s="166" t="s">
        <v>32</v>
      </c>
      <c r="B41" s="166"/>
      <c r="C41" s="166"/>
      <c r="D41" s="166"/>
      <c r="E41" s="166"/>
      <c r="F41" s="166"/>
      <c r="G41" s="166"/>
      <c r="H41" s="166"/>
    </row>
    <row r="42" spans="1:19" x14ac:dyDescent="0.3">
      <c r="A42" s="114" t="s">
        <v>33</v>
      </c>
      <c r="B42" s="114"/>
      <c r="C42" s="114"/>
      <c r="D42" s="114"/>
      <c r="E42" s="208">
        <v>3000</v>
      </c>
      <c r="F42" s="208"/>
      <c r="G42" s="208"/>
      <c r="H42" s="208"/>
    </row>
    <row r="43" spans="1:19" x14ac:dyDescent="0.3">
      <c r="A43" s="114" t="s">
        <v>34</v>
      </c>
      <c r="B43" s="114"/>
      <c r="C43" s="114"/>
      <c r="D43" s="114"/>
      <c r="E43" s="210">
        <f>3300/E42</f>
        <v>1.1000000000000001</v>
      </c>
      <c r="F43" s="210"/>
      <c r="G43" s="210"/>
      <c r="H43" s="210"/>
    </row>
    <row r="44" spans="1:19" x14ac:dyDescent="0.3">
      <c r="A44" s="114" t="s">
        <v>35</v>
      </c>
      <c r="B44" s="114"/>
      <c r="C44" s="114"/>
      <c r="D44" s="114"/>
      <c r="E44" s="210">
        <f>E46/E42-E43</f>
        <v>0.39272666666666667</v>
      </c>
      <c r="F44" s="210"/>
      <c r="G44" s="210"/>
      <c r="H44" s="210"/>
    </row>
    <row r="45" spans="1:19" x14ac:dyDescent="0.3">
      <c r="A45" s="114" t="s">
        <v>36</v>
      </c>
      <c r="B45" s="114"/>
      <c r="C45" s="114"/>
      <c r="D45" s="114"/>
      <c r="E45" s="210">
        <f>E43+E44</f>
        <v>1.4927266666666668</v>
      </c>
      <c r="F45" s="210"/>
      <c r="G45" s="210"/>
      <c r="H45" s="210"/>
    </row>
    <row r="46" spans="1:19" x14ac:dyDescent="0.3">
      <c r="A46" s="114" t="s">
        <v>87</v>
      </c>
      <c r="B46" s="114"/>
      <c r="C46" s="114"/>
      <c r="D46" s="114"/>
      <c r="E46" s="211">
        <v>4478.18</v>
      </c>
      <c r="F46" s="211"/>
      <c r="G46" s="211"/>
      <c r="H46" s="211"/>
      <c r="I46" s="273">
        <f>E46/E42</f>
        <v>1.4927266666666668</v>
      </c>
    </row>
    <row r="47" spans="1:19" x14ac:dyDescent="0.3">
      <c r="A47" s="123" t="s">
        <v>37</v>
      </c>
      <c r="B47" s="123"/>
      <c r="C47" s="123"/>
      <c r="D47" s="123"/>
      <c r="E47" s="123" t="s">
        <v>425</v>
      </c>
      <c r="F47" s="123"/>
      <c r="G47" s="123"/>
      <c r="H47" s="123"/>
    </row>
    <row r="48" spans="1:19" x14ac:dyDescent="0.3">
      <c r="A48" s="166" t="s">
        <v>38</v>
      </c>
      <c r="B48" s="166"/>
      <c r="C48" s="166"/>
      <c r="D48" s="166"/>
      <c r="E48" s="166"/>
      <c r="F48" s="166"/>
      <c r="G48" s="166"/>
      <c r="H48" s="166"/>
    </row>
    <row r="49" spans="1:24" ht="33.75" customHeight="1" x14ac:dyDescent="0.3">
      <c r="A49" s="130" t="s">
        <v>145</v>
      </c>
      <c r="B49" s="131"/>
      <c r="C49" s="216" t="s">
        <v>268</v>
      </c>
      <c r="D49" s="217"/>
      <c r="E49" s="217"/>
      <c r="F49" s="217"/>
      <c r="G49" s="217"/>
      <c r="H49" s="218"/>
      <c r="R49" t="s">
        <v>246</v>
      </c>
      <c r="S49" s="55" t="s">
        <v>166</v>
      </c>
      <c r="T49" s="55" t="s">
        <v>173</v>
      </c>
      <c r="U49" s="55" t="s">
        <v>187</v>
      </c>
      <c r="V49" s="55" t="s">
        <v>182</v>
      </c>
    </row>
    <row r="50" spans="1:24" ht="31.8" customHeight="1" x14ac:dyDescent="0.3">
      <c r="A50" s="130" t="s">
        <v>39</v>
      </c>
      <c r="B50" s="131"/>
      <c r="C50" s="130" t="s">
        <v>398</v>
      </c>
      <c r="D50" s="201"/>
      <c r="E50" s="131"/>
      <c r="F50" s="17" t="s">
        <v>40</v>
      </c>
      <c r="G50" s="187">
        <v>44988</v>
      </c>
      <c r="H50" s="188"/>
      <c r="R50"/>
      <c r="S50" s="55" t="s">
        <v>247</v>
      </c>
      <c r="T50" s="55" t="s">
        <v>252</v>
      </c>
      <c r="U50" s="55" t="s">
        <v>263</v>
      </c>
      <c r="V50" s="55" t="s">
        <v>268</v>
      </c>
    </row>
    <row r="51" spans="1:24" ht="32.4" hidden="1" customHeight="1" x14ac:dyDescent="0.3">
      <c r="A51" s="130" t="s">
        <v>409</v>
      </c>
      <c r="B51" s="131"/>
      <c r="C51" s="130" t="s">
        <v>410</v>
      </c>
      <c r="D51" s="201"/>
      <c r="E51" s="131"/>
      <c r="F51" s="17" t="s">
        <v>40</v>
      </c>
      <c r="G51" s="187">
        <v>44736</v>
      </c>
      <c r="H51" s="188"/>
      <c r="R51"/>
      <c r="S51" s="55" t="s">
        <v>248</v>
      </c>
      <c r="T51" s="55" t="s">
        <v>350</v>
      </c>
      <c r="U51" s="55" t="s">
        <v>261</v>
      </c>
      <c r="V51" s="55" t="s">
        <v>269</v>
      </c>
    </row>
    <row r="52" spans="1:24" ht="33" customHeight="1" x14ac:dyDescent="0.3">
      <c r="A52" s="130" t="s">
        <v>408</v>
      </c>
      <c r="B52" s="131"/>
      <c r="C52" s="130" t="str">
        <f>C50</f>
        <v>VVCMC/TP/AMEND/VP/0393/528/2022-23</v>
      </c>
      <c r="D52" s="201"/>
      <c r="E52" s="131"/>
      <c r="F52" s="17" t="s">
        <v>40</v>
      </c>
      <c r="G52" s="187">
        <f>G50</f>
        <v>44988</v>
      </c>
      <c r="H52" s="188"/>
      <c r="R52"/>
      <c r="S52" s="55" t="s">
        <v>248</v>
      </c>
      <c r="T52" s="55" t="s">
        <v>350</v>
      </c>
      <c r="U52" s="55" t="s">
        <v>261</v>
      </c>
      <c r="V52" s="55" t="s">
        <v>269</v>
      </c>
    </row>
    <row r="53" spans="1:24" s="22" customFormat="1" hidden="1" x14ac:dyDescent="0.3">
      <c r="A53" s="222" t="s">
        <v>149</v>
      </c>
      <c r="B53" s="223"/>
      <c r="C53" s="222" t="s">
        <v>401</v>
      </c>
      <c r="D53" s="226"/>
      <c r="E53" s="223"/>
      <c r="F53" s="17" t="s">
        <v>40</v>
      </c>
      <c r="G53" s="187">
        <v>44560</v>
      </c>
      <c r="H53" s="188"/>
      <c r="I53" s="21" t="e">
        <f>IF(G53&gt;EDATE(E1,-48),"NO REMARK","CC REMARK FOR CC")</f>
        <v>#NUM!</v>
      </c>
      <c r="J53" s="74"/>
      <c r="R53"/>
      <c r="S53" s="55" t="s">
        <v>249</v>
      </c>
      <c r="T53" s="55" t="s">
        <v>254</v>
      </c>
      <c r="U53" s="55" t="s">
        <v>251</v>
      </c>
      <c r="V53" s="55" t="s">
        <v>270</v>
      </c>
    </row>
    <row r="54" spans="1:24" s="22" customFormat="1" ht="17.399999999999999" hidden="1" customHeight="1" x14ac:dyDescent="0.3">
      <c r="A54" s="224"/>
      <c r="B54" s="225"/>
      <c r="C54" s="130" t="s">
        <v>400</v>
      </c>
      <c r="D54" s="201"/>
      <c r="E54" s="201"/>
      <c r="F54" s="201"/>
      <c r="G54" s="201"/>
      <c r="H54" s="131"/>
      <c r="R54"/>
      <c r="S54" s="55"/>
      <c r="T54" s="55"/>
      <c r="U54" s="55"/>
      <c r="V54" s="70"/>
    </row>
    <row r="55" spans="1:24" s="22" customFormat="1" ht="15.75" customHeight="1" x14ac:dyDescent="0.3">
      <c r="A55" s="222" t="s">
        <v>149</v>
      </c>
      <c r="B55" s="223"/>
      <c r="C55" s="222" t="s">
        <v>399</v>
      </c>
      <c r="D55" s="226"/>
      <c r="E55" s="223"/>
      <c r="F55" s="17" t="s">
        <v>40</v>
      </c>
      <c r="G55" s="187">
        <v>44988</v>
      </c>
      <c r="H55" s="188"/>
      <c r="I55" s="21" t="str">
        <f ca="1">IF(G55&gt;EDATE(E3,-48),"NO REMARK","CC REMARK FOR CC")</f>
        <v>NO REMARK</v>
      </c>
      <c r="J55" s="74"/>
      <c r="R55"/>
      <c r="S55" s="55" t="s">
        <v>249</v>
      </c>
      <c r="T55" s="55" t="s">
        <v>254</v>
      </c>
      <c r="U55" s="55" t="s">
        <v>251</v>
      </c>
      <c r="V55" s="55" t="s">
        <v>270</v>
      </c>
    </row>
    <row r="56" spans="1:24" s="22" customFormat="1" ht="33.75" customHeight="1" x14ac:dyDescent="0.3">
      <c r="A56" s="224"/>
      <c r="B56" s="225"/>
      <c r="C56" s="130" t="s">
        <v>402</v>
      </c>
      <c r="D56" s="201"/>
      <c r="E56" s="201"/>
      <c r="F56" s="201"/>
      <c r="G56" s="201"/>
      <c r="H56" s="131"/>
      <c r="R56"/>
      <c r="S56" s="55"/>
      <c r="T56" s="55"/>
      <c r="U56" s="55"/>
      <c r="V56" s="70"/>
    </row>
    <row r="57" spans="1:24" s="22" customFormat="1" hidden="1" x14ac:dyDescent="0.3">
      <c r="A57" s="126" t="s">
        <v>274</v>
      </c>
      <c r="B57" s="127"/>
      <c r="C57" s="130" t="e">
        <f>#REF!</f>
        <v>#REF!</v>
      </c>
      <c r="D57" s="201"/>
      <c r="E57" s="131"/>
      <c r="F57" s="17" t="s">
        <v>40</v>
      </c>
      <c r="G57" s="187"/>
      <c r="H57" s="188"/>
      <c r="K57" s="75">
        <f>EDATE(G55,-48)</f>
        <v>43527</v>
      </c>
      <c r="L57" s="22" t="str">
        <f ca="1">IF(G55&gt;EDATE(E3,-48),"NO REMARK","CC REMARK FOR CC")</f>
        <v>NO REMARK</v>
      </c>
      <c r="R57"/>
      <c r="S57" s="55" t="s">
        <v>249</v>
      </c>
      <c r="T57" s="55" t="s">
        <v>254</v>
      </c>
      <c r="U57" s="55" t="s">
        <v>251</v>
      </c>
      <c r="V57" s="55" t="s">
        <v>270</v>
      </c>
    </row>
    <row r="58" spans="1:24" s="22" customFormat="1" ht="32.25" hidden="1" customHeight="1" x14ac:dyDescent="0.3">
      <c r="A58" s="128"/>
      <c r="B58" s="129"/>
      <c r="C58" s="219"/>
      <c r="D58" s="220"/>
      <c r="E58" s="220"/>
      <c r="F58" s="220"/>
      <c r="G58" s="220"/>
      <c r="H58" s="221"/>
      <c r="R58"/>
      <c r="S58" s="55" t="s">
        <v>251</v>
      </c>
      <c r="T58" s="55" t="s">
        <v>255</v>
      </c>
      <c r="U58" s="55" t="s">
        <v>265</v>
      </c>
      <c r="V58" s="71"/>
      <c r="W58" s="20"/>
      <c r="X58" s="20"/>
    </row>
    <row r="59" spans="1:24" s="22" customFormat="1" ht="34.5" hidden="1" customHeight="1" x14ac:dyDescent="0.3">
      <c r="A59" s="126" t="s">
        <v>275</v>
      </c>
      <c r="B59" s="127"/>
      <c r="C59" s="130">
        <f>C58</f>
        <v>0</v>
      </c>
      <c r="D59" s="201"/>
      <c r="E59" s="131"/>
      <c r="F59" s="17" t="s">
        <v>40</v>
      </c>
      <c r="G59" s="187">
        <f>G58</f>
        <v>0</v>
      </c>
      <c r="H59" s="188"/>
      <c r="R59"/>
      <c r="S59" s="71"/>
      <c r="T59" s="55" t="s">
        <v>256</v>
      </c>
      <c r="U59" s="55" t="s">
        <v>266</v>
      </c>
      <c r="V59" s="71"/>
      <c r="W59" s="20"/>
      <c r="X59" s="20"/>
    </row>
    <row r="60" spans="1:24" s="22" customFormat="1" ht="41.25" hidden="1" customHeight="1" x14ac:dyDescent="0.3">
      <c r="A60" s="128"/>
      <c r="B60" s="129"/>
      <c r="C60" s="130"/>
      <c r="D60" s="201"/>
      <c r="E60" s="201"/>
      <c r="F60" s="201"/>
      <c r="G60" s="201"/>
      <c r="H60" s="131"/>
      <c r="R60"/>
      <c r="S60" s="71"/>
      <c r="T60" s="55" t="s">
        <v>258</v>
      </c>
      <c r="U60" s="55" t="s">
        <v>267</v>
      </c>
      <c r="V60" s="71"/>
      <c r="W60" s="20"/>
      <c r="X60" s="20"/>
    </row>
    <row r="61" spans="1:24" s="22" customFormat="1" ht="15.75" hidden="1" customHeight="1" x14ac:dyDescent="0.3">
      <c r="A61" s="126" t="s">
        <v>345</v>
      </c>
      <c r="B61" s="127"/>
      <c r="C61" s="202"/>
      <c r="D61" s="203"/>
      <c r="E61" s="204"/>
      <c r="F61" s="17" t="s">
        <v>40</v>
      </c>
      <c r="G61" s="187"/>
      <c r="H61" s="188"/>
      <c r="R61"/>
      <c r="S61" s="71"/>
      <c r="T61" s="55" t="s">
        <v>259</v>
      </c>
      <c r="U61" s="71" t="s">
        <v>289</v>
      </c>
      <c r="V61" s="71"/>
      <c r="W61" s="20"/>
      <c r="X61" s="20"/>
    </row>
    <row r="62" spans="1:24" s="22" customFormat="1" ht="33.75" hidden="1" customHeight="1" x14ac:dyDescent="0.3">
      <c r="A62" s="199"/>
      <c r="B62" s="200"/>
      <c r="C62" s="205"/>
      <c r="D62" s="206"/>
      <c r="E62" s="207"/>
      <c r="F62" s="17" t="s">
        <v>346</v>
      </c>
      <c r="G62" s="187"/>
      <c r="H62" s="188"/>
      <c r="R62"/>
      <c r="S62" s="71"/>
      <c r="T62" s="55" t="s">
        <v>260</v>
      </c>
      <c r="U62" s="71"/>
      <c r="V62" s="71"/>
      <c r="W62" s="20"/>
      <c r="X62" s="20"/>
    </row>
    <row r="63" spans="1:24" s="22" customFormat="1" ht="33.75" hidden="1" customHeight="1" x14ac:dyDescent="0.3">
      <c r="A63" s="128"/>
      <c r="B63" s="129"/>
      <c r="C63" s="130" t="s">
        <v>368</v>
      </c>
      <c r="D63" s="201"/>
      <c r="E63" s="201"/>
      <c r="F63" s="201"/>
      <c r="G63" s="201"/>
      <c r="H63" s="131"/>
      <c r="R63"/>
      <c r="S63" s="71"/>
      <c r="T63" s="55"/>
      <c r="U63" s="71"/>
      <c r="V63" s="71"/>
      <c r="W63" s="20"/>
      <c r="X63" s="20"/>
    </row>
    <row r="64" spans="1:24" x14ac:dyDescent="0.3">
      <c r="A64" s="117" t="s">
        <v>41</v>
      </c>
      <c r="B64" s="118"/>
      <c r="C64" s="117" t="s">
        <v>101</v>
      </c>
      <c r="D64" s="119"/>
      <c r="E64" s="118"/>
      <c r="F64" s="44" t="s">
        <v>40</v>
      </c>
      <c r="G64" s="124" t="s">
        <v>28</v>
      </c>
      <c r="H64" s="125"/>
      <c r="R64"/>
      <c r="S64" s="71"/>
      <c r="T64" s="55" t="s">
        <v>262</v>
      </c>
      <c r="U64" s="71"/>
      <c r="V64" s="71"/>
    </row>
    <row r="65" spans="1:22" x14ac:dyDescent="0.3">
      <c r="A65" s="169" t="s">
        <v>43</v>
      </c>
      <c r="B65" s="169"/>
      <c r="C65" s="169"/>
      <c r="D65" s="169"/>
      <c r="E65" s="169"/>
      <c r="F65" s="169"/>
      <c r="G65" s="169"/>
      <c r="H65" s="169"/>
      <c r="S65" s="71"/>
      <c r="T65" s="55" t="s">
        <v>271</v>
      </c>
      <c r="U65" s="71"/>
      <c r="V65" s="71"/>
    </row>
    <row r="66" spans="1:22" x14ac:dyDescent="0.3">
      <c r="A66" s="122" t="s">
        <v>86</v>
      </c>
      <c r="B66" s="122"/>
      <c r="C66" s="122"/>
      <c r="D66" s="114">
        <f>E46</f>
        <v>4478.18</v>
      </c>
      <c r="E66" s="114"/>
      <c r="F66" s="114"/>
      <c r="G66" s="114"/>
      <c r="H66" s="114"/>
      <c r="R66"/>
    </row>
    <row r="67" spans="1:22" x14ac:dyDescent="0.3">
      <c r="A67" s="174" t="s">
        <v>44</v>
      </c>
      <c r="B67" s="123"/>
      <c r="C67" s="123"/>
      <c r="D67" s="123" t="s">
        <v>426</v>
      </c>
      <c r="E67" s="123"/>
      <c r="F67" s="123"/>
      <c r="G67" s="123"/>
      <c r="H67" s="123"/>
      <c r="I67" s="23"/>
      <c r="R67"/>
    </row>
    <row r="68" spans="1:22" x14ac:dyDescent="0.3">
      <c r="A68" s="213" t="s">
        <v>45</v>
      </c>
      <c r="B68" s="214"/>
      <c r="C68" s="215"/>
      <c r="D68" s="132" t="s">
        <v>407</v>
      </c>
      <c r="E68" s="212"/>
      <c r="F68" s="212"/>
      <c r="G68" s="212"/>
      <c r="H68" s="212"/>
      <c r="R68"/>
    </row>
    <row r="69" spans="1:22" ht="15.75" customHeight="1" x14ac:dyDescent="0.3">
      <c r="A69" s="213" t="s">
        <v>84</v>
      </c>
      <c r="B69" s="214"/>
      <c r="C69" s="215"/>
      <c r="D69" s="184" t="s">
        <v>403</v>
      </c>
      <c r="E69" s="185"/>
      <c r="F69" s="185"/>
      <c r="G69" s="185"/>
      <c r="H69" s="186"/>
      <c r="R69"/>
    </row>
    <row r="70" spans="1:22" ht="15.75" hidden="1" customHeight="1" x14ac:dyDescent="0.3">
      <c r="A70" s="257"/>
      <c r="B70" s="258"/>
      <c r="C70" s="259"/>
      <c r="D70" s="184" t="s">
        <v>400</v>
      </c>
      <c r="E70" s="185"/>
      <c r="F70" s="185"/>
      <c r="G70" s="185"/>
      <c r="H70" s="186"/>
      <c r="R70"/>
    </row>
    <row r="71" spans="1:22" ht="15.75" customHeight="1" x14ac:dyDescent="0.3">
      <c r="A71" s="114" t="s">
        <v>42</v>
      </c>
      <c r="B71" s="114"/>
      <c r="C71" s="114"/>
      <c r="D71" s="241" t="s">
        <v>404</v>
      </c>
      <c r="E71" s="241"/>
      <c r="F71" s="241"/>
      <c r="G71" s="241"/>
      <c r="H71" s="241"/>
      <c r="J71" s="24"/>
      <c r="K71" s="23"/>
      <c r="N71" s="23"/>
      <c r="S71"/>
    </row>
    <row r="72" spans="1:22" ht="15.75" customHeight="1" x14ac:dyDescent="0.3">
      <c r="A72" s="114" t="s">
        <v>82</v>
      </c>
      <c r="B72" s="114"/>
      <c r="C72" s="114"/>
      <c r="D72" s="209" t="str">
        <f>(IF(G64="NA","60 Years After Completion",IF(G64&lt;&gt;"NA",""&amp;60-ROUNDDOWN((E3-G64)/360,0)&amp;" Years"," ")))</f>
        <v>60 Years After Completion</v>
      </c>
      <c r="E72" s="209"/>
      <c r="F72" s="209"/>
      <c r="G72" s="209"/>
      <c r="H72" s="209"/>
      <c r="N72" s="23"/>
      <c r="S72"/>
    </row>
    <row r="73" spans="1:22" ht="15.75" customHeight="1" x14ac:dyDescent="0.3">
      <c r="A73" s="114" t="s">
        <v>83</v>
      </c>
      <c r="B73" s="114"/>
      <c r="C73" s="114"/>
      <c r="D73" s="122" t="s">
        <v>23</v>
      </c>
      <c r="E73" s="122"/>
      <c r="F73" s="122"/>
      <c r="G73" s="122"/>
      <c r="H73" s="122"/>
      <c r="J73" s="25"/>
      <c r="K73" s="25"/>
      <c r="S73"/>
    </row>
    <row r="74" spans="1:22" ht="38.4" customHeight="1" x14ac:dyDescent="0.3">
      <c r="A74" s="123" t="s">
        <v>405</v>
      </c>
      <c r="B74" s="123"/>
      <c r="C74" s="123"/>
      <c r="D74" s="174" t="s">
        <v>406</v>
      </c>
      <c r="E74" s="122"/>
      <c r="F74" s="122"/>
      <c r="G74" s="122"/>
      <c r="H74" s="122"/>
      <c r="S74"/>
    </row>
    <row r="75" spans="1:22" x14ac:dyDescent="0.3">
      <c r="A75" s="122" t="s">
        <v>142</v>
      </c>
      <c r="B75" s="122"/>
      <c r="C75" s="122"/>
      <c r="D75" s="122" t="s">
        <v>28</v>
      </c>
      <c r="E75" s="122"/>
      <c r="F75" s="122"/>
      <c r="G75" s="122"/>
      <c r="H75" s="122"/>
      <c r="I75" s="26"/>
      <c r="J75" s="26"/>
      <c r="K75" s="26"/>
      <c r="L75" s="26"/>
      <c r="M75" s="26"/>
      <c r="N75" s="26"/>
    </row>
    <row r="76" spans="1:22" ht="15.75" customHeight="1" x14ac:dyDescent="0.3">
      <c r="A76" s="198" t="s">
        <v>81</v>
      </c>
      <c r="B76" s="198"/>
      <c r="C76" s="198"/>
      <c r="D76" s="132" t="str">
        <f ca="1">(IF(G82&gt;95%,"Nothing",IF(G82&gt;0%,"Cement, Aggregate, Steel, etc",IF(G82=0%,"Work not yet Started"))))</f>
        <v>Cement, Aggregate, Steel, etc</v>
      </c>
      <c r="E76" s="132"/>
      <c r="F76" s="132"/>
      <c r="G76" s="132"/>
      <c r="H76" s="132"/>
      <c r="J76" s="25"/>
      <c r="S76"/>
    </row>
    <row r="77" spans="1:22" ht="33.75" customHeight="1" thickBot="1" x14ac:dyDescent="0.35">
      <c r="A77" s="197" t="s">
        <v>114</v>
      </c>
      <c r="B77" s="197"/>
      <c r="C77" s="197"/>
      <c r="D77" s="132" t="str">
        <f ca="1">(IF(D76="Nothing","Yes",IF(D76="Cement, Aggregate, Steel, etc","Under Construction",IF(D76="Work not yet Started","Work not yet Started"))))</f>
        <v>Under Construction</v>
      </c>
      <c r="E77" s="132"/>
      <c r="F77" s="132" t="str">
        <f ca="1">(IF(D76="Nothing","Yes",IF(D76="Cement, Aggregate, Steel, etc","Under Construction",IF(D76="Work not yet Started","Work not yet Started"))))</f>
        <v>Under Construction</v>
      </c>
      <c r="G77" s="132"/>
      <c r="H77" s="132"/>
      <c r="S77"/>
    </row>
    <row r="78" spans="1:22" ht="15.75" customHeight="1" x14ac:dyDescent="0.3">
      <c r="A78" s="190" t="s">
        <v>134</v>
      </c>
      <c r="B78" s="191"/>
      <c r="C78" s="192" t="str">
        <f>D69</f>
        <v>C Wing = Gr + 1st to 7th Floor</v>
      </c>
      <c r="D78" s="193"/>
      <c r="E78" s="193"/>
      <c r="F78" s="193"/>
      <c r="G78" s="193"/>
      <c r="H78" s="194"/>
      <c r="I78" s="48" t="str">
        <f ca="1">IF(D91=100%,"All work Completed. Possession granted to the Building.",IF(D90=100%,"All work Completed, Waiting for OC",I79&amp;""&amp;I80&amp;""&amp;J79&amp;""&amp;J78&amp;" "&amp;J80))</f>
        <v>Excavation, Plinth, Brickwork Completed, RCC upto 7 Slab, Internal Plaster upto 6 Floor, External Plaster upto 6 Floor, Flooring upto 5 Floor Completed</v>
      </c>
      <c r="J78" s="49" t="str">
        <f ca="1">(IF(C84=(D79+F79+H79),"",IF(C84&gt;0,", RCC upto "&amp;C84&amp;" Slab","")))&amp;(IF(C85=H79,"",IF(C85&gt;0,", Brickwork upto "&amp;C85&amp;" Floor","")))&amp;(IF(C86=H79,"",IF(C86&gt;0,", Internal Plaster upto "&amp;C86&amp;" Floor","")))&amp;(IF(C87=H79,"",IF(C87&gt;0,", External Plaster upto "&amp;C87&amp;" Floor","")))&amp;(IF(C88=H79,"",IF(C88&gt;0,", Flooring upto "&amp;C88&amp;" Floor","")))&amp;(IF(C89=H79,"",IF(C89&gt;0,", Painting upto "&amp;C89&amp;" Floor","")))&amp;(IF(C90=H79,"",IF(C90&gt;0,", Finishing upto "&amp;C90&amp;" Floor","")))&amp;(IF(C91=H79,"",IF(C91&gt;0,", Possession upto "&amp;C91&amp;" Floor","")))</f>
        <v>, RCC upto 7 Slab, Internal Plaster upto 6 Floor, External Plaster upto 6 Floor, Flooring upto 5 Floor</v>
      </c>
      <c r="S78"/>
    </row>
    <row r="79" spans="1:22" x14ac:dyDescent="0.3">
      <c r="A79" s="15" t="s">
        <v>136</v>
      </c>
      <c r="B79" s="46">
        <f>IF(AND(ISNUMBER(SEARCH("1B",C78))),1,IF(AND(ISNUMBER(SEARCH("2B",C78))),2,IF(AND(ISNUMBER(SEARCH("3B",C78))),3,IF(AND(ISNUMBER(SEARCH("4B",C78))),4,IF(ISNUMBER(SEARCH("5B",C78)),5,0)))))</f>
        <v>0</v>
      </c>
      <c r="C79" s="46" t="s">
        <v>67</v>
      </c>
      <c r="D79" s="46">
        <v>1</v>
      </c>
      <c r="E79" s="46" t="s">
        <v>66</v>
      </c>
      <c r="F79" s="46">
        <v>0</v>
      </c>
      <c r="G79" s="47" t="s">
        <v>75</v>
      </c>
      <c r="H79" s="16">
        <f ca="1">--TRIM(RIGHT(SUBSTITUTE(LEFT(C78,_xlfn.AGGREGATE(16,6,FIND({0,1,2,3,4,5,6,7,8,9},C78,ROW(INDIRECT("1:"&amp;LEN(C78)))),1))," ",REPT(" ",LEN(C78))),LEN(C78)))</f>
        <v>7</v>
      </c>
      <c r="I79" s="50" t="str">
        <f ca="1">IF(D82=100%,"Excavation","")&amp;IF(D83=100%,", Plinth","")&amp;IF(D84=100%,", RCC Slab","")&amp;IF(D85=100%,", Brickwork","")&amp;IF(D86=100%,", Internal Plaster","")&amp;IF(D87=100%,", External Plaster","")&amp;IF(D88=100%,", Flooring","")&amp;IF(D89=100%,", Painting","")&amp;IF(D90=100%,", Building common Amenities","")</f>
        <v>Excavation, Plinth, Brickwork</v>
      </c>
      <c r="J79" s="51" t="str">
        <f ca="1">(IF(C82=0,"Work not yet Started.",IF(D82=25%,"Piling work in process",IF(D82=50%,"Excavation work in process",IF(D82=100%,"","0")))))&amp;(IF(C83=0%,"",IF(C83=J84,", Footing work is process",IF(C83=J85,", Footing work Completed",IF(C83=J86,", 1st Basement Completed",IF(C83=J87,", 1st &amp; 2nd Basement Completed",IF(C83=J88,", 1st to 3rd Basement Completed",IF(C83=J89,", 1st to 4th Basement Completed",IF(C83=J90,", Plinth work is process",IF(C83=J91,"","0"))))))))))</f>
        <v/>
      </c>
      <c r="S79"/>
    </row>
    <row r="80" spans="1:22" ht="33" customHeight="1" x14ac:dyDescent="0.3">
      <c r="A80" s="189" t="s">
        <v>85</v>
      </c>
      <c r="B80" s="172"/>
      <c r="C80" s="195" t="str">
        <f ca="1">I78</f>
        <v>Excavation, Plinth, Brickwork Completed, RCC upto 7 Slab, Internal Plaster upto 6 Floor, External Plaster upto 6 Floor, Flooring upto 5 Floor Completed</v>
      </c>
      <c r="D80" s="195"/>
      <c r="E80" s="195"/>
      <c r="F80" s="195"/>
      <c r="G80" s="195"/>
      <c r="H80" s="196"/>
      <c r="I80" s="50" t="str">
        <f ca="1">IF(I79&lt;&gt;""," Completed","")</f>
        <v xml:space="preserve"> Completed</v>
      </c>
      <c r="J80" s="51" t="str">
        <f ca="1">IF(J78&lt;&gt;"","Completed","")</f>
        <v>Completed</v>
      </c>
      <c r="S80"/>
    </row>
    <row r="81" spans="1:19" ht="15.75" customHeight="1" x14ac:dyDescent="0.3">
      <c r="A81" s="103" t="s">
        <v>46</v>
      </c>
      <c r="B81" s="104"/>
      <c r="C81" s="42" t="s">
        <v>133</v>
      </c>
      <c r="D81" s="42" t="s">
        <v>78</v>
      </c>
      <c r="E81" s="104" t="s">
        <v>80</v>
      </c>
      <c r="F81" s="104"/>
      <c r="G81" s="104" t="s">
        <v>79</v>
      </c>
      <c r="H81" s="105"/>
      <c r="I81" s="13" t="s">
        <v>135</v>
      </c>
      <c r="J81" s="27">
        <f ca="1">H79*25%</f>
        <v>1.75</v>
      </c>
      <c r="S81"/>
    </row>
    <row r="82" spans="1:19" x14ac:dyDescent="0.3">
      <c r="A82" s="103" t="s">
        <v>122</v>
      </c>
      <c r="B82" s="104"/>
      <c r="C82" s="98">
        <f ca="1">J83</f>
        <v>7</v>
      </c>
      <c r="D82" s="18">
        <f ca="1">((100/H79)*C82)/100</f>
        <v>1</v>
      </c>
      <c r="E82" s="242">
        <f ca="1">(((C83/H79*10)+(40/(D79+F79+H79)*C84)+(7.5/(H79)*C85)+(7.5/(H79)*C86)+(10/H79*C87)+(10/H79*C88)+(5/H79*C89)+(5/H79*C90)+(5/H79*C91))/100)</f>
        <v>0.74642857142857144</v>
      </c>
      <c r="F82" s="263"/>
      <c r="G82" s="242">
        <f ca="1">((((C82/H79)*20)+((C83/H79)*25)+(30/(H79+F79+D79)*C84)+(5/H79*C85)+(5/H79*C86)+(5/H79*C87)+(5/H79*C88)+(0/H79*C89)+(0/H79*C90)+(5/H79*C91))/100)</f>
        <v>0.88392857142857151</v>
      </c>
      <c r="H82" s="243"/>
      <c r="I82" s="13" t="s">
        <v>96</v>
      </c>
      <c r="J82" s="28">
        <f ca="1">H79*50%</f>
        <v>3.5</v>
      </c>
    </row>
    <row r="83" spans="1:19" x14ac:dyDescent="0.3">
      <c r="A83" s="103" t="s">
        <v>47</v>
      </c>
      <c r="B83" s="104"/>
      <c r="C83" s="98">
        <f ca="1">J91</f>
        <v>7</v>
      </c>
      <c r="D83" s="18">
        <f ca="1">((100/H79)*C83)/100</f>
        <v>1</v>
      </c>
      <c r="E83" s="244"/>
      <c r="F83" s="264"/>
      <c r="G83" s="244"/>
      <c r="H83" s="245"/>
      <c r="I83" s="13" t="s">
        <v>97</v>
      </c>
      <c r="J83" s="28">
        <f ca="1">H79</f>
        <v>7</v>
      </c>
      <c r="L83" s="91"/>
      <c r="S83"/>
    </row>
    <row r="84" spans="1:19" ht="15.75" customHeight="1" x14ac:dyDescent="0.3">
      <c r="A84" s="103" t="s">
        <v>123</v>
      </c>
      <c r="B84" s="104"/>
      <c r="C84" s="98">
        <v>7</v>
      </c>
      <c r="D84" s="18">
        <f ca="1">((100/(D79+F79+H79))*C84)/100</f>
        <v>0.875</v>
      </c>
      <c r="E84" s="244"/>
      <c r="F84" s="264"/>
      <c r="G84" s="244"/>
      <c r="H84" s="245"/>
      <c r="I84" s="13" t="s">
        <v>98</v>
      </c>
      <c r="J84" s="29">
        <f ca="1">(IF(B79&gt;1,(H79/(B79+2)),H79/4))</f>
        <v>1.75</v>
      </c>
      <c r="S84"/>
    </row>
    <row r="85" spans="1:19" ht="15.75" customHeight="1" x14ac:dyDescent="0.3">
      <c r="A85" s="103" t="s">
        <v>130</v>
      </c>
      <c r="B85" s="104" t="s">
        <v>124</v>
      </c>
      <c r="C85" s="98">
        <v>7</v>
      </c>
      <c r="D85" s="18">
        <f ca="1">((100/H79)*C85)/100</f>
        <v>1</v>
      </c>
      <c r="E85" s="244"/>
      <c r="F85" s="264"/>
      <c r="G85" s="244"/>
      <c r="H85" s="245"/>
      <c r="I85" s="13" t="s">
        <v>99</v>
      </c>
      <c r="J85" s="29">
        <f ca="1">(IF(B79&gt;1,(H79/(B79+2)+J84),H79/4+J84))</f>
        <v>3.5</v>
      </c>
    </row>
    <row r="86" spans="1:19" ht="15.75" customHeight="1" x14ac:dyDescent="0.3">
      <c r="A86" s="103" t="s">
        <v>131</v>
      </c>
      <c r="B86" s="104" t="s">
        <v>124</v>
      </c>
      <c r="C86" s="98">
        <v>6</v>
      </c>
      <c r="D86" s="18">
        <f ca="1">((100/H79)*C86)/100</f>
        <v>0.85714285714285721</v>
      </c>
      <c r="E86" s="244"/>
      <c r="F86" s="264"/>
      <c r="G86" s="244"/>
      <c r="H86" s="245"/>
      <c r="I86" s="13" t="s">
        <v>140</v>
      </c>
      <c r="J86" s="29">
        <f>(IF(B79&gt;1,(H79/(B79+2)+J85),0))</f>
        <v>0</v>
      </c>
    </row>
    <row r="87" spans="1:19" ht="15" customHeight="1" x14ac:dyDescent="0.3">
      <c r="A87" s="103" t="s">
        <v>129</v>
      </c>
      <c r="B87" s="104" t="s">
        <v>126</v>
      </c>
      <c r="C87" s="42">
        <v>6</v>
      </c>
      <c r="D87" s="18">
        <f ca="1">((100/(H79))*C87)/100</f>
        <v>0.85714285714285721</v>
      </c>
      <c r="E87" s="244"/>
      <c r="F87" s="264"/>
      <c r="G87" s="244"/>
      <c r="H87" s="245"/>
      <c r="I87" s="13" t="s">
        <v>137</v>
      </c>
      <c r="J87" s="29">
        <f>(IF(B79&gt;2,(H79/(B79+2)+J86),0))</f>
        <v>0</v>
      </c>
    </row>
    <row r="88" spans="1:19" ht="15.75" customHeight="1" x14ac:dyDescent="0.3">
      <c r="A88" s="103" t="s">
        <v>125</v>
      </c>
      <c r="B88" s="104" t="s">
        <v>125</v>
      </c>
      <c r="C88" s="42">
        <v>5</v>
      </c>
      <c r="D88" s="18">
        <f ca="1">((100/H79)*C88)/100</f>
        <v>0.7142857142857143</v>
      </c>
      <c r="E88" s="244"/>
      <c r="F88" s="264"/>
      <c r="G88" s="244"/>
      <c r="H88" s="245"/>
      <c r="I88" s="13" t="s">
        <v>138</v>
      </c>
      <c r="J88" s="30">
        <f>(IF(B79&gt;3,(H79/(B79+2)+J87),0))</f>
        <v>0</v>
      </c>
    </row>
    <row r="89" spans="1:19" ht="15.75" customHeight="1" x14ac:dyDescent="0.3">
      <c r="A89" s="103" t="s">
        <v>132</v>
      </c>
      <c r="B89" s="104"/>
      <c r="C89" s="42">
        <v>0</v>
      </c>
      <c r="D89" s="18">
        <f ca="1">((100/H79)*C89)/100</f>
        <v>0</v>
      </c>
      <c r="E89" s="244"/>
      <c r="F89" s="264"/>
      <c r="G89" s="244"/>
      <c r="H89" s="245"/>
      <c r="I89" s="13" t="s">
        <v>139</v>
      </c>
      <c r="J89" s="29">
        <f>(IF(B79&gt;4,(H79/(B79+2)+J88),0))</f>
        <v>0</v>
      </c>
    </row>
    <row r="90" spans="1:19" ht="15.75" customHeight="1" x14ac:dyDescent="0.3">
      <c r="A90" s="103" t="s">
        <v>127</v>
      </c>
      <c r="B90" s="104" t="s">
        <v>127</v>
      </c>
      <c r="C90" s="42">
        <v>0</v>
      </c>
      <c r="D90" s="18">
        <f ca="1">((100/(H79))*C90)/100</f>
        <v>0</v>
      </c>
      <c r="E90" s="244"/>
      <c r="F90" s="264"/>
      <c r="G90" s="244"/>
      <c r="H90" s="245"/>
      <c r="I90" s="13" t="s">
        <v>141</v>
      </c>
      <c r="J90" s="29">
        <f ca="1">(IF(B79=1,(H79/(B79+3)+J85),IF(B79=0,(H79/4+J85),IF(B79&gt;1,0))))</f>
        <v>5.25</v>
      </c>
    </row>
    <row r="91" spans="1:19" ht="16.2" thickBot="1" x14ac:dyDescent="0.35">
      <c r="A91" s="106" t="s">
        <v>128</v>
      </c>
      <c r="B91" s="107"/>
      <c r="C91" s="43">
        <v>0</v>
      </c>
      <c r="D91" s="19">
        <f ca="1">((100/(H79))*C91)/100</f>
        <v>0</v>
      </c>
      <c r="E91" s="246"/>
      <c r="F91" s="265"/>
      <c r="G91" s="246"/>
      <c r="H91" s="247"/>
      <c r="I91" s="14" t="s">
        <v>100</v>
      </c>
      <c r="J91" s="31">
        <f ca="1">(IF(B79&gt;1.5,(H79/(B79+2)+J85+MAX(0,J86-J85)+MAX(0,J87-J86)+MAX(0,J88-J87)+MAX(0,J89-J88)+MAX(0,J90-J89)),IF(B79=1,(H79/(B79+3)+J90),IF(B79=0,H79/4+J90))))</f>
        <v>7</v>
      </c>
    </row>
    <row r="92" spans="1:19" ht="15.75" hidden="1" customHeight="1" x14ac:dyDescent="0.3">
      <c r="A92" s="190" t="s">
        <v>134</v>
      </c>
      <c r="B92" s="191"/>
      <c r="C92" s="192" t="str">
        <f>D70</f>
        <v>Row House No.05 = Gr + 1st to 2nd Floor</v>
      </c>
      <c r="D92" s="193"/>
      <c r="E92" s="193"/>
      <c r="F92" s="193"/>
      <c r="G92" s="193"/>
      <c r="H92" s="194"/>
      <c r="I92" s="48" t="str">
        <f ca="1">IF(D105=100%,"All work Completed. Possession granted to the Building.",IF(D104=100%,"All work Completed, Waiting for OC",I93&amp;""&amp;I94&amp;""&amp;J93&amp;""&amp;J92&amp;" "&amp;J94))</f>
        <v xml:space="preserve">Excavation, Plinth Completed </v>
      </c>
      <c r="J92" s="49" t="str">
        <f ca="1">(IF(C98=(D93+F93+H93),"",IF(C98&gt;0,", RCC upto "&amp;C98&amp;" Slab","")))&amp;(IF(C99=H93,"",IF(C99&gt;0,", Brickwork upto "&amp;C99&amp;" Floor","")))&amp;(IF(C100=H93,"",IF(C100&gt;0,", Internal Plaster upto "&amp;C100&amp;" Floor","")))&amp;(IF(C101=H93,"",IF(C101&gt;0,", External Plaster upto "&amp;C101&amp;" Floor","")))&amp;(IF(C102=H93,"",IF(C102&gt;0,", Flooring upto "&amp;C102&amp;" Floor","")))&amp;(IF(C103=H93,"",IF(C103&gt;0,", Painting upto "&amp;C103&amp;" Floor","")))&amp;(IF(C104=H93,"",IF(C104&gt;0,", Finishing upto "&amp;C104&amp;" Floor","")))&amp;(IF(C105=H93,"",IF(C105&gt;0,", Possession upto "&amp;C105&amp;" Floor","")))</f>
        <v/>
      </c>
      <c r="S92"/>
    </row>
    <row r="93" spans="1:19" hidden="1" x14ac:dyDescent="0.3">
      <c r="A93" s="15" t="s">
        <v>136</v>
      </c>
      <c r="B93" s="46">
        <f>IF(AND(ISNUMBER(SEARCH("1B",C92))),1,IF(AND(ISNUMBER(SEARCH("2B",C92))),2,IF(AND(ISNUMBER(SEARCH("3B",C92))),3,IF(AND(ISNUMBER(SEARCH("4B",C92))),4,IF(ISNUMBER(SEARCH("5B",C92)),5,0)))))</f>
        <v>0</v>
      </c>
      <c r="C93" s="46" t="s">
        <v>67</v>
      </c>
      <c r="D93" s="46">
        <v>1</v>
      </c>
      <c r="E93" s="46" t="s">
        <v>66</v>
      </c>
      <c r="F93" s="46">
        <v>0</v>
      </c>
      <c r="G93" s="46" t="s">
        <v>75</v>
      </c>
      <c r="H93" s="16">
        <f ca="1">--TRIM(RIGHT(SUBSTITUTE(LEFT(C92,_xlfn.AGGREGATE(16,6,FIND({0,1,2,3,4,5,6,7,8,9},C92,ROW(INDIRECT("1:"&amp;LEN(C92)))),1))," ",REPT(" ",LEN(C92))),LEN(C92)))</f>
        <v>2</v>
      </c>
      <c r="I93" s="50" t="str">
        <f ca="1">IF(D96=100%,"Excavation","")&amp;IF(D97=100%,", Plinth","")&amp;IF(D98=100%,", RCC Slab","")&amp;IF(D99=100%,", Brickwork","")&amp;IF(D100=100%,", Internal Plaster","")&amp;IF(D101=100%,", External Plaster","")&amp;IF(D102=100%,", Flooring","")&amp;IF(D103=100%,", Painting","")&amp;IF(D104=100%,", Building common Amenities","")</f>
        <v>Excavation, Plinth</v>
      </c>
      <c r="J93" s="51" t="str">
        <f ca="1">(IF(C96=0,"Work not yet Started.",IF(D96=25%,"Piling work in process",IF(D96=50%,"Excavation work in process",IF(D96=100%,"","0")))))&amp;(IF(C97=0%,"",IF(C97=J98,", Footing work is process",IF(C97=J99,", Footing work Completed",IF(C97=J100,", 1st Basement Completed",IF(C97=J101,", 1st &amp; 2nd Basement Completed",IF(C97=J102,", 1st to 3rd Basement Completed",IF(C97=J103,", 1st to 4th Basement Completed",IF(C97=J104,", Plinth work is process",IF(C97=J105,"","0"))))))))))</f>
        <v/>
      </c>
      <c r="S93"/>
    </row>
    <row r="94" spans="1:19" hidden="1" x14ac:dyDescent="0.3">
      <c r="A94" s="189" t="s">
        <v>85</v>
      </c>
      <c r="B94" s="172"/>
      <c r="C94" s="195" t="str">
        <f ca="1">I92</f>
        <v xml:space="preserve">Excavation, Plinth Completed </v>
      </c>
      <c r="D94" s="195"/>
      <c r="E94" s="195"/>
      <c r="F94" s="195"/>
      <c r="G94" s="195"/>
      <c r="H94" s="196"/>
      <c r="I94" s="50" t="str">
        <f ca="1">IF(I93&lt;&gt;""," Completed","")</f>
        <v xml:space="preserve"> Completed</v>
      </c>
      <c r="J94" s="51" t="str">
        <f ca="1">IF(J92&lt;&gt;"","Completed","")</f>
        <v/>
      </c>
      <c r="S94"/>
    </row>
    <row r="95" spans="1:19" ht="15.75" hidden="1" customHeight="1" x14ac:dyDescent="0.3">
      <c r="A95" s="103" t="s">
        <v>46</v>
      </c>
      <c r="B95" s="104"/>
      <c r="C95" s="98" t="s">
        <v>133</v>
      </c>
      <c r="D95" s="98" t="s">
        <v>78</v>
      </c>
      <c r="E95" s="249" t="s">
        <v>80</v>
      </c>
      <c r="F95" s="249"/>
      <c r="G95" s="249" t="s">
        <v>79</v>
      </c>
      <c r="H95" s="250"/>
      <c r="I95" s="13" t="s">
        <v>135</v>
      </c>
      <c r="J95" s="27">
        <f ca="1">H93*25%</f>
        <v>0.5</v>
      </c>
      <c r="S95"/>
    </row>
    <row r="96" spans="1:19" hidden="1" x14ac:dyDescent="0.3">
      <c r="A96" s="103" t="s">
        <v>122</v>
      </c>
      <c r="B96" s="104"/>
      <c r="C96" s="98">
        <f ca="1">J97</f>
        <v>2</v>
      </c>
      <c r="D96" s="99">
        <f ca="1">((100/H93)*C96)/100</f>
        <v>1</v>
      </c>
      <c r="E96" s="232">
        <f ca="1">(((C97/H93*10)+(40/(D93+F93+H93)*C98)+(7.5/(H93)*C99)+(7.5/(H93)*C100)+(10/H93*C101)+(10/H93*C102)+(5/H93*C103)+(5/H93*C104)+(5/H93*C105))/100)</f>
        <v>0.1</v>
      </c>
      <c r="F96" s="260"/>
      <c r="G96" s="232">
        <f ca="1">((((C96/H93)*20)+((C97/H93)*25)+(30/(H93+F93+D93)*C98)+(5/H93*C99)+(5/H93*C100)+(5/H93*C101)+(5/H93*C102)+(0/H93*C103)+(0/H93*C104)+(5/H93*C105))/100)</f>
        <v>0.45</v>
      </c>
      <c r="H96" s="233"/>
      <c r="I96" s="13" t="s">
        <v>96</v>
      </c>
      <c r="J96" s="28">
        <f ca="1">H93*50%</f>
        <v>1</v>
      </c>
    </row>
    <row r="97" spans="1:22" hidden="1" x14ac:dyDescent="0.3">
      <c r="A97" s="103" t="s">
        <v>47</v>
      </c>
      <c r="B97" s="104"/>
      <c r="C97" s="98">
        <f ca="1">J105</f>
        <v>2</v>
      </c>
      <c r="D97" s="99">
        <f ca="1">((100/H93)*C97)/100</f>
        <v>1</v>
      </c>
      <c r="E97" s="234"/>
      <c r="F97" s="261"/>
      <c r="G97" s="234"/>
      <c r="H97" s="235"/>
      <c r="I97" s="13" t="s">
        <v>97</v>
      </c>
      <c r="J97" s="28">
        <f ca="1">H93</f>
        <v>2</v>
      </c>
      <c r="S97"/>
    </row>
    <row r="98" spans="1:22" ht="15.75" hidden="1" customHeight="1" x14ac:dyDescent="0.3">
      <c r="A98" s="103" t="s">
        <v>123</v>
      </c>
      <c r="B98" s="104"/>
      <c r="C98" s="98">
        <v>0</v>
      </c>
      <c r="D98" s="99">
        <f ca="1">((100/(D93+F93+H93))*C98)/100</f>
        <v>0</v>
      </c>
      <c r="E98" s="234"/>
      <c r="F98" s="261"/>
      <c r="G98" s="234"/>
      <c r="H98" s="235"/>
      <c r="I98" s="13" t="s">
        <v>98</v>
      </c>
      <c r="J98" s="29">
        <f ca="1">(IF(B93&gt;1,(H93/(B93+2)),H93/4))</f>
        <v>0.5</v>
      </c>
      <c r="S98"/>
    </row>
    <row r="99" spans="1:22" ht="15.75" hidden="1" customHeight="1" x14ac:dyDescent="0.3">
      <c r="A99" s="103" t="s">
        <v>130</v>
      </c>
      <c r="B99" s="104" t="s">
        <v>124</v>
      </c>
      <c r="C99" s="98">
        <v>0</v>
      </c>
      <c r="D99" s="99">
        <f ca="1">((100/H93)*C99)/100</f>
        <v>0</v>
      </c>
      <c r="E99" s="234"/>
      <c r="F99" s="261"/>
      <c r="G99" s="234"/>
      <c r="H99" s="235"/>
      <c r="I99" s="13" t="s">
        <v>99</v>
      </c>
      <c r="J99" s="29">
        <f ca="1">(IF(B93&gt;1,(H93/(B93+2)+J98),H93/4+J98))</f>
        <v>1</v>
      </c>
    </row>
    <row r="100" spans="1:22" ht="15.75" hidden="1" customHeight="1" x14ac:dyDescent="0.3">
      <c r="A100" s="103" t="s">
        <v>131</v>
      </c>
      <c r="B100" s="104" t="s">
        <v>124</v>
      </c>
      <c r="C100" s="98">
        <v>0</v>
      </c>
      <c r="D100" s="99">
        <f ca="1">((100/H93)*C100)/100</f>
        <v>0</v>
      </c>
      <c r="E100" s="234"/>
      <c r="F100" s="261"/>
      <c r="G100" s="234"/>
      <c r="H100" s="235"/>
      <c r="I100" s="13" t="s">
        <v>140</v>
      </c>
      <c r="J100" s="29">
        <f>(IF(B93&gt;1,(H93/(B93+2)+J99),0))</f>
        <v>0</v>
      </c>
    </row>
    <row r="101" spans="1:22" ht="15" hidden="1" customHeight="1" x14ac:dyDescent="0.3">
      <c r="A101" s="103" t="s">
        <v>129</v>
      </c>
      <c r="B101" s="104" t="s">
        <v>126</v>
      </c>
      <c r="C101" s="98">
        <v>0</v>
      </c>
      <c r="D101" s="99">
        <f ca="1">((100/(H93))*C101)/100</f>
        <v>0</v>
      </c>
      <c r="E101" s="234"/>
      <c r="F101" s="261"/>
      <c r="G101" s="234"/>
      <c r="H101" s="235"/>
      <c r="I101" s="13" t="s">
        <v>137</v>
      </c>
      <c r="J101" s="29">
        <f>(IF(B93&gt;2,(H93/(B93+2)+J100),0))</f>
        <v>0</v>
      </c>
    </row>
    <row r="102" spans="1:22" ht="15.75" hidden="1" customHeight="1" x14ac:dyDescent="0.3">
      <c r="A102" s="103" t="s">
        <v>125</v>
      </c>
      <c r="B102" s="104" t="s">
        <v>125</v>
      </c>
      <c r="C102" s="98">
        <v>0</v>
      </c>
      <c r="D102" s="99">
        <f ca="1">((100/H93)*C102)/100</f>
        <v>0</v>
      </c>
      <c r="E102" s="234"/>
      <c r="F102" s="261"/>
      <c r="G102" s="234"/>
      <c r="H102" s="235"/>
      <c r="I102" s="13" t="s">
        <v>138</v>
      </c>
      <c r="J102" s="30">
        <f>(IF(B93&gt;3,(H93/(B93+2)+J101),0))</f>
        <v>0</v>
      </c>
    </row>
    <row r="103" spans="1:22" ht="15.75" hidden="1" customHeight="1" x14ac:dyDescent="0.3">
      <c r="A103" s="103" t="s">
        <v>132</v>
      </c>
      <c r="B103" s="104"/>
      <c r="C103" s="98">
        <v>0</v>
      </c>
      <c r="D103" s="99">
        <f ca="1">((100/H93)*C103)/100</f>
        <v>0</v>
      </c>
      <c r="E103" s="234"/>
      <c r="F103" s="261"/>
      <c r="G103" s="234"/>
      <c r="H103" s="235"/>
      <c r="I103" s="13" t="s">
        <v>139</v>
      </c>
      <c r="J103" s="29">
        <f>(IF(B93&gt;4,(H93/(B93+2)+J102),0))</f>
        <v>0</v>
      </c>
    </row>
    <row r="104" spans="1:22" ht="15.75" hidden="1" customHeight="1" x14ac:dyDescent="0.3">
      <c r="A104" s="103" t="s">
        <v>127</v>
      </c>
      <c r="B104" s="104" t="s">
        <v>127</v>
      </c>
      <c r="C104" s="98">
        <v>0</v>
      </c>
      <c r="D104" s="99">
        <f ca="1">((100/(H93))*C104)/100</f>
        <v>0</v>
      </c>
      <c r="E104" s="234"/>
      <c r="F104" s="261"/>
      <c r="G104" s="234"/>
      <c r="H104" s="235"/>
      <c r="I104" s="13" t="s">
        <v>141</v>
      </c>
      <c r="J104" s="29">
        <f ca="1">(IF(B93=1,(H93/(B93+3)+J99),IF(B93=0,(H93/4+J99),IF(B93&gt;1,0))))</f>
        <v>1.5</v>
      </c>
    </row>
    <row r="105" spans="1:22" ht="16.2" hidden="1" thickBot="1" x14ac:dyDescent="0.35">
      <c r="A105" s="106" t="s">
        <v>128</v>
      </c>
      <c r="B105" s="107"/>
      <c r="C105" s="100">
        <v>0</v>
      </c>
      <c r="D105" s="101">
        <f ca="1">((100/(H93))*C105)/100</f>
        <v>0</v>
      </c>
      <c r="E105" s="236"/>
      <c r="F105" s="262"/>
      <c r="G105" s="236"/>
      <c r="H105" s="237"/>
      <c r="I105" s="14" t="s">
        <v>100</v>
      </c>
      <c r="J105" s="31">
        <f ca="1">(IF(B93&gt;1.5,(H93/(B93+2)+J99+MAX(0,J100-J99)+MAX(0,J101-J100)+MAX(0,J102-J101)+MAX(0,J103-J102)+MAX(0,J104-J103)),IF(B93=1,(H93/(B93+3)+J104),IF(B93=0,H93/4+J104))))</f>
        <v>2</v>
      </c>
    </row>
    <row r="106" spans="1:22" x14ac:dyDescent="0.3">
      <c r="A106" s="151" t="s">
        <v>151</v>
      </c>
      <c r="B106" s="151"/>
      <c r="C106" s="151"/>
      <c r="D106" s="151"/>
      <c r="E106" s="151"/>
      <c r="F106" s="157" t="s">
        <v>155</v>
      </c>
      <c r="G106" s="157"/>
      <c r="H106" s="157"/>
      <c r="R106" t="s">
        <v>246</v>
      </c>
      <c r="S106" t="s">
        <v>166</v>
      </c>
      <c r="T106" t="s">
        <v>173</v>
      </c>
      <c r="U106" t="s">
        <v>187</v>
      </c>
      <c r="V106" t="s">
        <v>182</v>
      </c>
    </row>
    <row r="107" spans="1:22" x14ac:dyDescent="0.3">
      <c r="A107" s="114" t="s">
        <v>153</v>
      </c>
      <c r="B107" s="114"/>
      <c r="C107" s="114"/>
      <c r="D107" s="114"/>
      <c r="E107" s="114"/>
      <c r="F107" s="167">
        <v>6000</v>
      </c>
      <c r="G107" s="167"/>
      <c r="H107" s="167"/>
      <c r="R107"/>
      <c r="S107">
        <v>800000</v>
      </c>
      <c r="T107">
        <v>150000</v>
      </c>
      <c r="U107">
        <v>100000</v>
      </c>
      <c r="V107">
        <v>100000</v>
      </c>
    </row>
    <row r="108" spans="1:22" hidden="1" x14ac:dyDescent="0.3">
      <c r="A108" s="114" t="s">
        <v>152</v>
      </c>
      <c r="B108" s="114"/>
      <c r="C108" s="114"/>
      <c r="D108" s="114"/>
      <c r="E108" s="114"/>
      <c r="F108" s="111"/>
      <c r="G108" s="111"/>
      <c r="H108" s="111"/>
      <c r="R108"/>
      <c r="S108">
        <v>900000</v>
      </c>
      <c r="T108">
        <v>200000</v>
      </c>
      <c r="U108">
        <v>150000</v>
      </c>
      <c r="V108">
        <v>150000</v>
      </c>
    </row>
    <row r="109" spans="1:22" hidden="1" x14ac:dyDescent="0.3">
      <c r="A109" s="114" t="s">
        <v>154</v>
      </c>
      <c r="B109" s="114"/>
      <c r="C109" s="114"/>
      <c r="D109" s="114"/>
      <c r="E109" s="114"/>
      <c r="F109" s="111"/>
      <c r="G109" s="111"/>
      <c r="H109" s="111"/>
      <c r="R109"/>
      <c r="S109">
        <v>1000000</v>
      </c>
      <c r="T109">
        <v>250000</v>
      </c>
      <c r="U109">
        <v>200000</v>
      </c>
      <c r="V109">
        <v>200000</v>
      </c>
    </row>
    <row r="110" spans="1:22" s="32" customFormat="1" hidden="1" x14ac:dyDescent="0.3">
      <c r="A110" s="114" t="s">
        <v>168</v>
      </c>
      <c r="B110" s="114"/>
      <c r="C110" s="114"/>
      <c r="D110" s="114"/>
      <c r="E110" s="114"/>
      <c r="F110" s="111"/>
      <c r="G110" s="111"/>
      <c r="H110" s="111"/>
      <c r="R110"/>
      <c r="S110">
        <v>1100000</v>
      </c>
      <c r="T110">
        <v>300000</v>
      </c>
      <c r="U110">
        <v>250000</v>
      </c>
      <c r="V110" s="22">
        <v>250000</v>
      </c>
    </row>
    <row r="111" spans="1:22" s="32" customFormat="1" hidden="1" x14ac:dyDescent="0.3">
      <c r="A111" s="114" t="s">
        <v>90</v>
      </c>
      <c r="B111" s="114"/>
      <c r="C111" s="114"/>
      <c r="D111" s="114"/>
      <c r="E111" s="114"/>
      <c r="F111" s="111"/>
      <c r="G111" s="111"/>
      <c r="H111" s="111"/>
      <c r="R111"/>
      <c r="S111">
        <v>1200000</v>
      </c>
      <c r="T111">
        <v>350000</v>
      </c>
      <c r="U111">
        <v>300000</v>
      </c>
      <c r="V111">
        <v>300000</v>
      </c>
    </row>
    <row r="112" spans="1:22" s="32" customFormat="1" hidden="1" x14ac:dyDescent="0.3">
      <c r="A112" s="114" t="s">
        <v>91</v>
      </c>
      <c r="B112" s="114"/>
      <c r="C112" s="114"/>
      <c r="D112" s="114"/>
      <c r="E112" s="114"/>
      <c r="F112" s="111"/>
      <c r="G112" s="111"/>
      <c r="H112" s="111"/>
      <c r="R112"/>
      <c r="S112">
        <v>1300000</v>
      </c>
      <c r="T112">
        <v>400000</v>
      </c>
      <c r="U112">
        <v>350000</v>
      </c>
      <c r="V112" s="22">
        <v>400000</v>
      </c>
    </row>
    <row r="113" spans="1:22" s="32" customFormat="1" hidden="1" x14ac:dyDescent="0.3">
      <c r="A113" s="114" t="s">
        <v>92</v>
      </c>
      <c r="B113" s="114"/>
      <c r="C113" s="114"/>
      <c r="D113" s="114"/>
      <c r="E113" s="114"/>
      <c r="F113" s="111"/>
      <c r="G113" s="111"/>
      <c r="H113" s="111"/>
      <c r="R113"/>
      <c r="S113">
        <v>1400000</v>
      </c>
      <c r="T113">
        <v>500000</v>
      </c>
      <c r="U113">
        <v>400000</v>
      </c>
      <c r="V113"/>
    </row>
    <row r="114" spans="1:22" s="32" customFormat="1" hidden="1" x14ac:dyDescent="0.3">
      <c r="A114" s="114" t="s">
        <v>93</v>
      </c>
      <c r="B114" s="114"/>
      <c r="C114" s="114"/>
      <c r="D114" s="114"/>
      <c r="E114" s="114"/>
      <c r="F114" s="111"/>
      <c r="G114" s="111"/>
      <c r="H114" s="111"/>
      <c r="R114"/>
      <c r="S114">
        <v>1500000</v>
      </c>
      <c r="T114">
        <v>600000</v>
      </c>
      <c r="U114">
        <v>500000</v>
      </c>
      <c r="V114" s="22"/>
    </row>
    <row r="115" spans="1:22" s="32" customFormat="1" hidden="1" x14ac:dyDescent="0.3">
      <c r="A115" s="114" t="s">
        <v>94</v>
      </c>
      <c r="B115" s="114"/>
      <c r="C115" s="114"/>
      <c r="D115" s="114"/>
      <c r="E115" s="114"/>
      <c r="F115" s="111"/>
      <c r="G115" s="111"/>
      <c r="H115" s="111"/>
      <c r="R115"/>
      <c r="S115">
        <v>1600000</v>
      </c>
      <c r="T115">
        <v>700000</v>
      </c>
      <c r="U115">
        <v>600000</v>
      </c>
      <c r="V115"/>
    </row>
    <row r="116" spans="1:22" s="32" customFormat="1" hidden="1" x14ac:dyDescent="0.3">
      <c r="A116" s="114" t="s">
        <v>95</v>
      </c>
      <c r="B116" s="114"/>
      <c r="C116" s="114"/>
      <c r="D116" s="114"/>
      <c r="E116" s="114"/>
      <c r="F116" s="111"/>
      <c r="G116" s="111"/>
      <c r="H116" s="111"/>
      <c r="R116"/>
      <c r="S116">
        <v>1700000</v>
      </c>
      <c r="T116">
        <v>800000</v>
      </c>
      <c r="U116"/>
      <c r="V116" s="22"/>
    </row>
    <row r="117" spans="1:22" hidden="1" x14ac:dyDescent="0.3">
      <c r="A117" s="114" t="s">
        <v>48</v>
      </c>
      <c r="B117" s="114"/>
      <c r="C117" s="114"/>
      <c r="D117" s="114"/>
      <c r="E117" s="114"/>
      <c r="F117" s="111">
        <v>200000</v>
      </c>
      <c r="G117" s="111"/>
      <c r="H117" s="111"/>
      <c r="R117"/>
      <c r="S117">
        <v>1800000</v>
      </c>
      <c r="T117">
        <v>900000</v>
      </c>
      <c r="U117"/>
    </row>
    <row r="118" spans="1:22" s="33" customFormat="1" x14ac:dyDescent="0.3">
      <c r="A118" s="166" t="s">
        <v>49</v>
      </c>
      <c r="B118" s="166"/>
      <c r="C118" s="166"/>
      <c r="D118" s="166"/>
      <c r="E118" s="166"/>
      <c r="F118" s="167">
        <f>F107*0.8</f>
        <v>4800</v>
      </c>
      <c r="G118" s="167"/>
      <c r="H118" s="167"/>
      <c r="R118" s="20"/>
      <c r="S118" s="20"/>
      <c r="T118">
        <v>1000000</v>
      </c>
      <c r="U118"/>
      <c r="V118" s="20"/>
    </row>
    <row r="119" spans="1:22" s="34" customFormat="1" ht="15.75" hidden="1" customHeight="1" x14ac:dyDescent="0.3">
      <c r="A119" s="165" t="s">
        <v>70</v>
      </c>
      <c r="B119" s="165"/>
      <c r="C119" s="165"/>
      <c r="D119" s="165"/>
      <c r="E119" s="165"/>
      <c r="F119" s="165"/>
      <c r="G119" s="165"/>
      <c r="H119" s="165"/>
      <c r="R119"/>
      <c r="S119" s="20"/>
      <c r="T119"/>
      <c r="U119"/>
      <c r="V119" s="20"/>
    </row>
    <row r="120" spans="1:22" s="34" customFormat="1" ht="15.75" hidden="1" customHeight="1" x14ac:dyDescent="0.3">
      <c r="A120" s="113" t="s">
        <v>50</v>
      </c>
      <c r="B120" s="113"/>
      <c r="C120" s="121" t="s">
        <v>73</v>
      </c>
      <c r="D120" s="121"/>
      <c r="E120" s="108" t="s">
        <v>51</v>
      </c>
      <c r="F120" s="108"/>
      <c r="G120" s="113" t="s">
        <v>52</v>
      </c>
      <c r="H120" s="113"/>
      <c r="R120"/>
      <c r="S120" s="20"/>
      <c r="T120"/>
      <c r="U120" s="20"/>
      <c r="V120" s="20"/>
    </row>
    <row r="121" spans="1:22" s="34" customFormat="1" hidden="1" x14ac:dyDescent="0.3">
      <c r="A121" s="120"/>
      <c r="B121" s="120"/>
      <c r="C121" s="239"/>
      <c r="D121" s="239"/>
      <c r="E121" s="240"/>
      <c r="F121" s="240"/>
      <c r="G121" s="137"/>
      <c r="H121" s="137"/>
      <c r="R121"/>
      <c r="S121" s="20"/>
      <c r="T121"/>
      <c r="U121" s="20"/>
      <c r="V121" s="20"/>
    </row>
    <row r="122" spans="1:22" s="34" customFormat="1" hidden="1" x14ac:dyDescent="0.3">
      <c r="A122" s="120"/>
      <c r="B122" s="120"/>
      <c r="C122" s="239"/>
      <c r="D122" s="239"/>
      <c r="E122" s="240"/>
      <c r="F122" s="240"/>
      <c r="G122" s="137"/>
      <c r="H122" s="137"/>
      <c r="R122"/>
      <c r="S122" s="20"/>
      <c r="T122"/>
      <c r="U122" s="20"/>
      <c r="V122" s="20"/>
    </row>
    <row r="123" spans="1:22" s="34" customFormat="1" hidden="1" x14ac:dyDescent="0.3">
      <c r="A123" s="165" t="s">
        <v>144</v>
      </c>
      <c r="B123" s="165"/>
      <c r="C123" s="121"/>
      <c r="D123" s="121"/>
      <c r="E123" s="108"/>
      <c r="F123" s="108"/>
      <c r="G123" s="113"/>
      <c r="H123" s="113"/>
      <c r="R123"/>
      <c r="S123" s="20"/>
      <c r="T123"/>
      <c r="U123" s="20"/>
      <c r="V123" s="20"/>
    </row>
    <row r="124" spans="1:22" s="34" customFormat="1" x14ac:dyDescent="0.3">
      <c r="A124" s="165" t="s">
        <v>65</v>
      </c>
      <c r="B124" s="165"/>
      <c r="C124" s="165"/>
      <c r="D124" s="165"/>
      <c r="E124" s="165"/>
      <c r="F124" s="165"/>
      <c r="G124" s="165"/>
      <c r="H124" s="165"/>
      <c r="T124"/>
    </row>
    <row r="125" spans="1:22" s="34" customFormat="1" ht="15.75" customHeight="1" x14ac:dyDescent="0.3">
      <c r="A125" s="113" t="s">
        <v>50</v>
      </c>
      <c r="B125" s="113"/>
      <c r="C125" s="121" t="s">
        <v>73</v>
      </c>
      <c r="D125" s="121"/>
      <c r="E125" s="108" t="s">
        <v>51</v>
      </c>
      <c r="F125" s="108"/>
      <c r="G125" s="113" t="s">
        <v>52</v>
      </c>
      <c r="H125" s="113"/>
      <c r="T125"/>
    </row>
    <row r="126" spans="1:22" s="34" customFormat="1" x14ac:dyDescent="0.3">
      <c r="A126" s="120" t="s">
        <v>422</v>
      </c>
      <c r="B126" s="120"/>
      <c r="C126" s="228">
        <f>COUNT(D143)+COUNT(D147:D149)*7</f>
        <v>22</v>
      </c>
      <c r="D126" s="228"/>
      <c r="E126" s="228">
        <f t="shared" ref="E126" si="0">SUM(F143)+SUM(F147:F149)*7</f>
        <v>5082.0073199999997</v>
      </c>
      <c r="F126" s="228"/>
      <c r="G126" s="228">
        <f t="shared" ref="G126" si="1">SUM(H143)+SUM(H147:H149)*7</f>
        <v>7368.9106140000004</v>
      </c>
      <c r="H126" s="228"/>
      <c r="T126"/>
    </row>
    <row r="127" spans="1:22" s="34" customFormat="1" ht="16.2" hidden="1" thickBot="1" x14ac:dyDescent="0.35">
      <c r="A127" s="120" t="s">
        <v>416</v>
      </c>
      <c r="B127" s="120"/>
      <c r="C127" s="228">
        <f>COUNT(D152)</f>
        <v>1</v>
      </c>
      <c r="D127" s="228"/>
      <c r="E127" s="228">
        <f t="shared" ref="E127" si="2">SUM(F152)</f>
        <v>1018.6780499999998</v>
      </c>
      <c r="F127" s="228"/>
      <c r="G127" s="228">
        <f t="shared" ref="G127" si="3">SUM(H152)</f>
        <v>1477.0831724999996</v>
      </c>
      <c r="H127" s="228"/>
      <c r="T127"/>
    </row>
    <row r="128" spans="1:22" s="34" customFormat="1" ht="16.2" hidden="1" thickBot="1" x14ac:dyDescent="0.35">
      <c r="A128" s="149" t="s">
        <v>160</v>
      </c>
      <c r="B128" s="150"/>
      <c r="C128" s="248">
        <f>SUM(C126:D127)</f>
        <v>23</v>
      </c>
      <c r="D128" s="248"/>
      <c r="E128" s="248">
        <f>SUM(E126:F127)</f>
        <v>6100.6853699999992</v>
      </c>
      <c r="F128" s="248"/>
      <c r="G128" s="248">
        <f>SUM(G126:H127)</f>
        <v>8845.9937864999993</v>
      </c>
      <c r="H128" s="248"/>
      <c r="T128"/>
    </row>
    <row r="129" spans="1:20" s="33" customFormat="1" x14ac:dyDescent="0.3">
      <c r="A129" s="160" t="s">
        <v>348</v>
      </c>
      <c r="B129" s="160"/>
      <c r="C129" s="160"/>
      <c r="D129" s="160"/>
      <c r="E129" s="160"/>
      <c r="F129" s="160"/>
      <c r="G129" s="160"/>
      <c r="H129" s="160"/>
      <c r="T129" s="34"/>
    </row>
    <row r="130" spans="1:20" x14ac:dyDescent="0.3">
      <c r="A130" s="112" t="s">
        <v>419</v>
      </c>
      <c r="B130" s="112"/>
      <c r="C130" s="112"/>
      <c r="D130" s="112"/>
      <c r="E130" s="112"/>
      <c r="F130" s="112"/>
      <c r="G130" s="112"/>
      <c r="H130" s="112"/>
      <c r="T130" s="34"/>
    </row>
    <row r="131" spans="1:20" ht="47.25" hidden="1" customHeight="1" x14ac:dyDescent="0.3">
      <c r="A131" s="135" t="s">
        <v>420</v>
      </c>
      <c r="B131" s="135" t="s">
        <v>169</v>
      </c>
      <c r="C131" s="135" t="s">
        <v>53</v>
      </c>
      <c r="D131" s="135" t="s">
        <v>225</v>
      </c>
      <c r="E131" s="152" t="s">
        <v>150</v>
      </c>
      <c r="F131" s="135" t="s">
        <v>54</v>
      </c>
      <c r="G131" s="152" t="s">
        <v>55</v>
      </c>
      <c r="H131" s="93" t="s">
        <v>143</v>
      </c>
      <c r="T131" s="34"/>
    </row>
    <row r="132" spans="1:20" s="36" customFormat="1" hidden="1" x14ac:dyDescent="0.3">
      <c r="A132" s="136"/>
      <c r="B132" s="136"/>
      <c r="C132" s="136"/>
      <c r="D132" s="136"/>
      <c r="E132" s="153"/>
      <c r="F132" s="136"/>
      <c r="G132" s="153"/>
      <c r="H132" s="94">
        <v>0.45</v>
      </c>
      <c r="T132" s="34"/>
    </row>
    <row r="133" spans="1:20" s="36" customFormat="1" hidden="1" x14ac:dyDescent="0.3">
      <c r="A133" s="229" t="s">
        <v>115</v>
      </c>
      <c r="B133" s="230"/>
      <c r="C133" s="230"/>
      <c r="D133" s="230"/>
      <c r="E133" s="230"/>
      <c r="F133" s="230"/>
      <c r="G133" s="230"/>
      <c r="H133" s="231"/>
      <c r="J133" s="35"/>
      <c r="T133" s="34"/>
    </row>
    <row r="134" spans="1:20" s="36" customFormat="1" ht="15.75" hidden="1" customHeight="1" x14ac:dyDescent="0.3">
      <c r="A134" s="115">
        <v>1</v>
      </c>
      <c r="B134" s="116"/>
      <c r="C134" s="95"/>
      <c r="D134" s="95">
        <v>0</v>
      </c>
      <c r="E134" s="95">
        <v>0</v>
      </c>
      <c r="F134" s="95">
        <f>D134+(IF(E134&lt;201,E134,IF(E134&lt;301,E134/2,E134/3)))</f>
        <v>0</v>
      </c>
      <c r="G134" s="95">
        <v>0</v>
      </c>
      <c r="H134" s="95">
        <f>(F134+(IF(G134&lt;101,G134,IF(G134&lt;201,G134/2,IF(G134&lt;=301,G134/3,G134/4)))))*(($H$132)+1)</f>
        <v>0</v>
      </c>
      <c r="I134" s="35"/>
      <c r="L134" s="227"/>
      <c r="M134" s="227"/>
      <c r="N134" s="35"/>
      <c r="T134" s="34"/>
    </row>
    <row r="135" spans="1:20" s="36" customFormat="1" ht="15.75" hidden="1" customHeight="1" x14ac:dyDescent="0.3">
      <c r="A135" s="115">
        <f>A134+1</f>
        <v>2</v>
      </c>
      <c r="B135" s="116"/>
      <c r="C135" s="95"/>
      <c r="D135" s="95"/>
      <c r="E135" s="95">
        <v>0</v>
      </c>
      <c r="F135" s="95">
        <f>D135+(IF(E135&lt;201,E135,IF(E135&lt;301,E135/2,E135/3)))</f>
        <v>0</v>
      </c>
      <c r="G135" s="95">
        <v>0</v>
      </c>
      <c r="H135" s="95">
        <f>(F135+(IF(G135&lt;101,G135,IF(G135&lt;201,G135/2,IF(G135&lt;=301,G135/3,G135/4)))))*(($H$132)+1)</f>
        <v>0</v>
      </c>
      <c r="I135" s="35"/>
      <c r="L135" s="227"/>
      <c r="M135" s="227"/>
      <c r="N135" s="35"/>
      <c r="T135" s="33"/>
    </row>
    <row r="136" spans="1:20" s="36" customFormat="1" ht="15.75" hidden="1" customHeight="1" x14ac:dyDescent="0.3">
      <c r="A136" s="115">
        <f>A135+1</f>
        <v>3</v>
      </c>
      <c r="B136" s="116"/>
      <c r="C136" s="95"/>
      <c r="D136" s="95"/>
      <c r="E136" s="95">
        <v>0</v>
      </c>
      <c r="F136" s="95">
        <f>D136+(IF(E136&lt;201,E136,IF(E136&lt;301,E136/2,E136/3)))</f>
        <v>0</v>
      </c>
      <c r="G136" s="95">
        <v>0</v>
      </c>
      <c r="H136" s="95">
        <f>(F136+(IF(G136&lt;101,G136,IF(G136&lt;201,G136/2,IF(G136&lt;=301,G136/3,G136/4)))))*(($H$132)+1)</f>
        <v>0</v>
      </c>
      <c r="I136" s="35"/>
      <c r="L136" s="227"/>
      <c r="M136" s="227"/>
      <c r="N136" s="35"/>
      <c r="T136" s="20"/>
    </row>
    <row r="137" spans="1:20" s="36" customFormat="1" ht="15.75" hidden="1" customHeight="1" x14ac:dyDescent="0.3">
      <c r="A137" s="115">
        <f>A136+1</f>
        <v>4</v>
      </c>
      <c r="B137" s="116"/>
      <c r="C137" s="95"/>
      <c r="D137" s="95"/>
      <c r="E137" s="95">
        <v>0</v>
      </c>
      <c r="F137" s="95">
        <f>D137+(IF(E137&lt;201,E137,IF(E137&lt;301,E137/2,E137/3)))</f>
        <v>0</v>
      </c>
      <c r="G137" s="95">
        <v>0</v>
      </c>
      <c r="H137" s="95">
        <f>(F137+(IF(G137&lt;101,G137,IF(G137&lt;201,G137/2,IF(G137&lt;=301,G137/3,G137/4)))))*(($H$132)+1)</f>
        <v>0</v>
      </c>
      <c r="I137" s="35"/>
      <c r="L137" s="227"/>
      <c r="M137" s="227"/>
      <c r="N137" s="35"/>
      <c r="T137" s="20"/>
    </row>
    <row r="138" spans="1:20" s="36" customFormat="1" hidden="1" x14ac:dyDescent="0.3">
      <c r="A138" s="115"/>
      <c r="B138" s="147"/>
      <c r="C138" s="147"/>
      <c r="D138" s="147"/>
      <c r="E138" s="147"/>
      <c r="F138" s="147"/>
      <c r="G138" s="147"/>
      <c r="H138" s="116"/>
      <c r="I138" s="35"/>
      <c r="N138" s="35"/>
    </row>
    <row r="139" spans="1:20" ht="47.25" customHeight="1" x14ac:dyDescent="0.3">
      <c r="A139" s="161" t="s">
        <v>421</v>
      </c>
      <c r="B139" s="135" t="s">
        <v>170</v>
      </c>
      <c r="C139" s="135" t="s">
        <v>53</v>
      </c>
      <c r="D139" s="135" t="s">
        <v>369</v>
      </c>
      <c r="E139" s="135" t="s">
        <v>434</v>
      </c>
      <c r="F139" s="135" t="s">
        <v>54</v>
      </c>
      <c r="G139" s="152" t="s">
        <v>55</v>
      </c>
      <c r="H139" s="93" t="s">
        <v>143</v>
      </c>
      <c r="I139" s="35"/>
      <c r="T139" s="36"/>
    </row>
    <row r="140" spans="1:20" s="36" customFormat="1" x14ac:dyDescent="0.3">
      <c r="A140" s="162"/>
      <c r="B140" s="136"/>
      <c r="C140" s="136"/>
      <c r="D140" s="136"/>
      <c r="E140" s="136"/>
      <c r="F140" s="136"/>
      <c r="G140" s="153"/>
      <c r="H140" s="94">
        <v>0.45</v>
      </c>
      <c r="I140" s="35"/>
    </row>
    <row r="141" spans="1:20" s="36" customFormat="1" x14ac:dyDescent="0.3">
      <c r="A141" s="229" t="s">
        <v>411</v>
      </c>
      <c r="B141" s="230"/>
      <c r="C141" s="230"/>
      <c r="D141" s="230"/>
      <c r="E141" s="230"/>
      <c r="F141" s="230"/>
      <c r="G141" s="230"/>
      <c r="H141" s="231"/>
      <c r="J141" s="35"/>
    </row>
    <row r="142" spans="1:20" s="36" customFormat="1" x14ac:dyDescent="0.3">
      <c r="A142" s="138" t="s">
        <v>412</v>
      </c>
      <c r="B142" s="139"/>
      <c r="C142" s="139"/>
      <c r="D142" s="139"/>
      <c r="E142" s="139"/>
      <c r="F142" s="139"/>
      <c r="G142" s="139"/>
      <c r="H142" s="140"/>
      <c r="J142" s="35"/>
    </row>
    <row r="143" spans="1:20" s="36" customFormat="1" ht="15.75" customHeight="1" x14ac:dyDescent="0.3">
      <c r="A143" s="158">
        <v>1</v>
      </c>
      <c r="B143" s="159"/>
      <c r="C143" s="41" t="s">
        <v>413</v>
      </c>
      <c r="D143" s="41">
        <f>(21.68)*10.764</f>
        <v>233.36351999999999</v>
      </c>
      <c r="E143" s="41">
        <v>0</v>
      </c>
      <c r="F143" s="41">
        <f>D143+E143</f>
        <v>233.36351999999999</v>
      </c>
      <c r="G143" s="41">
        <v>0</v>
      </c>
      <c r="H143" s="41">
        <f>F143*(($H$140)+1)+(IF(G143&lt;101,G143,IF(G143&lt;201,G143/2,IF(G143&lt;=301,G143/3,G143/4))))</f>
        <v>338.37710399999997</v>
      </c>
      <c r="I143" s="35"/>
      <c r="J143" s="36">
        <f>4.85*2.75+2.39*2.15+1.2*2.1</f>
        <v>20.995999999999999</v>
      </c>
      <c r="L143" s="227"/>
      <c r="M143" s="227"/>
      <c r="N143" s="35"/>
    </row>
    <row r="144" spans="1:20" s="36" customFormat="1" ht="15.75" customHeight="1" x14ac:dyDescent="0.3">
      <c r="A144" s="158">
        <f>A143+1</f>
        <v>2</v>
      </c>
      <c r="B144" s="159"/>
      <c r="C144" s="251" t="s">
        <v>414</v>
      </c>
      <c r="D144" s="252"/>
      <c r="E144" s="252"/>
      <c r="F144" s="252"/>
      <c r="G144" s="252"/>
      <c r="H144" s="253"/>
      <c r="I144" s="35"/>
      <c r="L144" s="227"/>
      <c r="M144" s="227"/>
      <c r="N144" s="35"/>
    </row>
    <row r="145" spans="1:20" s="36" customFormat="1" ht="15.75" customHeight="1" x14ac:dyDescent="0.3">
      <c r="A145" s="158">
        <f>A144+1</f>
        <v>3</v>
      </c>
      <c r="B145" s="159"/>
      <c r="C145" s="254"/>
      <c r="D145" s="255"/>
      <c r="E145" s="255"/>
      <c r="F145" s="255"/>
      <c r="G145" s="255"/>
      <c r="H145" s="256"/>
      <c r="I145" s="35"/>
      <c r="L145" s="102"/>
      <c r="M145" s="102"/>
      <c r="N145" s="35"/>
    </row>
    <row r="146" spans="1:20" s="36" customFormat="1" x14ac:dyDescent="0.3">
      <c r="A146" s="168" t="s">
        <v>415</v>
      </c>
      <c r="B146" s="168"/>
      <c r="C146" s="168"/>
      <c r="D146" s="168"/>
      <c r="E146" s="168"/>
      <c r="F146" s="168"/>
      <c r="G146" s="168"/>
      <c r="H146" s="168"/>
      <c r="I146" s="35"/>
      <c r="L146" s="227"/>
      <c r="M146" s="227"/>
      <c r="N146" s="36">
        <f>6000</f>
        <v>6000</v>
      </c>
    </row>
    <row r="147" spans="1:20" s="36" customFormat="1" x14ac:dyDescent="0.3">
      <c r="A147" s="134">
        <v>1</v>
      </c>
      <c r="B147" s="134"/>
      <c r="C147" s="41" t="s">
        <v>413</v>
      </c>
      <c r="D147" s="41">
        <f>(21.68)*10.764</f>
        <v>233.36351999999999</v>
      </c>
      <c r="E147" s="41">
        <v>0</v>
      </c>
      <c r="F147" s="41">
        <f>D147+E147</f>
        <v>233.36351999999999</v>
      </c>
      <c r="G147" s="41">
        <v>0</v>
      </c>
      <c r="H147" s="41">
        <f>F147*(($H$140)+1)+(IF(G147&lt;101,G147,IF(G147&lt;201,G147/2,IF(G147&lt;=301,G147/3,G147/4))))</f>
        <v>338.37710399999997</v>
      </c>
      <c r="I147" s="35"/>
      <c r="L147" s="36">
        <v>2000000</v>
      </c>
      <c r="M147" s="36">
        <f>L147/H147</f>
        <v>5910.5653909727889</v>
      </c>
      <c r="N147" s="35">
        <f>$N$146*H147</f>
        <v>2030262.6239999998</v>
      </c>
    </row>
    <row r="148" spans="1:20" s="36" customFormat="1" x14ac:dyDescent="0.3">
      <c r="A148" s="134">
        <f>A147+1</f>
        <v>2</v>
      </c>
      <c r="B148" s="134"/>
      <c r="C148" s="41" t="s">
        <v>413</v>
      </c>
      <c r="D148" s="41">
        <f>(23.71)*10.764</f>
        <v>255.21444</v>
      </c>
      <c r="E148" s="41">
        <v>0</v>
      </c>
      <c r="F148" s="41">
        <f>D148+E148</f>
        <v>255.21444</v>
      </c>
      <c r="G148" s="41">
        <v>0</v>
      </c>
      <c r="H148" s="41">
        <f>F148*(($H$140)+1)+(IF(G148&lt;101,G148,IF(G148&lt;201,G148/2,IF(G148&lt;=301,G148/3,G148/4))))</f>
        <v>370.06093799999996</v>
      </c>
      <c r="I148" s="35"/>
      <c r="J148" s="36">
        <f>4.01*3.03+2.61*1.85+0.74*2.15+1.31*1.91+0.9*1.31</f>
        <v>22.250899999999998</v>
      </c>
      <c r="L148" s="36">
        <v>1850001</v>
      </c>
      <c r="M148" s="36">
        <f>L148/H148</f>
        <v>4999.1793513748271</v>
      </c>
      <c r="N148" s="35">
        <f t="shared" ref="N148:N149" si="4">$N$146*H148</f>
        <v>2220365.6279999996</v>
      </c>
    </row>
    <row r="149" spans="1:20" s="36" customFormat="1" x14ac:dyDescent="0.3">
      <c r="A149" s="134">
        <f>A148+1</f>
        <v>3</v>
      </c>
      <c r="B149" s="134"/>
      <c r="C149" s="41" t="s">
        <v>413</v>
      </c>
      <c r="D149" s="41">
        <f>(18.96)*10.764</f>
        <v>204.08544000000001</v>
      </c>
      <c r="E149" s="41">
        <v>0</v>
      </c>
      <c r="F149" s="41">
        <f>D149+E149</f>
        <v>204.08544000000001</v>
      </c>
      <c r="G149" s="41">
        <v>0</v>
      </c>
      <c r="H149" s="41">
        <f>F149*(($H$140)+1)+(IF(G149&lt;101,G149,IF(G149&lt;201,G149/2,IF(G149&lt;=301,G149/3,G149/4))))</f>
        <v>295.92388799999998</v>
      </c>
      <c r="I149" s="35"/>
      <c r="N149" s="35">
        <f>$N$146*H149</f>
        <v>1775543.3279999997</v>
      </c>
    </row>
    <row r="150" spans="1:20" s="36" customFormat="1" ht="15.75" hidden="1" customHeight="1" x14ac:dyDescent="0.3">
      <c r="A150" s="138" t="s">
        <v>416</v>
      </c>
      <c r="B150" s="139"/>
      <c r="C150" s="139"/>
      <c r="D150" s="139"/>
      <c r="E150" s="139"/>
      <c r="F150" s="139"/>
      <c r="G150" s="139"/>
      <c r="H150" s="140"/>
      <c r="I150" s="35"/>
    </row>
    <row r="151" spans="1:20" s="36" customFormat="1" ht="15.75" hidden="1" customHeight="1" x14ac:dyDescent="0.3">
      <c r="A151" s="138" t="s">
        <v>417</v>
      </c>
      <c r="B151" s="139"/>
      <c r="C151" s="139"/>
      <c r="D151" s="139"/>
      <c r="E151" s="139"/>
      <c r="F151" s="139"/>
      <c r="G151" s="139"/>
      <c r="H151" s="140"/>
      <c r="I151" s="35"/>
    </row>
    <row r="152" spans="1:20" s="36" customFormat="1" ht="15.75" hidden="1" customHeight="1" x14ac:dyDescent="0.3">
      <c r="A152" s="158">
        <v>1</v>
      </c>
      <c r="B152" s="159"/>
      <c r="C152" s="41" t="s">
        <v>418</v>
      </c>
      <c r="D152" s="41">
        <f>(3.45*3.9+2.15*1.05+3.15*2+1.2*2+3.3*1.05+3.45*2.3+2.3*1.15+3.15*2.45+1.2*2.45+3.3*1.05+3.45*2.3+2.3*1.15+3.15*2.45+0.9*4.8+1*1.1+2.2*1.1+2.2*1.1)*10.764</f>
        <v>873.36404999999979</v>
      </c>
      <c r="E152" s="41">
        <f>((1.5*4.5)*2)*10.764</f>
        <v>145.31399999999999</v>
      </c>
      <c r="F152" s="41">
        <f>D152+E152</f>
        <v>1018.6780499999998</v>
      </c>
      <c r="G152" s="41">
        <v>0</v>
      </c>
      <c r="H152" s="41">
        <f>F152*(($H$140)+1)+(IF(G152&lt;101,G152,IF(G152&lt;201,G152/2,IF(G152&lt;=301,G152/3,G152/4))))</f>
        <v>1477.0831724999996</v>
      </c>
      <c r="I152" s="35"/>
    </row>
    <row r="153" spans="1:20" s="34" customFormat="1" x14ac:dyDescent="0.3">
      <c r="A153" s="148" t="s">
        <v>63</v>
      </c>
      <c r="B153" s="148"/>
      <c r="C153" s="148"/>
      <c r="D153" s="148"/>
      <c r="E153" s="148"/>
      <c r="F153" s="148"/>
      <c r="G153" s="148"/>
      <c r="H153" s="148"/>
      <c r="T153" s="36"/>
    </row>
    <row r="154" spans="1:20" s="34" customFormat="1" x14ac:dyDescent="0.3">
      <c r="A154" s="45" t="s">
        <v>147</v>
      </c>
      <c r="B154" s="141" t="s">
        <v>428</v>
      </c>
      <c r="C154" s="142"/>
      <c r="D154" s="142"/>
      <c r="E154" s="142"/>
      <c r="F154" s="142"/>
      <c r="G154" s="142"/>
      <c r="H154" s="143"/>
      <c r="T154" s="36"/>
    </row>
    <row r="155" spans="1:20" s="34" customFormat="1" x14ac:dyDescent="0.3">
      <c r="A155" s="45" t="s">
        <v>147</v>
      </c>
      <c r="B155" s="141" t="str">
        <f>(IF(H139="Saleable area Loading :","We have considered Saleable area of Flats as per our Calculation.","We considered Saleable area of Flat as per Builder area Sheet."))</f>
        <v>We have considered Saleable area of Flats as per our Calculation.</v>
      </c>
      <c r="C155" s="142"/>
      <c r="D155" s="142"/>
      <c r="E155" s="142"/>
      <c r="F155" s="142"/>
      <c r="G155" s="142"/>
      <c r="H155" s="143"/>
      <c r="T155" s="36"/>
    </row>
    <row r="156" spans="1:20" s="34" customFormat="1" hidden="1" x14ac:dyDescent="0.3">
      <c r="A156" s="45" t="s">
        <v>147</v>
      </c>
      <c r="B156" s="144" t="str">
        <f>(IF(H131="Saleable area Loading :","We have considered Saleable area of Commercial as per our Calculation.","We considered Saleable area of Commercial as per Builder area Sheet."))</f>
        <v>We have considered Saleable area of Commercial as per our Calculation.</v>
      </c>
      <c r="C156" s="145"/>
      <c r="D156" s="145"/>
      <c r="E156" s="145"/>
      <c r="F156" s="145"/>
      <c r="G156" s="145"/>
      <c r="H156" s="146"/>
      <c r="T156" s="36"/>
    </row>
    <row r="157" spans="1:20" s="34" customFormat="1" x14ac:dyDescent="0.3">
      <c r="A157" s="45" t="s">
        <v>147</v>
      </c>
      <c r="B157" s="154" t="s">
        <v>117</v>
      </c>
      <c r="C157" s="155"/>
      <c r="D157" s="155"/>
      <c r="E157" s="155"/>
      <c r="F157" s="155"/>
      <c r="G157" s="155"/>
      <c r="H157" s="156"/>
      <c r="T157" s="36"/>
    </row>
    <row r="158" spans="1:20" s="34" customFormat="1" x14ac:dyDescent="0.3">
      <c r="A158" s="45" t="s">
        <v>147</v>
      </c>
      <c r="B158" s="141" t="s">
        <v>433</v>
      </c>
      <c r="C158" s="142"/>
      <c r="D158" s="142"/>
      <c r="E158" s="142"/>
      <c r="F158" s="142"/>
      <c r="G158" s="142"/>
      <c r="H158" s="143"/>
      <c r="T158" s="36"/>
    </row>
    <row r="159" spans="1:20" s="34" customFormat="1" x14ac:dyDescent="0.3">
      <c r="A159" s="45" t="s">
        <v>147</v>
      </c>
      <c r="B159" s="154" t="s">
        <v>146</v>
      </c>
      <c r="C159" s="155"/>
      <c r="D159" s="155"/>
      <c r="E159" s="155"/>
      <c r="F159" s="155"/>
      <c r="G159" s="155"/>
      <c r="H159" s="156"/>
    </row>
    <row r="160" spans="1:20" s="34" customFormat="1" x14ac:dyDescent="0.3">
      <c r="A160" s="45" t="s">
        <v>147</v>
      </c>
      <c r="B160" s="154" t="s">
        <v>118</v>
      </c>
      <c r="C160" s="155"/>
      <c r="D160" s="155"/>
      <c r="E160" s="155"/>
      <c r="F160" s="155"/>
      <c r="G160" s="155"/>
      <c r="H160" s="156"/>
    </row>
    <row r="161" spans="1:20" s="97" customFormat="1" ht="34.5" customHeight="1" x14ac:dyDescent="0.3">
      <c r="A161" s="96" t="s">
        <v>147</v>
      </c>
      <c r="B161" s="141" t="s">
        <v>148</v>
      </c>
      <c r="C161" s="142"/>
      <c r="D161" s="142"/>
      <c r="E161" s="142"/>
      <c r="F161" s="142"/>
      <c r="G161" s="142"/>
      <c r="H161" s="143"/>
    </row>
    <row r="162" spans="1:20" s="34" customFormat="1" x14ac:dyDescent="0.3">
      <c r="A162" s="45" t="s">
        <v>147</v>
      </c>
      <c r="B162" s="154" t="s">
        <v>119</v>
      </c>
      <c r="C162" s="155"/>
      <c r="D162" s="155"/>
      <c r="E162" s="155"/>
      <c r="F162" s="155"/>
      <c r="G162" s="155"/>
      <c r="H162" s="156"/>
    </row>
    <row r="163" spans="1:20" s="34" customFormat="1" ht="32.25" hidden="1" customHeight="1" x14ac:dyDescent="0.3">
      <c r="A163" s="45" t="s">
        <v>147</v>
      </c>
      <c r="B163" s="144" t="s">
        <v>171</v>
      </c>
      <c r="C163" s="145"/>
      <c r="D163" s="145"/>
      <c r="E163" s="145"/>
      <c r="F163" s="145"/>
      <c r="G163" s="145"/>
      <c r="H163" s="146"/>
    </row>
    <row r="164" spans="1:20" s="34" customFormat="1" ht="38.25" hidden="1" customHeight="1" x14ac:dyDescent="0.3">
      <c r="A164" s="45" t="s">
        <v>147</v>
      </c>
      <c r="B164" s="144" t="s">
        <v>342</v>
      </c>
      <c r="C164" s="145"/>
      <c r="D164" s="145"/>
      <c r="E164" s="145"/>
      <c r="F164" s="145"/>
      <c r="G164" s="145"/>
      <c r="H164" s="146"/>
    </row>
    <row r="165" spans="1:20" s="34" customFormat="1" hidden="1" x14ac:dyDescent="0.3">
      <c r="A165" s="45" t="s">
        <v>147</v>
      </c>
      <c r="B165" s="144" t="s">
        <v>343</v>
      </c>
      <c r="C165" s="145"/>
      <c r="D165" s="145"/>
      <c r="E165" s="145"/>
      <c r="F165" s="145"/>
      <c r="G165" s="145"/>
      <c r="H165" s="146"/>
    </row>
    <row r="166" spans="1:20" s="34" customFormat="1" hidden="1" x14ac:dyDescent="0.3">
      <c r="A166" s="45" t="s">
        <v>147</v>
      </c>
      <c r="B166" s="144" t="str">
        <f ca="1">IF(G55&gt;EDATE(E3,-48),"NO REMARK FOR CC","REMARK FOR CC")</f>
        <v>NO REMARK FOR CC</v>
      </c>
      <c r="C166" s="145"/>
      <c r="D166" s="145"/>
      <c r="E166" s="145"/>
      <c r="F166" s="145"/>
      <c r="G166" s="145"/>
      <c r="H166" s="146"/>
    </row>
    <row r="167" spans="1:20" s="34" customFormat="1" ht="81.75" hidden="1" customHeight="1" x14ac:dyDescent="0.3">
      <c r="A167" s="45" t="s">
        <v>147</v>
      </c>
      <c r="B167" s="144" t="s">
        <v>344</v>
      </c>
      <c r="C167" s="145"/>
      <c r="D167" s="145"/>
      <c r="E167" s="145"/>
      <c r="F167" s="145"/>
      <c r="G167" s="145"/>
      <c r="H167" s="146"/>
    </row>
    <row r="168" spans="1:20" s="34" customFormat="1" ht="66" customHeight="1" x14ac:dyDescent="0.3">
      <c r="A168" s="45" t="s">
        <v>147</v>
      </c>
      <c r="B168" s="154" t="s">
        <v>430</v>
      </c>
      <c r="C168" s="155"/>
      <c r="D168" s="155"/>
      <c r="E168" s="155"/>
      <c r="F168" s="155"/>
      <c r="G168" s="155"/>
      <c r="H168" s="156"/>
    </row>
    <row r="169" spans="1:20" s="34" customFormat="1" x14ac:dyDescent="0.3">
      <c r="A169" s="45" t="s">
        <v>147</v>
      </c>
      <c r="B169" s="154" t="s">
        <v>429</v>
      </c>
      <c r="C169" s="155"/>
      <c r="D169" s="155"/>
      <c r="E169" s="155"/>
      <c r="F169" s="155"/>
      <c r="G169" s="155"/>
      <c r="H169" s="156"/>
    </row>
    <row r="170" spans="1:20" x14ac:dyDescent="0.3">
      <c r="A170" s="169" t="s">
        <v>56</v>
      </c>
      <c r="B170" s="169"/>
      <c r="C170" s="169"/>
      <c r="D170" s="169"/>
      <c r="E170" s="169"/>
      <c r="F170" s="169"/>
      <c r="G170" s="169"/>
      <c r="H170" s="169"/>
      <c r="T170" s="34"/>
    </row>
    <row r="171" spans="1:20" x14ac:dyDescent="0.3">
      <c r="A171" s="114" t="s">
        <v>57</v>
      </c>
      <c r="B171" s="114"/>
      <c r="C171" s="114"/>
      <c r="D171" s="114"/>
      <c r="E171" s="114"/>
      <c r="F171" s="114"/>
      <c r="G171" s="114"/>
      <c r="H171" s="114"/>
      <c r="T171" s="34"/>
    </row>
    <row r="172" spans="1:20" ht="15.75" customHeight="1" x14ac:dyDescent="0.3">
      <c r="A172" s="133" t="s">
        <v>58</v>
      </c>
      <c r="B172" s="133"/>
      <c r="C172" s="133"/>
      <c r="D172" s="133"/>
      <c r="E172" s="133"/>
      <c r="F172" s="133"/>
      <c r="G172" s="133"/>
      <c r="H172" s="133"/>
      <c r="T172" s="34"/>
    </row>
    <row r="173" spans="1:20" x14ac:dyDescent="0.3">
      <c r="A173" s="114" t="s">
        <v>59</v>
      </c>
      <c r="B173" s="114"/>
      <c r="C173" s="114"/>
      <c r="D173" s="114"/>
      <c r="E173" s="114"/>
      <c r="F173" s="114"/>
      <c r="G173" s="114"/>
      <c r="H173" s="114"/>
      <c r="T173" s="34"/>
    </row>
    <row r="174" spans="1:20" x14ac:dyDescent="0.3">
      <c r="A174" s="114" t="s">
        <v>60</v>
      </c>
      <c r="B174" s="114"/>
      <c r="C174" s="114"/>
      <c r="D174" s="114"/>
      <c r="E174" s="114"/>
      <c r="F174" s="114"/>
      <c r="G174" s="114"/>
      <c r="H174" s="114"/>
      <c r="T174" s="34"/>
    </row>
    <row r="175" spans="1:20" x14ac:dyDescent="0.3">
      <c r="A175" s="114" t="s">
        <v>120</v>
      </c>
      <c r="B175" s="114"/>
      <c r="C175" s="114"/>
      <c r="D175" s="114"/>
      <c r="E175" s="114"/>
      <c r="F175" s="114"/>
      <c r="G175" s="114"/>
      <c r="H175" s="114"/>
      <c r="T175" s="34"/>
    </row>
    <row r="176" spans="1:20" ht="33.9" customHeight="1" x14ac:dyDescent="0.3">
      <c r="A176" s="122" t="s">
        <v>121</v>
      </c>
      <c r="B176" s="122"/>
      <c r="C176" s="122"/>
      <c r="D176" s="122"/>
      <c r="E176" s="122"/>
      <c r="F176" s="122"/>
      <c r="G176" s="122"/>
      <c r="H176" s="122"/>
    </row>
    <row r="177" spans="1:8" x14ac:dyDescent="0.3">
      <c r="A177" s="164" t="s">
        <v>72</v>
      </c>
      <c r="B177" s="164"/>
      <c r="C177" s="164" t="s">
        <v>427</v>
      </c>
      <c r="D177" s="164"/>
      <c r="E177" s="164" t="s">
        <v>102</v>
      </c>
      <c r="F177" s="164"/>
      <c r="G177" s="164" t="s">
        <v>423</v>
      </c>
      <c r="H177" s="164"/>
    </row>
    <row r="178" spans="1:8" x14ac:dyDescent="0.3">
      <c r="A178" s="163" t="s">
        <v>74</v>
      </c>
      <c r="B178" s="163"/>
      <c r="C178" s="163"/>
      <c r="D178" s="163"/>
      <c r="E178" s="163"/>
      <c r="F178" s="163"/>
      <c r="G178" s="163"/>
      <c r="H178" s="163"/>
    </row>
    <row r="179" spans="1:8" x14ac:dyDescent="0.3">
      <c r="A179" s="163"/>
      <c r="B179" s="163"/>
      <c r="C179" s="163"/>
      <c r="D179" s="163"/>
      <c r="E179" s="163"/>
      <c r="F179" s="163"/>
      <c r="G179" s="163"/>
      <c r="H179" s="163"/>
    </row>
    <row r="180" spans="1:8" x14ac:dyDescent="0.3">
      <c r="A180" s="163"/>
      <c r="B180" s="163"/>
      <c r="C180" s="163"/>
      <c r="D180" s="163"/>
      <c r="E180" s="163"/>
      <c r="F180" s="163"/>
      <c r="G180" s="163"/>
      <c r="H180" s="163"/>
    </row>
    <row r="181" spans="1:8" x14ac:dyDescent="0.3">
      <c r="A181" s="163"/>
      <c r="B181" s="163"/>
      <c r="C181" s="163"/>
      <c r="D181" s="163"/>
      <c r="E181" s="163"/>
      <c r="F181" s="163"/>
      <c r="G181" s="163"/>
      <c r="H181" s="163"/>
    </row>
    <row r="182" spans="1:8" x14ac:dyDescent="0.3">
      <c r="A182" s="37" t="s">
        <v>61</v>
      </c>
      <c r="B182" s="38"/>
      <c r="C182" s="38"/>
      <c r="D182" s="37" t="str">
        <f>E9</f>
        <v>Kashidham NX</v>
      </c>
      <c r="F182" s="38"/>
      <c r="G182" s="38"/>
      <c r="H182" s="38"/>
    </row>
    <row r="183" spans="1:8" x14ac:dyDescent="0.3">
      <c r="A183" s="38"/>
      <c r="B183" s="38"/>
      <c r="C183" s="38"/>
      <c r="D183" s="38"/>
      <c r="E183" s="38"/>
      <c r="F183" s="38"/>
      <c r="G183" s="38"/>
      <c r="H183" s="38"/>
    </row>
    <row r="184" spans="1:8" x14ac:dyDescent="0.3">
      <c r="A184" s="38"/>
      <c r="B184" s="38"/>
      <c r="C184" s="38"/>
      <c r="D184" s="38"/>
      <c r="E184" s="38"/>
      <c r="F184" s="38"/>
      <c r="G184" s="38"/>
      <c r="H184" s="38"/>
    </row>
    <row r="185" spans="1:8" ht="15" customHeight="1" x14ac:dyDescent="0.3"/>
    <row r="223" spans="1:1" x14ac:dyDescent="0.3">
      <c r="A223" s="40" t="s">
        <v>158</v>
      </c>
    </row>
    <row r="265" spans="1:1" x14ac:dyDescent="0.3">
      <c r="A265" s="40" t="s">
        <v>62</v>
      </c>
    </row>
  </sheetData>
  <mergeCells count="331">
    <mergeCell ref="B169:H169"/>
    <mergeCell ref="B168:H168"/>
    <mergeCell ref="F37:H37"/>
    <mergeCell ref="A53:B54"/>
    <mergeCell ref="C53:E53"/>
    <mergeCell ref="G53:H53"/>
    <mergeCell ref="C54:H54"/>
    <mergeCell ref="A69:C70"/>
    <mergeCell ref="A51:B51"/>
    <mergeCell ref="C51:E51"/>
    <mergeCell ref="G51:H51"/>
    <mergeCell ref="A103:B103"/>
    <mergeCell ref="A152:B152"/>
    <mergeCell ref="B167:H167"/>
    <mergeCell ref="C131:C132"/>
    <mergeCell ref="B139:B140"/>
    <mergeCell ref="B156:H156"/>
    <mergeCell ref="A95:B95"/>
    <mergeCell ref="E95:F95"/>
    <mergeCell ref="E96:F105"/>
    <mergeCell ref="A84:B84"/>
    <mergeCell ref="E82:F91"/>
    <mergeCell ref="B164:H164"/>
    <mergeCell ref="A111:E111"/>
    <mergeCell ref="E128:F128"/>
    <mergeCell ref="A116:E116"/>
    <mergeCell ref="G128:H128"/>
    <mergeCell ref="C122:D122"/>
    <mergeCell ref="E122:F122"/>
    <mergeCell ref="G122:H122"/>
    <mergeCell ref="A123:B123"/>
    <mergeCell ref="C123:D123"/>
    <mergeCell ref="E123:F123"/>
    <mergeCell ref="G123:H123"/>
    <mergeCell ref="A127:B127"/>
    <mergeCell ref="C127:D127"/>
    <mergeCell ref="E127:F127"/>
    <mergeCell ref="B162:H162"/>
    <mergeCell ref="B160:H160"/>
    <mergeCell ref="A134:B134"/>
    <mergeCell ref="C128:D128"/>
    <mergeCell ref="D131:D132"/>
    <mergeCell ref="G127:H127"/>
    <mergeCell ref="A141:H141"/>
    <mergeCell ref="C144:H145"/>
    <mergeCell ref="A150:H150"/>
    <mergeCell ref="L146:M146"/>
    <mergeCell ref="A148:B148"/>
    <mergeCell ref="A149:B149"/>
    <mergeCell ref="A40:B40"/>
    <mergeCell ref="C40:H40"/>
    <mergeCell ref="F131:F132"/>
    <mergeCell ref="C121:D121"/>
    <mergeCell ref="E121:F121"/>
    <mergeCell ref="B131:B132"/>
    <mergeCell ref="A131:A132"/>
    <mergeCell ref="C139:C140"/>
    <mergeCell ref="G139:G140"/>
    <mergeCell ref="L143:M143"/>
    <mergeCell ref="A144:B144"/>
    <mergeCell ref="L144:M144"/>
    <mergeCell ref="A145:B145"/>
    <mergeCell ref="A66:C66"/>
    <mergeCell ref="A71:C71"/>
    <mergeCell ref="A72:C72"/>
    <mergeCell ref="D71:H71"/>
    <mergeCell ref="C52:E52"/>
    <mergeCell ref="C50:E50"/>
    <mergeCell ref="G50:H50"/>
    <mergeCell ref="A52:B52"/>
    <mergeCell ref="L137:M137"/>
    <mergeCell ref="L136:M136"/>
    <mergeCell ref="L135:M135"/>
    <mergeCell ref="L134:M134"/>
    <mergeCell ref="A89:B89"/>
    <mergeCell ref="C126:D126"/>
    <mergeCell ref="E126:F126"/>
    <mergeCell ref="G126:H126"/>
    <mergeCell ref="A107:E107"/>
    <mergeCell ref="A92:B92"/>
    <mergeCell ref="C92:H92"/>
    <mergeCell ref="A133:H133"/>
    <mergeCell ref="E131:E132"/>
    <mergeCell ref="A96:B96"/>
    <mergeCell ref="C94:H94"/>
    <mergeCell ref="A97:B97"/>
    <mergeCell ref="A98:B98"/>
    <mergeCell ref="G96:H105"/>
    <mergeCell ref="A99:B99"/>
    <mergeCell ref="F108:H108"/>
    <mergeCell ref="A108:E108"/>
    <mergeCell ref="A94:B94"/>
    <mergeCell ref="G82:H91"/>
    <mergeCell ref="A101:B101"/>
    <mergeCell ref="A39:B39"/>
    <mergeCell ref="C39:H39"/>
    <mergeCell ref="C58:H58"/>
    <mergeCell ref="A55:B56"/>
    <mergeCell ref="C57:E57"/>
    <mergeCell ref="C55:E55"/>
    <mergeCell ref="E43:H43"/>
    <mergeCell ref="A43:D43"/>
    <mergeCell ref="A38:H38"/>
    <mergeCell ref="C56:H56"/>
    <mergeCell ref="E42:H42"/>
    <mergeCell ref="A41:H41"/>
    <mergeCell ref="A81:B81"/>
    <mergeCell ref="A46:D46"/>
    <mergeCell ref="A47:D47"/>
    <mergeCell ref="D72:H72"/>
    <mergeCell ref="A44:D44"/>
    <mergeCell ref="E44:H44"/>
    <mergeCell ref="E45:H45"/>
    <mergeCell ref="E46:H46"/>
    <mergeCell ref="E47:H47"/>
    <mergeCell ref="C60:H60"/>
    <mergeCell ref="A48:H48"/>
    <mergeCell ref="D68:H68"/>
    <mergeCell ref="A68:C68"/>
    <mergeCell ref="A45:D45"/>
    <mergeCell ref="A49:B49"/>
    <mergeCell ref="C49:H49"/>
    <mergeCell ref="D69:H69"/>
    <mergeCell ref="G59:H59"/>
    <mergeCell ref="G61:H61"/>
    <mergeCell ref="G52:H52"/>
    <mergeCell ref="D70:H70"/>
    <mergeCell ref="G55:H55"/>
    <mergeCell ref="A65:H65"/>
    <mergeCell ref="A80:B80"/>
    <mergeCell ref="A78:B78"/>
    <mergeCell ref="C78:H78"/>
    <mergeCell ref="A73:C73"/>
    <mergeCell ref="D73:H73"/>
    <mergeCell ref="C80:H80"/>
    <mergeCell ref="A74:C74"/>
    <mergeCell ref="D74:H74"/>
    <mergeCell ref="A77:C77"/>
    <mergeCell ref="D77:H77"/>
    <mergeCell ref="A76:C76"/>
    <mergeCell ref="A61:B63"/>
    <mergeCell ref="C63:H63"/>
    <mergeCell ref="C61:E62"/>
    <mergeCell ref="A67:C67"/>
    <mergeCell ref="C59:E59"/>
    <mergeCell ref="G57:H57"/>
    <mergeCell ref="A59:B60"/>
    <mergeCell ref="G62:H62"/>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E28:H28"/>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E14:H14"/>
    <mergeCell ref="A15:D1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A23:D24"/>
    <mergeCell ref="A114:E114"/>
    <mergeCell ref="A178:H181"/>
    <mergeCell ref="A177:B177"/>
    <mergeCell ref="E177:F177"/>
    <mergeCell ref="C177:D177"/>
    <mergeCell ref="G177:H177"/>
    <mergeCell ref="A119:H119"/>
    <mergeCell ref="A117:E117"/>
    <mergeCell ref="F117:H117"/>
    <mergeCell ref="A118:E118"/>
    <mergeCell ref="F118:H118"/>
    <mergeCell ref="A146:H146"/>
    <mergeCell ref="A126:B126"/>
    <mergeCell ref="A121:B121"/>
    <mergeCell ref="A173:H173"/>
    <mergeCell ref="A124:H124"/>
    <mergeCell ref="A176:H176"/>
    <mergeCell ref="A174:H174"/>
    <mergeCell ref="A170:H170"/>
    <mergeCell ref="G125:H125"/>
    <mergeCell ref="B159:H159"/>
    <mergeCell ref="B163:H163"/>
    <mergeCell ref="A128:B128"/>
    <mergeCell ref="A104:B104"/>
    <mergeCell ref="A109:E109"/>
    <mergeCell ref="A106:E106"/>
    <mergeCell ref="F110:H110"/>
    <mergeCell ref="A110:E110"/>
    <mergeCell ref="B161:H161"/>
    <mergeCell ref="G131:G132"/>
    <mergeCell ref="B154:H154"/>
    <mergeCell ref="B155:H155"/>
    <mergeCell ref="B157:H157"/>
    <mergeCell ref="F106:H106"/>
    <mergeCell ref="F111:H111"/>
    <mergeCell ref="A143:B143"/>
    <mergeCell ref="A137:B137"/>
    <mergeCell ref="A136:B136"/>
    <mergeCell ref="F112:H112"/>
    <mergeCell ref="A129:H129"/>
    <mergeCell ref="A139:A140"/>
    <mergeCell ref="F139:F140"/>
    <mergeCell ref="A175:H175"/>
    <mergeCell ref="A172:H172"/>
    <mergeCell ref="A147:B147"/>
    <mergeCell ref="A125:B125"/>
    <mergeCell ref="D139:D140"/>
    <mergeCell ref="E139:E140"/>
    <mergeCell ref="A100:B100"/>
    <mergeCell ref="A102:B102"/>
    <mergeCell ref="F107:H107"/>
    <mergeCell ref="G121:H121"/>
    <mergeCell ref="A105:B105"/>
    <mergeCell ref="F113:H113"/>
    <mergeCell ref="C120:D120"/>
    <mergeCell ref="A142:H142"/>
    <mergeCell ref="B158:H158"/>
    <mergeCell ref="B166:H166"/>
    <mergeCell ref="B165:H165"/>
    <mergeCell ref="F109:H109"/>
    <mergeCell ref="A113:E113"/>
    <mergeCell ref="A171:H171"/>
    <mergeCell ref="A112:E112"/>
    <mergeCell ref="A138:H138"/>
    <mergeCell ref="A153:H153"/>
    <mergeCell ref="A151:H151"/>
    <mergeCell ref="I15:P15"/>
    <mergeCell ref="F116:H116"/>
    <mergeCell ref="F114:H114"/>
    <mergeCell ref="A130:H130"/>
    <mergeCell ref="G120:H120"/>
    <mergeCell ref="A115:E115"/>
    <mergeCell ref="A135:B135"/>
    <mergeCell ref="A64:B64"/>
    <mergeCell ref="C64:E64"/>
    <mergeCell ref="D66:H66"/>
    <mergeCell ref="F115:H115"/>
    <mergeCell ref="E120:F120"/>
    <mergeCell ref="A120:B120"/>
    <mergeCell ref="A122:B122"/>
    <mergeCell ref="C125:D125"/>
    <mergeCell ref="D75:H75"/>
    <mergeCell ref="D67:H67"/>
    <mergeCell ref="G64:H64"/>
    <mergeCell ref="A57:B58"/>
    <mergeCell ref="A87:B87"/>
    <mergeCell ref="A50:B50"/>
    <mergeCell ref="A75:C75"/>
    <mergeCell ref="D76:H76"/>
    <mergeCell ref="A28:D28"/>
    <mergeCell ref="A82:B82"/>
    <mergeCell ref="G81:H81"/>
    <mergeCell ref="A90:B90"/>
    <mergeCell ref="A91:B91"/>
    <mergeCell ref="A86:B86"/>
    <mergeCell ref="A85:B85"/>
    <mergeCell ref="E81:F81"/>
    <mergeCell ref="A83:B83"/>
    <mergeCell ref="E125:F125"/>
    <mergeCell ref="A88:B88"/>
    <mergeCell ref="G95:H95"/>
  </mergeCells>
  <dataValidations count="18">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31:E132" xr:uid="{00000000-0002-0000-0000-000003000000}">
      <formula1>"Attached Loft area,Attached Otla area,Attached Mezzanine area"</formula1>
    </dataValidation>
    <dataValidation type="list" allowBlank="1" showInputMessage="1" showErrorMessage="1" sqref="G177:H177" xr:uid="{00000000-0002-0000-0000-000004000000}">
      <formula1>"Kunal Kadam,Pranita Mhatre,Shruti Fule,Pooja Kawale,Gaurav Panchal,Shruti Tathare, Dipti Gothawade,Saurav Panse, Sachin Sawant"</formula1>
    </dataValidation>
    <dataValidation type="list" allowBlank="1" showInputMessage="1" showErrorMessage="1" sqref="F106:H106" xr:uid="{00000000-0002-0000-0000-000005000000}">
      <formula1>"On Saleable Area,On Builtup Area,On Carpet Area,On Plot Area"</formula1>
    </dataValidation>
    <dataValidation type="list" allowBlank="1" showInputMessage="1" showErrorMessage="1" sqref="F117:H117" xr:uid="{00000000-0002-0000-0000-000006000000}">
      <formula1>OFFSET($S$106,1,MATCH($G20,$S$106:$W$106,0)-1,15,1)</formula1>
    </dataValidation>
    <dataValidation type="list" allowBlank="1" showInputMessage="1" showErrorMessage="1" sqref="B131:B132" xr:uid="{00000000-0002-0000-0000-000007000000}">
      <formula1>"Shop No. (Sale Plan),Sale / Rehab,Sale / Mhada"</formula1>
    </dataValidation>
    <dataValidation type="list" allowBlank="1" showInputMessage="1" showErrorMessage="1" sqref="B139:B140"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39:E140" xr:uid="{00000000-0002-0000-0000-00000B000000}">
      <formula1>"Fungible area,Balcony Area,Chajja Area,Cornice Area,AP Area,WS Area"</formula1>
    </dataValidation>
    <dataValidation type="list" allowBlank="1" showInputMessage="1" showErrorMessage="1" sqref="H132 H140"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131 H139" xr:uid="{00000000-0002-0000-0000-00000F000000}">
      <formula1>"Saleable area Loading :,Builder Saleable Area"</formula1>
    </dataValidation>
    <dataValidation type="list" allowBlank="1" showInputMessage="1" showErrorMessage="1" sqref="D131:D132" xr:uid="{00000000-0002-0000-0000-000010000000}">
      <formula1>"Carpet area,RERA Carpet area"</formula1>
    </dataValidation>
    <dataValidation type="list" allowBlank="1" showInputMessage="1" showErrorMessage="1" sqref="D139:D140" xr:uid="{00000000-0002-0000-0000-000011000000}">
      <formula1>"Carpet Area,Carpet + Encl Balcony Area,RERA Carpet area"</formula1>
    </dataValidation>
  </dataValidations>
  <hyperlinks>
    <hyperlink ref="C40" r:id="rId1" xr:uid="{49347E94-5797-4BAE-BC5E-0E7F9360933D}"/>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7" max="16383" man="1"/>
    <brk id="181" max="16383" man="1"/>
    <brk id="222" max="16383" man="1"/>
    <brk id="26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66" t="s">
        <v>103</v>
      </c>
      <c r="C3" s="266"/>
      <c r="D3" s="266"/>
      <c r="E3" s="266"/>
      <c r="F3" s="266"/>
      <c r="G3" s="266"/>
      <c r="H3" s="266"/>
    </row>
    <row r="4" spans="1:9" x14ac:dyDescent="0.3">
      <c r="A4" s="2"/>
      <c r="B4" s="3" t="s">
        <v>104</v>
      </c>
      <c r="C4" s="3" t="s">
        <v>105</v>
      </c>
      <c r="D4" s="3" t="s">
        <v>64</v>
      </c>
      <c r="E4" s="3" t="s">
        <v>106</v>
      </c>
      <c r="F4" s="3" t="s">
        <v>112</v>
      </c>
      <c r="G4" s="3" t="s">
        <v>113</v>
      </c>
      <c r="H4" s="3" t="s">
        <v>107</v>
      </c>
    </row>
    <row r="5" spans="1:9" ht="15" customHeight="1" x14ac:dyDescent="0.3">
      <c r="A5" s="2"/>
      <c r="B5" s="5" t="s">
        <v>108</v>
      </c>
      <c r="C5" s="6"/>
      <c r="D5" s="5"/>
      <c r="E5" s="5"/>
      <c r="F5" s="7">
        <f>E5*1.6</f>
        <v>0</v>
      </c>
      <c r="G5" s="7" t="e">
        <f>H5/F5</f>
        <v>#DIV/0!</v>
      </c>
      <c r="H5" s="8"/>
    </row>
    <row r="6" spans="1:9" x14ac:dyDescent="0.3">
      <c r="A6" s="2"/>
      <c r="B6" s="5" t="s">
        <v>108</v>
      </c>
      <c r="C6" s="9"/>
      <c r="D6" s="5"/>
      <c r="E6" s="5"/>
      <c r="F6" s="7">
        <f t="shared" ref="F6:F11" si="0">E6*1.6</f>
        <v>0</v>
      </c>
      <c r="G6" s="7" t="e">
        <f t="shared" ref="G6:G11" si="1">H6/F6</f>
        <v>#DIV/0!</v>
      </c>
      <c r="H6" s="8"/>
    </row>
    <row r="7" spans="1:9" ht="15" customHeight="1" x14ac:dyDescent="0.3">
      <c r="A7" s="2"/>
      <c r="B7" s="5" t="s">
        <v>108</v>
      </c>
      <c r="C7" s="6"/>
      <c r="D7" s="5"/>
      <c r="E7" s="5"/>
      <c r="F7" s="7">
        <f t="shared" si="0"/>
        <v>0</v>
      </c>
      <c r="G7" s="7" t="e">
        <f t="shared" si="1"/>
        <v>#DIV/0!</v>
      </c>
      <c r="H7" s="8"/>
    </row>
    <row r="8" spans="1:9" x14ac:dyDescent="0.3">
      <c r="A8" s="2"/>
      <c r="B8" s="5" t="s">
        <v>108</v>
      </c>
      <c r="C8" s="9"/>
      <c r="D8" s="5"/>
      <c r="E8" s="5"/>
      <c r="F8" s="7">
        <f t="shared" si="0"/>
        <v>0</v>
      </c>
      <c r="G8" s="7" t="e">
        <f t="shared" si="1"/>
        <v>#DIV/0!</v>
      </c>
      <c r="H8" s="8"/>
    </row>
    <row r="9" spans="1:9" ht="15" customHeight="1" x14ac:dyDescent="0.3">
      <c r="A9" s="2"/>
      <c r="B9" s="5" t="s">
        <v>108</v>
      </c>
      <c r="C9" s="9"/>
      <c r="D9" s="5"/>
      <c r="E9" s="5"/>
      <c r="F9" s="7">
        <f t="shared" si="0"/>
        <v>0</v>
      </c>
      <c r="G9" s="7" t="e">
        <f t="shared" si="1"/>
        <v>#DIV/0!</v>
      </c>
      <c r="H9" s="8"/>
    </row>
    <row r="10" spans="1:9" ht="15" customHeight="1" x14ac:dyDescent="0.3">
      <c r="A10" s="2"/>
      <c r="B10" s="5" t="s">
        <v>109</v>
      </c>
      <c r="C10" s="6"/>
      <c r="D10" s="5"/>
      <c r="E10" s="5"/>
      <c r="F10" s="7">
        <f t="shared" si="0"/>
        <v>0</v>
      </c>
      <c r="G10" s="7" t="e">
        <f t="shared" si="1"/>
        <v>#DIV/0!</v>
      </c>
      <c r="H10" s="8"/>
    </row>
    <row r="11" spans="1:9" ht="15" customHeight="1" x14ac:dyDescent="0.3">
      <c r="A11" s="2"/>
      <c r="B11" s="5" t="s">
        <v>109</v>
      </c>
      <c r="C11" s="6"/>
      <c r="D11" s="5"/>
      <c r="E11" s="5"/>
      <c r="F11" s="7">
        <f t="shared" si="0"/>
        <v>0</v>
      </c>
      <c r="G11" s="7" t="e">
        <f t="shared" si="1"/>
        <v>#DIV/0!</v>
      </c>
      <c r="H11" s="8"/>
    </row>
    <row r="12" spans="1:9" ht="15" customHeight="1" x14ac:dyDescent="0.3">
      <c r="A12" s="2"/>
      <c r="B12" s="10" t="s">
        <v>110</v>
      </c>
      <c r="C12" s="5"/>
      <c r="D12" s="5"/>
      <c r="E12" s="5"/>
      <c r="F12" s="5"/>
      <c r="G12" s="11" t="e">
        <f>AVERAGE(G5:G11)</f>
        <v>#DIV/0!</v>
      </c>
      <c r="H12" s="5"/>
    </row>
    <row r="13" spans="1:9" ht="15" customHeight="1" x14ac:dyDescent="0.3">
      <c r="B13" s="10" t="s">
        <v>111</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52"/>
      <c r="C4" s="52" t="s">
        <v>11</v>
      </c>
      <c r="D4" s="53" t="s">
        <v>172</v>
      </c>
      <c r="E4" s="53" t="s">
        <v>182</v>
      </c>
      <c r="F4" s="53" t="s">
        <v>166</v>
      </c>
      <c r="G4" s="53" t="s">
        <v>187</v>
      </c>
      <c r="H4" s="53" t="s">
        <v>205</v>
      </c>
      <c r="J4" t="s">
        <v>187</v>
      </c>
      <c r="K4" t="s">
        <v>203</v>
      </c>
    </row>
    <row r="5" spans="2:11" x14ac:dyDescent="0.3">
      <c r="B5" s="52"/>
      <c r="C5" s="52"/>
      <c r="D5" s="53" t="s">
        <v>173</v>
      </c>
      <c r="E5" s="53" t="s">
        <v>180</v>
      </c>
      <c r="F5" s="53" t="s">
        <v>202</v>
      </c>
      <c r="G5" s="53" t="s">
        <v>188</v>
      </c>
      <c r="H5" s="53" t="s">
        <v>206</v>
      </c>
    </row>
    <row r="6" spans="2:11" x14ac:dyDescent="0.3">
      <c r="B6" s="52"/>
      <c r="C6" s="52"/>
      <c r="D6" s="53" t="s">
        <v>174</v>
      </c>
      <c r="E6" s="53" t="s">
        <v>181</v>
      </c>
      <c r="F6" s="53" t="s">
        <v>203</v>
      </c>
      <c r="G6" s="53" t="s">
        <v>189</v>
      </c>
      <c r="H6" s="53" t="s">
        <v>219</v>
      </c>
    </row>
    <row r="7" spans="2:11" x14ac:dyDescent="0.3">
      <c r="B7" s="52"/>
      <c r="C7" s="52"/>
      <c r="D7" s="53" t="s">
        <v>175</v>
      </c>
      <c r="E7" s="53" t="s">
        <v>183</v>
      </c>
      <c r="F7" s="53" t="s">
        <v>204</v>
      </c>
      <c r="G7" s="53" t="s">
        <v>190</v>
      </c>
      <c r="H7" s="53" t="s">
        <v>207</v>
      </c>
    </row>
    <row r="8" spans="2:11" x14ac:dyDescent="0.3">
      <c r="B8" s="52"/>
      <c r="C8" s="52"/>
      <c r="D8" s="53" t="s">
        <v>176</v>
      </c>
      <c r="E8" s="53" t="s">
        <v>184</v>
      </c>
      <c r="F8" s="53"/>
      <c r="G8" s="53" t="s">
        <v>191</v>
      </c>
      <c r="H8" s="53" t="s">
        <v>208</v>
      </c>
    </row>
    <row r="9" spans="2:11" x14ac:dyDescent="0.3">
      <c r="B9" s="52"/>
      <c r="C9" s="52"/>
      <c r="D9" s="53" t="s">
        <v>177</v>
      </c>
      <c r="E9" s="53" t="s">
        <v>182</v>
      </c>
      <c r="F9" s="53"/>
      <c r="G9" s="53" t="s">
        <v>192</v>
      </c>
      <c r="H9" s="53" t="s">
        <v>209</v>
      </c>
    </row>
    <row r="10" spans="2:11" x14ac:dyDescent="0.3">
      <c r="B10" s="52"/>
      <c r="C10" s="52"/>
      <c r="D10" s="53" t="s">
        <v>178</v>
      </c>
      <c r="E10" s="53" t="s">
        <v>185</v>
      </c>
      <c r="F10" s="53"/>
      <c r="G10" s="53" t="s">
        <v>193</v>
      </c>
      <c r="H10" s="53" t="s">
        <v>210</v>
      </c>
    </row>
    <row r="11" spans="2:11" x14ac:dyDescent="0.3">
      <c r="B11" s="52"/>
      <c r="C11" s="52"/>
      <c r="D11" s="53" t="s">
        <v>179</v>
      </c>
      <c r="E11" s="53" t="s">
        <v>186</v>
      </c>
      <c r="F11" s="53"/>
      <c r="G11" s="53" t="s">
        <v>194</v>
      </c>
      <c r="H11" s="53" t="s">
        <v>211</v>
      </c>
    </row>
    <row r="12" spans="2:11" x14ac:dyDescent="0.3">
      <c r="B12" s="52"/>
      <c r="C12" s="52"/>
      <c r="D12" s="53"/>
      <c r="E12" s="53"/>
      <c r="F12" s="53"/>
      <c r="G12" s="53" t="s">
        <v>195</v>
      </c>
      <c r="H12" s="53" t="s">
        <v>212</v>
      </c>
    </row>
    <row r="13" spans="2:11" x14ac:dyDescent="0.3">
      <c r="B13" s="52"/>
      <c r="C13" s="52"/>
      <c r="D13" s="53"/>
      <c r="E13" s="53"/>
      <c r="F13" s="53"/>
      <c r="G13" s="53" t="s">
        <v>196</v>
      </c>
      <c r="H13" s="53" t="s">
        <v>213</v>
      </c>
    </row>
    <row r="14" spans="2:11" x14ac:dyDescent="0.3">
      <c r="B14" s="52"/>
      <c r="C14" s="52"/>
      <c r="D14" s="53"/>
      <c r="E14" s="53"/>
      <c r="F14" s="53"/>
      <c r="G14" s="53" t="s">
        <v>197</v>
      </c>
      <c r="H14" s="53" t="s">
        <v>214</v>
      </c>
    </row>
    <row r="15" spans="2:11" x14ac:dyDescent="0.3">
      <c r="B15" s="52"/>
      <c r="C15" s="52"/>
      <c r="D15" s="53"/>
      <c r="E15" s="53"/>
      <c r="F15" s="53"/>
      <c r="G15" s="53" t="s">
        <v>198</v>
      </c>
      <c r="H15" s="53" t="s">
        <v>215</v>
      </c>
    </row>
    <row r="16" spans="2:11" x14ac:dyDescent="0.3">
      <c r="B16" s="52"/>
      <c r="C16" s="52"/>
      <c r="D16" s="53"/>
      <c r="E16" s="53"/>
      <c r="F16" s="53"/>
      <c r="G16" s="53" t="s">
        <v>199</v>
      </c>
      <c r="H16" s="53" t="s">
        <v>216</v>
      </c>
    </row>
    <row r="17" spans="2:8" x14ac:dyDescent="0.3">
      <c r="B17" s="52"/>
      <c r="C17" s="52"/>
      <c r="D17" s="53"/>
      <c r="E17" s="53"/>
      <c r="F17" s="53"/>
      <c r="G17" s="53" t="s">
        <v>200</v>
      </c>
      <c r="H17" s="53" t="s">
        <v>217</v>
      </c>
    </row>
    <row r="18" spans="2:8" x14ac:dyDescent="0.3">
      <c r="B18" s="52"/>
      <c r="C18" s="52"/>
      <c r="D18" s="53"/>
      <c r="E18" s="53"/>
      <c r="F18" s="53"/>
      <c r="G18" s="53" t="s">
        <v>201</v>
      </c>
      <c r="H18" s="53" t="s">
        <v>218</v>
      </c>
    </row>
    <row r="24" spans="2:8" x14ac:dyDescent="0.3">
      <c r="C24" t="s">
        <v>163</v>
      </c>
    </row>
    <row r="25" spans="2:8" x14ac:dyDescent="0.3">
      <c r="C25" t="s">
        <v>220</v>
      </c>
    </row>
    <row r="26" spans="2:8" x14ac:dyDescent="0.3">
      <c r="C26" t="s">
        <v>221</v>
      </c>
    </row>
    <row r="27" spans="2:8" x14ac:dyDescent="0.3">
      <c r="C27" t="s">
        <v>222</v>
      </c>
    </row>
    <row r="28" spans="2:8" x14ac:dyDescent="0.3">
      <c r="C28" t="s">
        <v>223</v>
      </c>
    </row>
    <row r="29" spans="2:8" x14ac:dyDescent="0.3">
      <c r="C29" t="s">
        <v>224</v>
      </c>
    </row>
    <row r="30" spans="2:8" x14ac:dyDescent="0.3">
      <c r="C30" t="s">
        <v>163</v>
      </c>
    </row>
    <row r="33" spans="3:11" x14ac:dyDescent="0.3">
      <c r="J33">
        <v>1</v>
      </c>
      <c r="K33">
        <v>2</v>
      </c>
    </row>
    <row r="34" spans="3:11" x14ac:dyDescent="0.3">
      <c r="C34" s="54" t="s">
        <v>229</v>
      </c>
      <c r="D34" s="53" t="s">
        <v>227</v>
      </c>
      <c r="E34" s="53" t="s">
        <v>232</v>
      </c>
      <c r="F34" s="53" t="s">
        <v>230</v>
      </c>
      <c r="G34" s="53" t="s">
        <v>231</v>
      </c>
      <c r="H34" s="53" t="s">
        <v>233</v>
      </c>
      <c r="J34" t="s">
        <v>187</v>
      </c>
      <c r="K34" t="s">
        <v>203</v>
      </c>
    </row>
    <row r="35" spans="3:11" x14ac:dyDescent="0.3">
      <c r="C35" s="52" t="s">
        <v>228</v>
      </c>
      <c r="D35" s="53" t="s">
        <v>164</v>
      </c>
      <c r="E35" s="53" t="s">
        <v>237</v>
      </c>
      <c r="F35" s="53" t="s">
        <v>239</v>
      </c>
      <c r="G35" s="53" t="s">
        <v>241</v>
      </c>
      <c r="H35" s="53"/>
    </row>
    <row r="36" spans="3:11" x14ac:dyDescent="0.3">
      <c r="C36" s="52"/>
      <c r="D36" s="53" t="s">
        <v>234</v>
      </c>
      <c r="E36" s="53" t="s">
        <v>238</v>
      </c>
      <c r="F36" s="53" t="s">
        <v>240</v>
      </c>
      <c r="G36" s="53" t="s">
        <v>242</v>
      </c>
      <c r="H36" s="53"/>
    </row>
    <row r="37" spans="3:11" x14ac:dyDescent="0.3">
      <c r="C37" s="52"/>
      <c r="D37" s="53" t="s">
        <v>235</v>
      </c>
      <c r="E37" s="53"/>
      <c r="F37" s="53"/>
      <c r="G37" s="53" t="s">
        <v>243</v>
      </c>
      <c r="H37" s="53"/>
    </row>
    <row r="38" spans="3:11" x14ac:dyDescent="0.3">
      <c r="C38" s="52"/>
      <c r="D38" s="53" t="s">
        <v>236</v>
      </c>
      <c r="E38" s="53"/>
      <c r="F38" s="53"/>
      <c r="G38" s="53" t="s">
        <v>243</v>
      </c>
      <c r="H38" s="53"/>
    </row>
    <row r="39" spans="3:11" x14ac:dyDescent="0.3">
      <c r="C39" s="52"/>
      <c r="D39" s="53"/>
      <c r="E39" s="53"/>
      <c r="F39" s="53"/>
      <c r="G39" s="53" t="s">
        <v>244</v>
      </c>
      <c r="H39" s="53"/>
    </row>
    <row r="40" spans="3:11" x14ac:dyDescent="0.3">
      <c r="C40" s="52"/>
      <c r="D40" s="53"/>
      <c r="E40" s="53"/>
      <c r="F40" s="53"/>
      <c r="G40" s="53" t="s">
        <v>245</v>
      </c>
      <c r="H40" s="53"/>
    </row>
    <row r="41" spans="3:11" x14ac:dyDescent="0.3">
      <c r="C41" s="52"/>
      <c r="D41" s="53"/>
      <c r="E41" s="53"/>
      <c r="F41" s="53"/>
      <c r="G41" s="53"/>
      <c r="H41" s="53"/>
    </row>
    <row r="43" spans="3:11" x14ac:dyDescent="0.3">
      <c r="C43" t="s">
        <v>246</v>
      </c>
    </row>
    <row r="44" spans="3:11" x14ac:dyDescent="0.3">
      <c r="C44" t="s">
        <v>166</v>
      </c>
      <c r="D44" t="s">
        <v>247</v>
      </c>
    </row>
    <row r="45" spans="3:11" x14ac:dyDescent="0.3">
      <c r="D45" t="s">
        <v>248</v>
      </c>
    </row>
    <row r="46" spans="3:11" x14ac:dyDescent="0.3">
      <c r="D46" t="s">
        <v>249</v>
      </c>
    </row>
    <row r="47" spans="3:11" x14ac:dyDescent="0.3">
      <c r="D47" t="s">
        <v>250</v>
      </c>
    </row>
    <row r="48" spans="3:11" x14ac:dyDescent="0.3">
      <c r="D48" t="s">
        <v>251</v>
      </c>
    </row>
    <row r="49" spans="3:4" x14ac:dyDescent="0.3">
      <c r="C49" t="s">
        <v>172</v>
      </c>
      <c r="D49" t="s">
        <v>252</v>
      </c>
    </row>
    <row r="50" spans="3:4" x14ac:dyDescent="0.3">
      <c r="D50" t="s">
        <v>253</v>
      </c>
    </row>
    <row r="51" spans="3:4" x14ac:dyDescent="0.3">
      <c r="D51" t="s">
        <v>254</v>
      </c>
    </row>
    <row r="52" spans="3:4" x14ac:dyDescent="0.3">
      <c r="D52" t="s">
        <v>257</v>
      </c>
    </row>
    <row r="53" spans="3:4" x14ac:dyDescent="0.3">
      <c r="D53" t="s">
        <v>255</v>
      </c>
    </row>
    <row r="54" spans="3:4" x14ac:dyDescent="0.3">
      <c r="D54" t="s">
        <v>256</v>
      </c>
    </row>
    <row r="55" spans="3:4" x14ac:dyDescent="0.3">
      <c r="D55" t="s">
        <v>258</v>
      </c>
    </row>
    <row r="56" spans="3:4" x14ac:dyDescent="0.3">
      <c r="D56" t="s">
        <v>259</v>
      </c>
    </row>
    <row r="57" spans="3:4" x14ac:dyDescent="0.3">
      <c r="D57" t="s">
        <v>260</v>
      </c>
    </row>
    <row r="58" spans="3:4" x14ac:dyDescent="0.3">
      <c r="D58" t="s">
        <v>262</v>
      </c>
    </row>
    <row r="59" spans="3:4" x14ac:dyDescent="0.3">
      <c r="D59" t="s">
        <v>271</v>
      </c>
    </row>
    <row r="60" spans="3:4" x14ac:dyDescent="0.3">
      <c r="C60" t="s">
        <v>187</v>
      </c>
      <c r="D60" t="s">
        <v>263</v>
      </c>
    </row>
    <row r="61" spans="3:4" x14ac:dyDescent="0.3">
      <c r="D61" t="s">
        <v>261</v>
      </c>
    </row>
    <row r="62" spans="3:4" x14ac:dyDescent="0.3">
      <c r="D62" t="s">
        <v>251</v>
      </c>
    </row>
    <row r="63" spans="3:4" x14ac:dyDescent="0.3">
      <c r="D63" t="s">
        <v>264</v>
      </c>
    </row>
    <row r="64" spans="3:4" x14ac:dyDescent="0.3">
      <c r="D64" t="s">
        <v>265</v>
      </c>
    </row>
    <row r="65" spans="3:4" x14ac:dyDescent="0.3">
      <c r="D65" t="s">
        <v>266</v>
      </c>
    </row>
    <row r="66" spans="3:4" x14ac:dyDescent="0.3">
      <c r="D66" t="s">
        <v>267</v>
      </c>
    </row>
    <row r="67" spans="3:4" x14ac:dyDescent="0.3">
      <c r="C67" t="s">
        <v>182</v>
      </c>
      <c r="D67" t="s">
        <v>268</v>
      </c>
    </row>
    <row r="68" spans="3:4" x14ac:dyDescent="0.3">
      <c r="D68" t="s">
        <v>269</v>
      </c>
    </row>
    <row r="69" spans="3:4" x14ac:dyDescent="0.3">
      <c r="D69" t="s">
        <v>270</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5"/>
  <sheetViews>
    <sheetView topLeftCell="A43" zoomScaleNormal="100" workbookViewId="0">
      <selection activeCell="C57" sqref="C57"/>
    </sheetView>
  </sheetViews>
  <sheetFormatPr defaultRowHeight="14.4" x14ac:dyDescent="0.3"/>
  <cols>
    <col min="2" max="2" width="3" bestFit="1" customWidth="1"/>
    <col min="3" max="3" width="155.33203125" customWidth="1"/>
  </cols>
  <sheetData>
    <row r="2" spans="2:3" ht="15" customHeight="1" x14ac:dyDescent="0.3">
      <c r="B2" s="55">
        <v>1</v>
      </c>
      <c r="C2" s="57" t="s">
        <v>276</v>
      </c>
    </row>
    <row r="3" spans="2:3" x14ac:dyDescent="0.3">
      <c r="B3" s="55">
        <v>2</v>
      </c>
      <c r="C3" s="56" t="s">
        <v>277</v>
      </c>
    </row>
    <row r="4" spans="2:3" x14ac:dyDescent="0.3">
      <c r="B4" s="55">
        <v>3</v>
      </c>
      <c r="C4" s="55" t="s">
        <v>278</v>
      </c>
    </row>
    <row r="5" spans="2:3" x14ac:dyDescent="0.3">
      <c r="B5" s="55">
        <v>4</v>
      </c>
      <c r="C5" s="56" t="s">
        <v>279</v>
      </c>
    </row>
    <row r="6" spans="2:3" x14ac:dyDescent="0.3">
      <c r="B6" s="55">
        <v>5</v>
      </c>
      <c r="C6" s="55" t="s">
        <v>280</v>
      </c>
    </row>
    <row r="7" spans="2:3" x14ac:dyDescent="0.3">
      <c r="B7" s="55">
        <v>6</v>
      </c>
      <c r="C7" s="56" t="s">
        <v>281</v>
      </c>
    </row>
    <row r="8" spans="2:3" ht="72" x14ac:dyDescent="0.3">
      <c r="B8" s="55">
        <v>7</v>
      </c>
      <c r="C8" s="56" t="s">
        <v>282</v>
      </c>
    </row>
    <row r="9" spans="2:3" x14ac:dyDescent="0.3">
      <c r="B9" s="55">
        <v>8</v>
      </c>
      <c r="C9" s="55" t="s">
        <v>283</v>
      </c>
    </row>
    <row r="10" spans="2:3" x14ac:dyDescent="0.3">
      <c r="B10" s="55">
        <v>9</v>
      </c>
      <c r="C10" s="55" t="s">
        <v>284</v>
      </c>
    </row>
    <row r="11" spans="2:3" x14ac:dyDescent="0.3">
      <c r="B11" s="55">
        <v>10</v>
      </c>
      <c r="C11" s="55" t="s">
        <v>285</v>
      </c>
    </row>
    <row r="12" spans="2:3" x14ac:dyDescent="0.3">
      <c r="B12" s="55">
        <v>11</v>
      </c>
      <c r="C12" s="55" t="s">
        <v>286</v>
      </c>
    </row>
    <row r="13" spans="2:3" x14ac:dyDescent="0.3">
      <c r="B13" s="55">
        <v>12</v>
      </c>
      <c r="C13" s="55" t="s">
        <v>287</v>
      </c>
    </row>
    <row r="14" spans="2:3" x14ac:dyDescent="0.3">
      <c r="B14" s="55">
        <v>13</v>
      </c>
      <c r="C14" s="55" t="s">
        <v>288</v>
      </c>
    </row>
    <row r="15" spans="2:3" x14ac:dyDescent="0.3">
      <c r="B15" s="55">
        <v>14</v>
      </c>
      <c r="C15" s="55" t="s">
        <v>278</v>
      </c>
    </row>
    <row r="16" spans="2:3" x14ac:dyDescent="0.3">
      <c r="B16" s="55">
        <v>15</v>
      </c>
      <c r="C16" s="55" t="s">
        <v>290</v>
      </c>
    </row>
    <row r="17" spans="2:3" x14ac:dyDescent="0.3">
      <c r="B17" s="73">
        <v>16</v>
      </c>
      <c r="C17" s="60" t="s">
        <v>291</v>
      </c>
    </row>
    <row r="18" spans="2:3" x14ac:dyDescent="0.3">
      <c r="B18" s="59">
        <v>17</v>
      </c>
      <c r="C18" s="60" t="s">
        <v>292</v>
      </c>
    </row>
    <row r="19" spans="2:3" x14ac:dyDescent="0.3">
      <c r="B19" s="58">
        <v>18</v>
      </c>
      <c r="C19" s="55" t="s">
        <v>293</v>
      </c>
    </row>
    <row r="20" spans="2:3" x14ac:dyDescent="0.3">
      <c r="B20" s="59">
        <v>19</v>
      </c>
      <c r="C20" s="55" t="s">
        <v>329</v>
      </c>
    </row>
    <row r="21" spans="2:3" x14ac:dyDescent="0.3">
      <c r="B21" s="55">
        <v>20</v>
      </c>
      <c r="C21" s="55" t="s">
        <v>294</v>
      </c>
    </row>
    <row r="22" spans="2:3" x14ac:dyDescent="0.3">
      <c r="B22" s="59">
        <v>21</v>
      </c>
      <c r="C22" s="55" t="s">
        <v>293</v>
      </c>
    </row>
    <row r="23" spans="2:3" s="68" customFormat="1" ht="29.25" customHeight="1" x14ac:dyDescent="0.3">
      <c r="B23" s="67">
        <v>22</v>
      </c>
      <c r="C23" s="57" t="s">
        <v>321</v>
      </c>
    </row>
    <row r="24" spans="2:3" s="68" customFormat="1" ht="30.75" customHeight="1" x14ac:dyDescent="0.3">
      <c r="B24" s="69">
        <v>23</v>
      </c>
      <c r="C24" s="57" t="s">
        <v>322</v>
      </c>
    </row>
    <row r="25" spans="2:3" x14ac:dyDescent="0.3">
      <c r="B25" s="55">
        <v>24</v>
      </c>
      <c r="C25" s="55" t="s">
        <v>325</v>
      </c>
    </row>
    <row r="26" spans="2:3" x14ac:dyDescent="0.3">
      <c r="B26" s="59">
        <v>25</v>
      </c>
      <c r="C26" s="55" t="s">
        <v>323</v>
      </c>
    </row>
    <row r="27" spans="2:3" x14ac:dyDescent="0.3">
      <c r="B27" s="69">
        <v>26</v>
      </c>
      <c r="C27" s="55" t="s">
        <v>324</v>
      </c>
    </row>
    <row r="28" spans="2:3" x14ac:dyDescent="0.3">
      <c r="B28" s="59">
        <v>27</v>
      </c>
      <c r="C28" s="55" t="s">
        <v>326</v>
      </c>
    </row>
    <row r="29" spans="2:3" ht="43.2" x14ac:dyDescent="0.3">
      <c r="B29" s="72">
        <v>28</v>
      </c>
      <c r="C29" s="56" t="s">
        <v>327</v>
      </c>
    </row>
    <row r="30" spans="2:3" x14ac:dyDescent="0.3">
      <c r="B30" s="69">
        <v>29</v>
      </c>
      <c r="C30" s="55" t="s">
        <v>328</v>
      </c>
    </row>
    <row r="31" spans="2:3" ht="28.8" x14ac:dyDescent="0.3">
      <c r="B31" s="69">
        <v>30</v>
      </c>
      <c r="C31" s="56" t="s">
        <v>330</v>
      </c>
    </row>
    <row r="32" spans="2:3" x14ac:dyDescent="0.3">
      <c r="B32" s="69">
        <v>31</v>
      </c>
      <c r="C32" s="55" t="s">
        <v>331</v>
      </c>
    </row>
    <row r="33" spans="2:4" x14ac:dyDescent="0.3">
      <c r="B33" s="69">
        <v>32</v>
      </c>
      <c r="C33" s="55" t="s">
        <v>332</v>
      </c>
    </row>
    <row r="34" spans="2:4" ht="36.75" customHeight="1" x14ac:dyDescent="0.3">
      <c r="B34" s="69">
        <v>33</v>
      </c>
      <c r="C34" s="60" t="s">
        <v>333</v>
      </c>
    </row>
    <row r="35" spans="2:4" x14ac:dyDescent="0.3">
      <c r="B35" s="67">
        <v>34</v>
      </c>
      <c r="C35" s="55" t="s">
        <v>341</v>
      </c>
    </row>
    <row r="36" spans="2:4" ht="57.6" x14ac:dyDescent="0.3">
      <c r="B36" s="67">
        <v>35</v>
      </c>
      <c r="C36" s="56" t="s">
        <v>344</v>
      </c>
    </row>
    <row r="37" spans="2:4" x14ac:dyDescent="0.3">
      <c r="B37" s="55">
        <v>36</v>
      </c>
      <c r="C37" s="56" t="s">
        <v>355</v>
      </c>
    </row>
    <row r="38" spans="2:4" x14ac:dyDescent="0.3">
      <c r="B38" s="55">
        <f t="shared" ref="B38:B44" si="0">B37+1</f>
        <v>37</v>
      </c>
      <c r="C38" s="55" t="s">
        <v>351</v>
      </c>
    </row>
    <row r="39" spans="2:4" x14ac:dyDescent="0.3">
      <c r="B39" s="55">
        <f t="shared" si="0"/>
        <v>38</v>
      </c>
      <c r="C39" s="55" t="s">
        <v>352</v>
      </c>
    </row>
    <row r="40" spans="2:4" x14ac:dyDescent="0.3">
      <c r="B40" s="55">
        <f t="shared" si="0"/>
        <v>39</v>
      </c>
      <c r="C40" s="55" t="s">
        <v>353</v>
      </c>
    </row>
    <row r="41" spans="2:4" x14ac:dyDescent="0.3">
      <c r="B41" s="55">
        <f t="shared" si="0"/>
        <v>40</v>
      </c>
      <c r="C41" s="55" t="s">
        <v>354</v>
      </c>
    </row>
    <row r="42" spans="2:4" ht="29.4" thickBot="1" x14ac:dyDescent="0.35">
      <c r="B42" s="76">
        <f t="shared" si="0"/>
        <v>41</v>
      </c>
      <c r="C42" s="77" t="s">
        <v>356</v>
      </c>
    </row>
    <row r="43" spans="2:4" ht="28.8" x14ac:dyDescent="0.3">
      <c r="B43" s="80">
        <f t="shared" si="0"/>
        <v>42</v>
      </c>
      <c r="C43" s="85" t="s">
        <v>361</v>
      </c>
      <c r="D43" t="s">
        <v>362</v>
      </c>
    </row>
    <row r="44" spans="2:4" ht="15" thickBot="1" x14ac:dyDescent="0.35">
      <c r="B44" s="82">
        <f t="shared" si="0"/>
        <v>43</v>
      </c>
      <c r="C44" s="84" t="s">
        <v>357</v>
      </c>
    </row>
    <row r="45" spans="2:4" ht="15" thickBot="1" x14ac:dyDescent="0.35">
      <c r="B45" s="78">
        <f t="shared" ref="B45:B54" si="1">B44+1</f>
        <v>44</v>
      </c>
      <c r="C45" s="79" t="s">
        <v>358</v>
      </c>
    </row>
    <row r="46" spans="2:4" ht="28.8" x14ac:dyDescent="0.3">
      <c r="B46" s="80">
        <f t="shared" si="1"/>
        <v>45</v>
      </c>
      <c r="C46" s="81" t="s">
        <v>359</v>
      </c>
    </row>
    <row r="47" spans="2:4" ht="15" thickBot="1" x14ac:dyDescent="0.35">
      <c r="B47" s="82">
        <f t="shared" si="1"/>
        <v>46</v>
      </c>
      <c r="C47" s="83" t="s">
        <v>360</v>
      </c>
    </row>
    <row r="48" spans="2:4" x14ac:dyDescent="0.3">
      <c r="B48" s="86">
        <f t="shared" si="1"/>
        <v>47</v>
      </c>
      <c r="C48" s="87" t="s">
        <v>363</v>
      </c>
    </row>
    <row r="49" spans="2:6" x14ac:dyDescent="0.3">
      <c r="B49" s="86">
        <f t="shared" si="1"/>
        <v>48</v>
      </c>
      <c r="C49" s="87" t="s">
        <v>364</v>
      </c>
    </row>
    <row r="50" spans="2:6" x14ac:dyDescent="0.3">
      <c r="B50" s="86">
        <f t="shared" si="1"/>
        <v>49</v>
      </c>
      <c r="C50" s="87" t="s">
        <v>366</v>
      </c>
      <c r="D50" t="s">
        <v>365</v>
      </c>
    </row>
    <row r="51" spans="2:6" ht="28.8" x14ac:dyDescent="0.3">
      <c r="B51" s="88">
        <f t="shared" si="1"/>
        <v>50</v>
      </c>
      <c r="C51" s="89" t="s">
        <v>367</v>
      </c>
    </row>
    <row r="52" spans="2:6" x14ac:dyDescent="0.3">
      <c r="B52" s="88">
        <f t="shared" si="1"/>
        <v>51</v>
      </c>
      <c r="C52" s="90" t="s">
        <v>370</v>
      </c>
      <c r="D52" t="s">
        <v>371</v>
      </c>
    </row>
    <row r="53" spans="2:6" x14ac:dyDescent="0.3">
      <c r="B53" s="88">
        <f t="shared" si="1"/>
        <v>52</v>
      </c>
      <c r="C53" s="90" t="s">
        <v>373</v>
      </c>
      <c r="D53" t="s">
        <v>374</v>
      </c>
    </row>
    <row r="54" spans="2:6" ht="28.8" x14ac:dyDescent="0.3">
      <c r="B54" s="88">
        <f t="shared" si="1"/>
        <v>53</v>
      </c>
      <c r="C54" s="60" t="s">
        <v>378</v>
      </c>
      <c r="D54" t="s">
        <v>377</v>
      </c>
    </row>
    <row r="55" spans="2:6" ht="28.8" x14ac:dyDescent="0.3">
      <c r="B55">
        <v>54</v>
      </c>
      <c r="C55" s="92" t="s">
        <v>379</v>
      </c>
      <c r="D55" s="267" t="s">
        <v>380</v>
      </c>
      <c r="E55" s="268"/>
      <c r="F55" s="268"/>
    </row>
  </sheetData>
  <mergeCells count="1">
    <mergeCell ref="D55:F55"/>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09375" defaultRowHeight="14.4" x14ac:dyDescent="0.3"/>
  <cols>
    <col min="1" max="1" width="9.109375" style="52"/>
    <col min="2" max="2" width="12.33203125" style="52" customWidth="1"/>
    <col min="3" max="16384" width="9.109375" style="52"/>
  </cols>
  <sheetData>
    <row r="2" spans="1:12" x14ac:dyDescent="0.3">
      <c r="B2" s="61" t="s">
        <v>295</v>
      </c>
      <c r="C2" s="269"/>
      <c r="D2" s="269"/>
    </row>
    <row r="3" spans="1:12" x14ac:dyDescent="0.3">
      <c r="D3" s="62"/>
      <c r="E3" s="62"/>
      <c r="F3" s="62"/>
      <c r="G3" s="62"/>
      <c r="H3" s="62"/>
      <c r="I3" s="62"/>
    </row>
    <row r="4" spans="1:12" x14ac:dyDescent="0.3">
      <c r="A4" s="61" t="s">
        <v>64</v>
      </c>
      <c r="B4" s="63" t="s">
        <v>296</v>
      </c>
      <c r="C4" s="270" t="s">
        <v>297</v>
      </c>
      <c r="D4" s="270"/>
      <c r="E4" s="270"/>
      <c r="F4" s="63"/>
      <c r="G4" s="271" t="s">
        <v>298</v>
      </c>
      <c r="H4" s="271"/>
      <c r="I4" s="271"/>
      <c r="J4" s="272" t="s">
        <v>299</v>
      </c>
      <c r="K4" s="272"/>
      <c r="L4" s="272"/>
    </row>
    <row r="5" spans="1:12" x14ac:dyDescent="0.3">
      <c r="A5" s="61"/>
      <c r="B5" s="63"/>
      <c r="C5" s="63" t="s">
        <v>300</v>
      </c>
      <c r="D5" s="63" t="s">
        <v>301</v>
      </c>
      <c r="E5" s="63" t="s">
        <v>302</v>
      </c>
      <c r="F5" s="63"/>
      <c r="G5" s="63" t="s">
        <v>300</v>
      </c>
      <c r="H5" s="63" t="s">
        <v>301</v>
      </c>
      <c r="I5" s="63" t="s">
        <v>302</v>
      </c>
      <c r="J5" s="63" t="s">
        <v>300</v>
      </c>
      <c r="K5" s="63" t="s">
        <v>301</v>
      </c>
      <c r="L5" s="63" t="s">
        <v>302</v>
      </c>
    </row>
    <row r="6" spans="1:12" x14ac:dyDescent="0.3">
      <c r="B6" s="53" t="s">
        <v>303</v>
      </c>
      <c r="C6" s="53"/>
      <c r="D6" s="53"/>
      <c r="E6" s="53">
        <f>C6*D6</f>
        <v>0</v>
      </c>
      <c r="F6" s="53" t="s">
        <v>320</v>
      </c>
      <c r="G6" s="53"/>
      <c r="H6" s="53"/>
      <c r="I6" s="53">
        <f>G6*H6</f>
        <v>0</v>
      </c>
      <c r="J6" s="53"/>
      <c r="K6" s="53"/>
      <c r="L6" s="53">
        <f>J6*K6</f>
        <v>0</v>
      </c>
    </row>
    <row r="7" spans="1:12" x14ac:dyDescent="0.3">
      <c r="B7" s="53"/>
      <c r="C7" s="53"/>
      <c r="D7" s="53"/>
      <c r="E7" s="53">
        <f t="shared" ref="E7:E41" si="0">C7*D7</f>
        <v>0</v>
      </c>
      <c r="F7" s="53" t="s">
        <v>320</v>
      </c>
      <c r="G7" s="53"/>
      <c r="H7" s="53"/>
      <c r="I7" s="53">
        <f t="shared" ref="I7:I35" si="1">G7*H7</f>
        <v>0</v>
      </c>
      <c r="J7" s="53"/>
      <c r="K7" s="53"/>
      <c r="L7" s="53">
        <f t="shared" ref="L7:L35" si="2">J7*K7</f>
        <v>0</v>
      </c>
    </row>
    <row r="8" spans="1:12" x14ac:dyDescent="0.3">
      <c r="B8" s="53"/>
      <c r="C8" s="53"/>
      <c r="D8" s="53"/>
      <c r="E8" s="53">
        <f t="shared" si="0"/>
        <v>0</v>
      </c>
      <c r="F8" s="53"/>
      <c r="G8" s="53"/>
      <c r="H8" s="53"/>
      <c r="I8" s="53">
        <f t="shared" si="1"/>
        <v>0</v>
      </c>
      <c r="J8" s="53"/>
      <c r="K8" s="53"/>
      <c r="L8" s="53">
        <f t="shared" si="2"/>
        <v>0</v>
      </c>
    </row>
    <row r="9" spans="1:12" x14ac:dyDescent="0.3">
      <c r="B9" s="53"/>
      <c r="C9" s="53"/>
      <c r="D9" s="53"/>
      <c r="E9" s="53">
        <f t="shared" si="0"/>
        <v>0</v>
      </c>
      <c r="F9" s="53" t="s">
        <v>304</v>
      </c>
      <c r="G9" s="53"/>
      <c r="H9" s="53"/>
      <c r="I9" s="53">
        <f t="shared" si="1"/>
        <v>0</v>
      </c>
      <c r="J9" s="53"/>
      <c r="K9" s="53"/>
      <c r="L9" s="53">
        <f t="shared" si="2"/>
        <v>0</v>
      </c>
    </row>
    <row r="10" spans="1:12" x14ac:dyDescent="0.3">
      <c r="B10" s="53" t="s">
        <v>305</v>
      </c>
      <c r="C10" s="53"/>
      <c r="D10" s="53"/>
      <c r="E10" s="53">
        <f t="shared" si="0"/>
        <v>0</v>
      </c>
      <c r="F10" s="53" t="s">
        <v>304</v>
      </c>
      <c r="G10" s="53"/>
      <c r="H10" s="53"/>
      <c r="I10" s="53">
        <f t="shared" si="1"/>
        <v>0</v>
      </c>
      <c r="J10" s="53"/>
      <c r="K10" s="53"/>
      <c r="L10" s="53">
        <f t="shared" si="2"/>
        <v>0</v>
      </c>
    </row>
    <row r="11" spans="1:12" x14ac:dyDescent="0.3">
      <c r="B11" s="53"/>
      <c r="C11" s="53"/>
      <c r="D11" s="53"/>
      <c r="E11" s="53">
        <f t="shared" si="0"/>
        <v>0</v>
      </c>
      <c r="F11" s="53" t="s">
        <v>306</v>
      </c>
      <c r="G11" s="53"/>
      <c r="H11" s="53"/>
      <c r="I11" s="53">
        <f t="shared" si="1"/>
        <v>0</v>
      </c>
      <c r="J11" s="53"/>
      <c r="K11" s="53"/>
      <c r="L11" s="53">
        <f t="shared" si="2"/>
        <v>0</v>
      </c>
    </row>
    <row r="12" spans="1:12" x14ac:dyDescent="0.3">
      <c r="B12" s="53"/>
      <c r="C12" s="53"/>
      <c r="D12" s="53"/>
      <c r="E12" s="53">
        <f t="shared" si="0"/>
        <v>0</v>
      </c>
      <c r="F12" s="53"/>
      <c r="G12" s="53"/>
      <c r="H12" s="53"/>
      <c r="I12" s="53">
        <f t="shared" si="1"/>
        <v>0</v>
      </c>
      <c r="J12" s="53"/>
      <c r="K12" s="53"/>
      <c r="L12" s="53">
        <f t="shared" si="2"/>
        <v>0</v>
      </c>
    </row>
    <row r="13" spans="1:12" x14ac:dyDescent="0.3">
      <c r="B13" s="53"/>
      <c r="C13" s="53"/>
      <c r="D13" s="53"/>
      <c r="E13" s="53">
        <f t="shared" si="0"/>
        <v>0</v>
      </c>
      <c r="F13" s="53"/>
      <c r="G13" s="53"/>
      <c r="H13" s="53"/>
      <c r="I13" s="53">
        <f t="shared" si="1"/>
        <v>0</v>
      </c>
      <c r="J13" s="53"/>
      <c r="K13" s="53"/>
      <c r="L13" s="53">
        <f t="shared" si="2"/>
        <v>0</v>
      </c>
    </row>
    <row r="14" spans="1:12" x14ac:dyDescent="0.3">
      <c r="B14" s="53" t="s">
        <v>307</v>
      </c>
      <c r="C14" s="53"/>
      <c r="D14" s="53"/>
      <c r="E14" s="53">
        <f t="shared" si="0"/>
        <v>0</v>
      </c>
      <c r="F14" s="53" t="s">
        <v>304</v>
      </c>
      <c r="G14" s="53"/>
      <c r="H14" s="53"/>
      <c r="I14" s="53">
        <f t="shared" si="1"/>
        <v>0</v>
      </c>
      <c r="J14" s="53"/>
      <c r="K14" s="53"/>
      <c r="L14" s="53">
        <f t="shared" si="2"/>
        <v>0</v>
      </c>
    </row>
    <row r="15" spans="1:12" x14ac:dyDescent="0.3">
      <c r="B15" s="53"/>
      <c r="C15" s="53"/>
      <c r="D15" s="53"/>
      <c r="E15" s="53">
        <f t="shared" si="0"/>
        <v>0</v>
      </c>
      <c r="F15" s="53" t="s">
        <v>306</v>
      </c>
      <c r="G15" s="53"/>
      <c r="H15" s="53"/>
      <c r="I15" s="53">
        <f t="shared" si="1"/>
        <v>0</v>
      </c>
      <c r="J15" s="53"/>
      <c r="K15" s="53"/>
      <c r="L15" s="53">
        <f t="shared" si="2"/>
        <v>0</v>
      </c>
    </row>
    <row r="16" spans="1:12" x14ac:dyDescent="0.3">
      <c r="B16" s="53"/>
      <c r="C16" s="53"/>
      <c r="D16" s="53"/>
      <c r="E16" s="53">
        <f t="shared" si="0"/>
        <v>0</v>
      </c>
      <c r="F16" s="53"/>
      <c r="G16" s="53"/>
      <c r="H16" s="53"/>
      <c r="I16" s="53">
        <f t="shared" si="1"/>
        <v>0</v>
      </c>
      <c r="J16" s="53"/>
      <c r="K16" s="53"/>
      <c r="L16" s="53">
        <f t="shared" si="2"/>
        <v>0</v>
      </c>
    </row>
    <row r="17" spans="2:12" x14ac:dyDescent="0.3">
      <c r="B17" s="53"/>
      <c r="C17" s="53"/>
      <c r="D17" s="53"/>
      <c r="E17" s="53">
        <f t="shared" si="0"/>
        <v>0</v>
      </c>
      <c r="F17" s="53"/>
      <c r="G17" s="53"/>
      <c r="H17" s="53"/>
      <c r="I17" s="53">
        <f t="shared" si="1"/>
        <v>0</v>
      </c>
      <c r="J17" s="53"/>
      <c r="K17" s="53"/>
      <c r="L17" s="53">
        <f t="shared" si="2"/>
        <v>0</v>
      </c>
    </row>
    <row r="18" spans="2:12" x14ac:dyDescent="0.3">
      <c r="B18" s="53" t="s">
        <v>308</v>
      </c>
      <c r="C18" s="53"/>
      <c r="D18" s="53"/>
      <c r="E18" s="53">
        <f t="shared" si="0"/>
        <v>0</v>
      </c>
      <c r="F18" s="53" t="s">
        <v>304</v>
      </c>
      <c r="G18" s="53"/>
      <c r="H18" s="53"/>
      <c r="I18" s="53">
        <f t="shared" si="1"/>
        <v>0</v>
      </c>
      <c r="J18" s="53"/>
      <c r="K18" s="53"/>
      <c r="L18" s="53">
        <f t="shared" si="2"/>
        <v>0</v>
      </c>
    </row>
    <row r="19" spans="2:12" x14ac:dyDescent="0.3">
      <c r="B19" s="53"/>
      <c r="C19" s="53"/>
      <c r="D19" s="53"/>
      <c r="E19" s="53">
        <f t="shared" si="0"/>
        <v>0</v>
      </c>
      <c r="F19" s="53" t="s">
        <v>306</v>
      </c>
      <c r="G19" s="53"/>
      <c r="H19" s="53"/>
      <c r="I19" s="53">
        <f t="shared" si="1"/>
        <v>0</v>
      </c>
      <c r="J19" s="53"/>
      <c r="K19" s="53"/>
      <c r="L19" s="53">
        <f t="shared" si="2"/>
        <v>0</v>
      </c>
    </row>
    <row r="20" spans="2:12" x14ac:dyDescent="0.3">
      <c r="B20" s="53"/>
      <c r="C20" s="53"/>
      <c r="D20" s="53"/>
      <c r="E20" s="53">
        <f t="shared" si="0"/>
        <v>0</v>
      </c>
      <c r="F20" s="53"/>
      <c r="G20" s="53"/>
      <c r="H20" s="53"/>
      <c r="I20" s="53">
        <f t="shared" si="1"/>
        <v>0</v>
      </c>
      <c r="J20" s="53"/>
      <c r="K20" s="53"/>
      <c r="L20" s="53">
        <f t="shared" si="2"/>
        <v>0</v>
      </c>
    </row>
    <row r="21" spans="2:12" x14ac:dyDescent="0.3">
      <c r="B21" s="53" t="s">
        <v>309</v>
      </c>
      <c r="C21" s="53"/>
      <c r="D21" s="53"/>
      <c r="E21" s="53">
        <f t="shared" si="0"/>
        <v>0</v>
      </c>
      <c r="F21" s="53" t="s">
        <v>304</v>
      </c>
      <c r="G21" s="53"/>
      <c r="H21" s="53"/>
      <c r="I21" s="53">
        <f t="shared" si="1"/>
        <v>0</v>
      </c>
      <c r="J21" s="53"/>
      <c r="K21" s="53"/>
      <c r="L21" s="53">
        <f t="shared" si="2"/>
        <v>0</v>
      </c>
    </row>
    <row r="22" spans="2:12" x14ac:dyDescent="0.3">
      <c r="B22" s="53"/>
      <c r="C22" s="53"/>
      <c r="D22" s="53"/>
      <c r="E22" s="53">
        <f t="shared" si="0"/>
        <v>0</v>
      </c>
      <c r="F22" s="53" t="s">
        <v>306</v>
      </c>
      <c r="G22" s="53"/>
      <c r="H22" s="53"/>
      <c r="I22" s="53">
        <f t="shared" si="1"/>
        <v>0</v>
      </c>
      <c r="J22" s="53"/>
      <c r="K22" s="53"/>
      <c r="L22" s="53">
        <f t="shared" si="2"/>
        <v>0</v>
      </c>
    </row>
    <row r="23" spans="2:12" x14ac:dyDescent="0.3">
      <c r="B23" s="53"/>
      <c r="C23" s="53"/>
      <c r="D23" s="53"/>
      <c r="E23" s="53">
        <f t="shared" si="0"/>
        <v>0</v>
      </c>
      <c r="F23" s="53"/>
      <c r="G23" s="53"/>
      <c r="H23" s="53"/>
      <c r="I23" s="53">
        <f t="shared" si="1"/>
        <v>0</v>
      </c>
      <c r="J23" s="53"/>
      <c r="K23" s="53"/>
      <c r="L23" s="53">
        <f t="shared" si="2"/>
        <v>0</v>
      </c>
    </row>
    <row r="24" spans="2:12" x14ac:dyDescent="0.3">
      <c r="B24" s="53" t="s">
        <v>310</v>
      </c>
      <c r="C24" s="53"/>
      <c r="D24" s="53"/>
      <c r="E24" s="53">
        <f t="shared" si="0"/>
        <v>0</v>
      </c>
      <c r="F24" s="53" t="s">
        <v>311</v>
      </c>
      <c r="G24" s="53"/>
      <c r="H24" s="53"/>
      <c r="I24" s="53">
        <f t="shared" si="1"/>
        <v>0</v>
      </c>
      <c r="J24" s="53"/>
      <c r="K24" s="53"/>
      <c r="L24" s="53">
        <f t="shared" si="2"/>
        <v>0</v>
      </c>
    </row>
    <row r="25" spans="2:12" x14ac:dyDescent="0.3">
      <c r="B25" s="53"/>
      <c r="C25" s="53"/>
      <c r="D25" s="53"/>
      <c r="E25" s="53">
        <f>C25*D25</f>
        <v>0</v>
      </c>
      <c r="F25" s="53" t="s">
        <v>311</v>
      </c>
      <c r="G25" s="53"/>
      <c r="H25" s="53"/>
      <c r="I25" s="53">
        <f>G25*H25</f>
        <v>0</v>
      </c>
      <c r="J25" s="53"/>
      <c r="K25" s="53"/>
      <c r="L25" s="53">
        <f>J25*K25</f>
        <v>0</v>
      </c>
    </row>
    <row r="26" spans="2:12" x14ac:dyDescent="0.3">
      <c r="B26" s="53"/>
      <c r="C26" s="53"/>
      <c r="D26" s="53"/>
      <c r="E26" s="53">
        <f>C26*D26</f>
        <v>0</v>
      </c>
      <c r="F26" s="53" t="s">
        <v>311</v>
      </c>
      <c r="G26" s="53"/>
      <c r="H26" s="53"/>
      <c r="I26" s="53">
        <f>G26*H26</f>
        <v>0</v>
      </c>
      <c r="J26" s="53"/>
      <c r="K26" s="53"/>
      <c r="L26" s="53">
        <f>J26*K26</f>
        <v>0</v>
      </c>
    </row>
    <row r="27" spans="2:12" x14ac:dyDescent="0.3">
      <c r="B27" s="53"/>
      <c r="C27" s="53"/>
      <c r="D27" s="53"/>
      <c r="E27" s="53">
        <f>C27*D27</f>
        <v>0</v>
      </c>
      <c r="F27" s="53" t="s">
        <v>311</v>
      </c>
      <c r="G27" s="53"/>
      <c r="H27" s="53"/>
      <c r="I27" s="53">
        <f>G27*H27</f>
        <v>0</v>
      </c>
      <c r="J27" s="53"/>
      <c r="K27" s="53"/>
      <c r="L27" s="53">
        <f>J27*K27</f>
        <v>0</v>
      </c>
    </row>
    <row r="28" spans="2:12" x14ac:dyDescent="0.3">
      <c r="B28" s="53" t="s">
        <v>312</v>
      </c>
      <c r="C28" s="53"/>
      <c r="D28" s="53"/>
      <c r="E28" s="53">
        <f t="shared" si="0"/>
        <v>0</v>
      </c>
      <c r="F28" s="53" t="s">
        <v>311</v>
      </c>
      <c r="G28" s="53"/>
      <c r="H28" s="53"/>
      <c r="I28" s="53">
        <f t="shared" si="1"/>
        <v>0</v>
      </c>
      <c r="J28" s="53"/>
      <c r="K28" s="53"/>
      <c r="L28" s="53">
        <f t="shared" si="2"/>
        <v>0</v>
      </c>
    </row>
    <row r="29" spans="2:12" x14ac:dyDescent="0.3">
      <c r="B29" s="53" t="s">
        <v>313</v>
      </c>
      <c r="C29" s="53"/>
      <c r="D29" s="53"/>
      <c r="E29" s="53">
        <f t="shared" si="0"/>
        <v>0</v>
      </c>
      <c r="F29" s="53" t="s">
        <v>311</v>
      </c>
      <c r="G29" s="53"/>
      <c r="H29" s="53"/>
      <c r="I29" s="53">
        <f t="shared" si="1"/>
        <v>0</v>
      </c>
      <c r="J29" s="53"/>
      <c r="K29" s="53"/>
      <c r="L29" s="53">
        <f t="shared" si="2"/>
        <v>0</v>
      </c>
    </row>
    <row r="30" spans="2:12" x14ac:dyDescent="0.3">
      <c r="B30" s="53" t="s">
        <v>317</v>
      </c>
      <c r="C30" s="53"/>
      <c r="D30" s="53"/>
      <c r="E30" s="53">
        <f t="shared" si="0"/>
        <v>0</v>
      </c>
      <c r="F30" s="53"/>
      <c r="G30" s="53"/>
      <c r="H30" s="53"/>
      <c r="I30" s="53">
        <f t="shared" si="1"/>
        <v>0</v>
      </c>
      <c r="J30" s="53"/>
      <c r="K30" s="53"/>
      <c r="L30" s="53">
        <f t="shared" si="2"/>
        <v>0</v>
      </c>
    </row>
    <row r="31" spans="2:12" x14ac:dyDescent="0.3">
      <c r="B31" s="53"/>
      <c r="C31" s="53"/>
      <c r="D31" s="53"/>
      <c r="E31" s="53">
        <f>C31*D31</f>
        <v>0</v>
      </c>
      <c r="F31" s="53"/>
      <c r="G31" s="53"/>
      <c r="H31" s="53"/>
      <c r="I31" s="53">
        <f>G31*H31</f>
        <v>0</v>
      </c>
      <c r="J31" s="53"/>
      <c r="K31" s="53"/>
      <c r="L31" s="53">
        <f>J31*K31</f>
        <v>0</v>
      </c>
    </row>
    <row r="32" spans="2:12" x14ac:dyDescent="0.3">
      <c r="B32" s="53"/>
      <c r="C32" s="53"/>
      <c r="D32" s="53"/>
      <c r="E32" s="53">
        <f>C32*D32</f>
        <v>0</v>
      </c>
      <c r="F32" s="53"/>
      <c r="G32" s="53"/>
      <c r="H32" s="53"/>
      <c r="I32" s="53">
        <f>G32*H32</f>
        <v>0</v>
      </c>
      <c r="J32" s="53"/>
      <c r="K32" s="53"/>
      <c r="L32" s="53">
        <f>J32*K32</f>
        <v>0</v>
      </c>
    </row>
    <row r="33" spans="2:12" x14ac:dyDescent="0.3">
      <c r="B33" s="53" t="s">
        <v>314</v>
      </c>
      <c r="C33" s="53"/>
      <c r="D33" s="53"/>
      <c r="E33" s="53">
        <f t="shared" si="0"/>
        <v>0</v>
      </c>
      <c r="F33" s="53"/>
      <c r="G33" s="53"/>
      <c r="H33" s="53"/>
      <c r="I33" s="53">
        <f t="shared" si="1"/>
        <v>0</v>
      </c>
      <c r="J33" s="53"/>
      <c r="K33" s="53"/>
      <c r="L33" s="53">
        <f t="shared" si="2"/>
        <v>0</v>
      </c>
    </row>
    <row r="34" spans="2:12" x14ac:dyDescent="0.3">
      <c r="B34" s="53" t="s">
        <v>318</v>
      </c>
      <c r="C34" s="53"/>
      <c r="D34" s="53"/>
      <c r="E34" s="53">
        <f t="shared" si="0"/>
        <v>0</v>
      </c>
      <c r="F34" s="53"/>
      <c r="G34" s="53"/>
      <c r="H34" s="53"/>
      <c r="I34" s="53">
        <f t="shared" si="1"/>
        <v>0</v>
      </c>
      <c r="J34" s="53"/>
      <c r="K34" s="53"/>
      <c r="L34" s="53">
        <f t="shared" si="2"/>
        <v>0</v>
      </c>
    </row>
    <row r="35" spans="2:12" x14ac:dyDescent="0.3">
      <c r="B35" s="53" t="s">
        <v>315</v>
      </c>
      <c r="C35" s="53"/>
      <c r="D35" s="53"/>
      <c r="E35" s="53">
        <f t="shared" si="0"/>
        <v>0</v>
      </c>
      <c r="F35" s="53"/>
      <c r="G35" s="53"/>
      <c r="H35" s="53"/>
      <c r="I35" s="53">
        <f t="shared" si="1"/>
        <v>0</v>
      </c>
      <c r="J35" s="53"/>
      <c r="K35" s="53"/>
      <c r="L35" s="53">
        <f t="shared" si="2"/>
        <v>0</v>
      </c>
    </row>
    <row r="36" spans="2:12" x14ac:dyDescent="0.3">
      <c r="B36" s="53" t="s">
        <v>316</v>
      </c>
      <c r="C36" s="53"/>
      <c r="D36" s="53"/>
      <c r="E36" s="53">
        <f t="shared" si="0"/>
        <v>0</v>
      </c>
      <c r="F36" s="53"/>
      <c r="G36" s="53"/>
      <c r="H36" s="53"/>
      <c r="I36" s="53">
        <f t="shared" ref="I36:I41" si="3">G36*H36</f>
        <v>0</v>
      </c>
      <c r="J36" s="53"/>
      <c r="K36" s="53"/>
      <c r="L36" s="53">
        <f t="shared" ref="L36:L41" si="4">J36*K36</f>
        <v>0</v>
      </c>
    </row>
    <row r="37" spans="2:12" x14ac:dyDescent="0.3">
      <c r="B37" s="53"/>
      <c r="C37" s="53"/>
      <c r="D37" s="53"/>
      <c r="E37" s="53">
        <f>C37*D37</f>
        <v>0</v>
      </c>
      <c r="F37" s="53"/>
      <c r="G37" s="53"/>
      <c r="H37" s="53"/>
      <c r="I37" s="53">
        <f t="shared" si="3"/>
        <v>0</v>
      </c>
      <c r="J37" s="53"/>
      <c r="K37" s="53"/>
      <c r="L37" s="53">
        <f t="shared" si="4"/>
        <v>0</v>
      </c>
    </row>
    <row r="38" spans="2:12" x14ac:dyDescent="0.3">
      <c r="B38" s="53" t="s">
        <v>319</v>
      </c>
      <c r="C38" s="53"/>
      <c r="D38" s="53"/>
      <c r="E38" s="53">
        <f>C38*D38</f>
        <v>0</v>
      </c>
      <c r="F38" s="53"/>
      <c r="G38" s="53"/>
      <c r="H38" s="53"/>
      <c r="I38" s="53">
        <f t="shared" si="3"/>
        <v>0</v>
      </c>
      <c r="J38" s="53"/>
      <c r="K38" s="53"/>
      <c r="L38" s="53">
        <f t="shared" si="4"/>
        <v>0</v>
      </c>
    </row>
    <row r="39" spans="2:12" x14ac:dyDescent="0.3">
      <c r="B39" s="53"/>
      <c r="C39" s="53"/>
      <c r="D39" s="53"/>
      <c r="E39" s="53">
        <f t="shared" si="0"/>
        <v>0</v>
      </c>
      <c r="F39" s="53"/>
      <c r="G39" s="53"/>
      <c r="H39" s="53"/>
      <c r="I39" s="53">
        <f t="shared" si="3"/>
        <v>0</v>
      </c>
      <c r="J39" s="53"/>
      <c r="K39" s="53"/>
      <c r="L39" s="53">
        <f t="shared" si="4"/>
        <v>0</v>
      </c>
    </row>
    <row r="40" spans="2:12" x14ac:dyDescent="0.3">
      <c r="B40" s="53"/>
      <c r="C40" s="53"/>
      <c r="D40" s="53"/>
      <c r="E40" s="53">
        <f t="shared" si="0"/>
        <v>0</v>
      </c>
      <c r="F40" s="53"/>
      <c r="G40" s="53"/>
      <c r="H40" s="53"/>
      <c r="I40" s="53">
        <f t="shared" si="3"/>
        <v>0</v>
      </c>
      <c r="J40" s="53"/>
      <c r="K40" s="53"/>
      <c r="L40" s="53">
        <f t="shared" si="4"/>
        <v>0</v>
      </c>
    </row>
    <row r="41" spans="2:12" x14ac:dyDescent="0.3">
      <c r="B41" s="53"/>
      <c r="C41" s="53"/>
      <c r="D41" s="53"/>
      <c r="E41" s="53">
        <f t="shared" si="0"/>
        <v>0</v>
      </c>
      <c r="F41" s="53"/>
      <c r="G41" s="53"/>
      <c r="H41" s="53"/>
      <c r="I41" s="53">
        <f t="shared" si="3"/>
        <v>0</v>
      </c>
      <c r="J41" s="53"/>
      <c r="K41" s="53"/>
      <c r="L41" s="53">
        <f t="shared" si="4"/>
        <v>0</v>
      </c>
    </row>
    <row r="42" spans="2:12" x14ac:dyDescent="0.3">
      <c r="B42" s="53" t="s">
        <v>144</v>
      </c>
      <c r="C42" s="53"/>
      <c r="D42" s="53">
        <f>E42*10.764</f>
        <v>0</v>
      </c>
      <c r="E42" s="66">
        <f>SUM(E6:E41)</f>
        <v>0</v>
      </c>
      <c r="F42" s="53"/>
      <c r="G42" s="53"/>
      <c r="H42" s="53">
        <f>I42*10.764</f>
        <v>0</v>
      </c>
      <c r="I42" s="65">
        <f>SUM(I6:I41)</f>
        <v>0</v>
      </c>
      <c r="J42" s="53"/>
      <c r="K42" s="53">
        <f>L42*10.764</f>
        <v>0</v>
      </c>
      <c r="L42" s="64">
        <f>SUM(L6:L41)</f>
        <v>0</v>
      </c>
    </row>
    <row r="44" spans="2:12" x14ac:dyDescent="0.3">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2025-08-28T11:05:55Z</cp:lastPrinted>
  <dcterms:created xsi:type="dcterms:W3CDTF">2019-07-16T09:29:46Z</dcterms:created>
  <dcterms:modified xsi:type="dcterms:W3CDTF">2025-08-28T11:06:40Z</dcterms:modified>
</cp:coreProperties>
</file>