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Z:\APF\25-26\Sep 2025\AXIS\Dump Revised\"/>
    </mc:Choice>
  </mc:AlternateContent>
  <bookViews>
    <workbookView xWindow="0" yWindow="0" windowWidth="20490" windowHeight="732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Report!$A$1:$H$323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8" i="1" l="1"/>
  <c r="A169" i="1" s="1"/>
  <c r="A170" i="1" s="1"/>
  <c r="M170" i="1"/>
  <c r="L170" i="1"/>
  <c r="L169" i="1"/>
  <c r="L168" i="1"/>
  <c r="D152" i="1"/>
  <c r="F152" i="1" s="1"/>
  <c r="H152" i="1" s="1"/>
  <c r="D151" i="1"/>
  <c r="F151" i="1" s="1"/>
  <c r="H151" i="1" s="1"/>
  <c r="D150" i="1"/>
  <c r="F150" i="1" s="1"/>
  <c r="H150" i="1" s="1"/>
  <c r="D149" i="1"/>
  <c r="A155" i="1"/>
  <c r="A156" i="1" s="1"/>
  <c r="A157" i="1" s="1"/>
  <c r="A158" i="1" s="1"/>
  <c r="A159" i="1" s="1"/>
  <c r="A160" i="1" s="1"/>
  <c r="D147" i="1"/>
  <c r="D146" i="1"/>
  <c r="E170" i="1"/>
  <c r="D170" i="1"/>
  <c r="E169" i="1"/>
  <c r="D169" i="1"/>
  <c r="E168" i="1"/>
  <c r="D168" i="1"/>
  <c r="E167" i="1"/>
  <c r="D167" i="1"/>
  <c r="D156" i="1"/>
  <c r="F156" i="1" s="1"/>
  <c r="H156" i="1" s="1"/>
  <c r="D148" i="1"/>
  <c r="I142" i="1"/>
  <c r="E43" i="1"/>
  <c r="C137" i="1" l="1"/>
  <c r="C138" i="1" s="1"/>
  <c r="N170" i="1"/>
  <c r="B38" i="6"/>
  <c r="B39" i="6" s="1"/>
  <c r="B40" i="6" s="1"/>
  <c r="B41" i="6" s="1"/>
  <c r="B42" i="6" s="1"/>
  <c r="B43" i="6" s="1"/>
  <c r="B44" i="6" s="1"/>
  <c r="B45" i="6" s="1"/>
  <c r="B46" i="6" s="1"/>
  <c r="B47" i="6" s="1"/>
  <c r="B48" i="6" s="1"/>
  <c r="B49" i="6" s="1"/>
  <c r="B50" i="6" s="1"/>
  <c r="B51" i="6" s="1"/>
  <c r="B52" i="6" s="1"/>
  <c r="B53" i="6" s="1"/>
  <c r="B54" i="6" s="1"/>
  <c r="F146" i="1" l="1"/>
  <c r="H146" i="1" l="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198" i="1"/>
  <c r="B175" i="1"/>
  <c r="B174" i="1"/>
  <c r="F170" i="1"/>
  <c r="H170" i="1" s="1"/>
  <c r="F169" i="1"/>
  <c r="H169" i="1" s="1"/>
  <c r="J169" i="1" s="1"/>
  <c r="F168" i="1"/>
  <c r="H168" i="1" s="1"/>
  <c r="J168" i="1" s="1"/>
  <c r="F167" i="1"/>
  <c r="F149" i="1"/>
  <c r="H149" i="1" s="1"/>
  <c r="F148" i="1"/>
  <c r="F147" i="1"/>
  <c r="H147" i="1" s="1"/>
  <c r="A147" i="1"/>
  <c r="A148" i="1" s="1"/>
  <c r="A149" i="1" s="1"/>
  <c r="A150" i="1" s="1"/>
  <c r="A151" i="1" s="1"/>
  <c r="A152" i="1" s="1"/>
  <c r="F129" i="1"/>
  <c r="C103" i="1"/>
  <c r="C89" i="1"/>
  <c r="C75" i="1"/>
  <c r="B76" i="1" s="1"/>
  <c r="D69" i="1"/>
  <c r="D64" i="1"/>
  <c r="G57" i="1"/>
  <c r="K55" i="1"/>
  <c r="G51" i="1"/>
  <c r="C51" i="1"/>
  <c r="E44" i="1"/>
  <c r="E45" i="1" s="1"/>
  <c r="S33" i="1"/>
  <c r="E31" i="1"/>
  <c r="E28" i="1"/>
  <c r="E26" i="1"/>
  <c r="C16" i="1"/>
  <c r="I15" i="1"/>
  <c r="Z13" i="1"/>
  <c r="E8" i="1"/>
  <c r="E3" i="1"/>
  <c r="B184" i="1" s="1"/>
  <c r="H104" i="1"/>
  <c r="H90" i="1"/>
  <c r="H148" i="1" l="1"/>
  <c r="G133" i="1" s="1"/>
  <c r="E133" i="1"/>
  <c r="C133" i="1"/>
  <c r="G132" i="1"/>
  <c r="J170" i="1"/>
  <c r="I170" i="1"/>
  <c r="E132" i="1"/>
  <c r="E134" i="1" s="1"/>
  <c r="C132" i="1"/>
  <c r="H167" i="1"/>
  <c r="E137" i="1"/>
  <c r="E138" i="1" s="1"/>
  <c r="E42" i="7"/>
  <c r="J83" i="1"/>
  <c r="J84" i="1"/>
  <c r="B104" i="1"/>
  <c r="J112" i="1" s="1"/>
  <c r="I42" i="7"/>
  <c r="H42" i="7" s="1"/>
  <c r="L42" i="7"/>
  <c r="K42" i="7" s="1"/>
  <c r="J89" i="1"/>
  <c r="J91" i="1" s="1"/>
  <c r="D98" i="1"/>
  <c r="D97" i="1"/>
  <c r="D102" i="1"/>
  <c r="D96" i="1"/>
  <c r="J92" i="1"/>
  <c r="D101" i="1"/>
  <c r="J94" i="1"/>
  <c r="C93" i="1" s="1"/>
  <c r="D95" i="1"/>
  <c r="D100" i="1"/>
  <c r="J93" i="1"/>
  <c r="D99" i="1"/>
  <c r="D113" i="1"/>
  <c r="J107" i="1"/>
  <c r="J103" i="1"/>
  <c r="J105" i="1" s="1"/>
  <c r="J106" i="1"/>
  <c r="D111" i="1"/>
  <c r="D116" i="1"/>
  <c r="D110" i="1"/>
  <c r="D115" i="1"/>
  <c r="D109" i="1"/>
  <c r="D112" i="1"/>
  <c r="J108" i="1"/>
  <c r="C107" i="1" s="1"/>
  <c r="D107" i="1" s="1"/>
  <c r="D114" i="1"/>
  <c r="D42" i="7"/>
  <c r="L55" i="1"/>
  <c r="B90" i="1"/>
  <c r="J85" i="1"/>
  <c r="J86" i="1"/>
  <c r="I52" i="1"/>
  <c r="H76" i="1"/>
  <c r="G138" i="1" l="1"/>
  <c r="G137" i="1"/>
  <c r="J167" i="1"/>
  <c r="C134" i="1"/>
  <c r="C139" i="1" s="1"/>
  <c r="G134" i="1"/>
  <c r="E139" i="1"/>
  <c r="D87" i="1"/>
  <c r="D81" i="1"/>
  <c r="J81" i="1"/>
  <c r="J82" i="1" s="1"/>
  <c r="J87" i="1" s="1"/>
  <c r="J88" i="1" s="1"/>
  <c r="C80" i="1" s="1"/>
  <c r="D80" i="1" s="1"/>
  <c r="J80" i="1"/>
  <c r="C79" i="1" s="1"/>
  <c r="D79" i="1" s="1"/>
  <c r="D86" i="1"/>
  <c r="D85" i="1"/>
  <c r="J75" i="1"/>
  <c r="J77" i="1" s="1"/>
  <c r="D84" i="1"/>
  <c r="D88" i="1"/>
  <c r="D82" i="1"/>
  <c r="J79" i="1"/>
  <c r="J78" i="1"/>
  <c r="D83" i="1"/>
  <c r="J114" i="1"/>
  <c r="J113" i="1"/>
  <c r="D44" i="7"/>
  <c r="E44" i="7"/>
  <c r="J111" i="1"/>
  <c r="J109" i="1"/>
  <c r="J110" i="1" s="1"/>
  <c r="J115" i="1" s="1"/>
  <c r="J116" i="1" s="1"/>
  <c r="C108" i="1" s="1"/>
  <c r="G107" i="1" s="1"/>
  <c r="D93" i="1"/>
  <c r="J98" i="1"/>
  <c r="J95" i="1"/>
  <c r="J96" i="1" s="1"/>
  <c r="J101" i="1" s="1"/>
  <c r="J102" i="1" s="1"/>
  <c r="C94" i="1" s="1"/>
  <c r="J100" i="1"/>
  <c r="J97" i="1"/>
  <c r="J99" i="1"/>
  <c r="G139" i="1" l="1"/>
  <c r="E79" i="1"/>
  <c r="G79" i="1"/>
  <c r="D73" i="1" s="1"/>
  <c r="D74" i="1" s="1"/>
  <c r="D108" i="1"/>
  <c r="I104" i="1" s="1"/>
  <c r="I105" i="1" s="1"/>
  <c r="J104" i="1"/>
  <c r="E107" i="1"/>
  <c r="I76" i="1"/>
  <c r="I77" i="1" s="1"/>
  <c r="J76" i="1"/>
  <c r="E93" i="1"/>
  <c r="D94" i="1"/>
  <c r="I90" i="1" s="1"/>
  <c r="J90" i="1"/>
  <c r="G93" i="1"/>
  <c r="F74" i="1" l="1"/>
  <c r="I103" i="1"/>
  <c r="C105" i="1" s="1"/>
  <c r="I75" i="1"/>
  <c r="C77" i="1" s="1"/>
  <c r="I91" i="1"/>
  <c r="I89" i="1" s="1"/>
  <c r="C91"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6" authorId="1" shapeId="0">
      <text>
        <r>
          <rPr>
            <b/>
            <sz val="9"/>
            <color indexed="81"/>
            <rFont val="Tahoma"/>
            <family val="2"/>
          </rPr>
          <t>SACHIN:</t>
        </r>
        <r>
          <rPr>
            <sz val="9"/>
            <color indexed="81"/>
            <rFont val="Tahoma"/>
            <family val="2"/>
          </rPr>
          <t xml:space="preserve">
Floor with height</t>
        </r>
      </text>
    </comment>
    <comment ref="C58" authorId="1" shapeId="0">
      <text>
        <r>
          <rPr>
            <b/>
            <sz val="9"/>
            <color indexed="81"/>
            <rFont val="Tahoma"/>
            <family val="2"/>
          </rPr>
          <t>SACHIN:</t>
        </r>
        <r>
          <rPr>
            <sz val="9"/>
            <color indexed="81"/>
            <rFont val="Tahoma"/>
            <family val="2"/>
          </rPr>
          <t xml:space="preserve">
Survey Nos.</t>
        </r>
      </text>
    </comment>
    <comment ref="D64"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63"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<sst xmlns="http://schemas.openxmlformats.org/spreadsheetml/2006/main" count="731" uniqueCount="439">
  <si>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</si>
  <si>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</si>
  <si>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</si>
  <si>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</si>
  <si>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</si>
  <si>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</si>
  <si>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</si>
  <si>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</si>
  <si>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</si>
  <si>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</si>
  <si>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</si>
  <si>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</si>
  <si>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</si>
  <si>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</si>
  <si>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</si>
  <si>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</si>
  <si>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</si>
  <si>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</si>
  <si>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</si>
  <si>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</si>
  <si>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</si>
  <si>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</si>
  <si>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</si>
  <si>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</si>
  <si>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</si>
  <si>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</si>
  <si>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</si>
  <si>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</si>
  <si>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</si>
  <si>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</si>
  <si>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</si>
  <si>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</si>
  <si>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</si>
  <si>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</si>
  <si>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</si>
  <si>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</si>
  <si>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</si>
  <si>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</si>
  <si>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</si>
  <si>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</si>
  <si>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</si>
  <si>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</si>
  <si>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</si>
  <si>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</si>
  <si>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</si>
  <si>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</si>
  <si>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</si>
  <si>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</si>
  <si>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</si>
  <si>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</si>
  <si>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</si>
  <si>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</si>
  <si>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</si>
  <si>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</si>
  <si>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</si>
  <si>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</si>
  <si>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</si>
  <si>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</si>
  <si>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</si>
  <si>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</si>
  <si>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</si>
  <si>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</si>
  <si>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</si>
  <si>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</si>
  <si>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</si>
  <si>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</si>
  <si>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</si>
  <si>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</si>
  <si>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</si>
  <si>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</si>
  <si>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</si>
  <si>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</si>
  <si>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</si>
  <si>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</si>
  <si>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</si>
  <si>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</si>
  <si>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</si>
  <si>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</si>
  <si>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</si>
  <si>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</si>
  <si>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</si>
  <si>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</si>
  <si>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</si>
  <si>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</si>
  <si>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</si>
  <si>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</si>
  <si>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</si>
  <si>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</si>
  <si>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</si>
  <si>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</si>
  <si>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</si>
  <si>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</si>
  <si>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</si>
  <si>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</si>
  <si>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</si>
  <si>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</si>
  <si>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</si>
  <si>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</si>
  <si>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</si>
  <si>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</si>
  <si>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</si>
  <si>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</si>
  <si>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</si>
  <si>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</si>
  <si>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</si>
  <si>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</si>
  <si>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</si>
  <si>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</si>
  <si>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</si>
  <si>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</si>
  <si>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</si>
  <si>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</si>
  <si>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</si>
  <si>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</si>
  <si>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</si>
  <si>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</si>
  <si>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</si>
  <si>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</si>
  <si>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</si>
  <si>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</si>
  <si>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</si>
  <si>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</si>
  <si>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</si>
  <si>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</si>
  <si>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</si>
  <si>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</si>
  <si>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</si>
  <si>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</si>
  <si>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</si>
  <si>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</si>
  <si>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</si>
  <si>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</si>
  <si>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</si>
  <si>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</si>
  <si>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</si>
  <si>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</si>
  <si>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</si>
  <si>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</si>
  <si>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</si>
  <si>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</si>
  <si>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</si>
  <si>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</si>
  <si>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</si>
  <si>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</si>
  <si>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</si>
  <si>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</si>
  <si>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</si>
  <si>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</si>
  <si>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</si>
  <si>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</si>
  <si>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</si>
  <si>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</si>
  <si>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</si>
  <si>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</si>
  <si>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</si>
  <si>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</si>
  <si>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</si>
  <si>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</si>
  <si>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</si>
  <si>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</si>
  <si>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</si>
  <si>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</si>
  <si>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</si>
  <si>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</si>
  <si>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</si>
  <si>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</si>
  <si>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</si>
  <si>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</si>
  <si>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</si>
  <si>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</si>
  <si>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</si>
  <si>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</si>
  <si>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</si>
  <si>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</si>
  <si>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</si>
  <si>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</si>
  <si>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</si>
  <si>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</si>
  <si>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</si>
  <si>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</si>
  <si>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</si>
  <si>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</si>
  <si>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</si>
  <si>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</si>
  <si>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</si>
  <si>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</si>
  <si>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</si>
  <si>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</si>
  <si>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</si>
  <si>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</si>
  <si>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</si>
  <si>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</si>
  <si>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</si>
  <si>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</si>
  <si>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</si>
  <si>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</si>
  <si>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</si>
  <si>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</si>
  <si>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</si>
  <si>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</si>
  <si>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</si>
  <si>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</si>
  <si>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</si>
  <si>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</si>
  <si>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</si>
  <si>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</si>
  <si>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</si>
  <si>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</si>
  <si>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</si>
  <si>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</si>
  <si>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</si>
  <si>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</si>
  <si>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</si>
  <si>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</si>
  <si>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</si>
  <si>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</si>
  <si>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</si>
  <si>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</si>
  <si>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</si>
  <si>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</si>
  <si>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</si>
  <si>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</si>
  <si>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</si>
  <si>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</si>
  <si>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</si>
  <si>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</si>
  <si>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</si>
  <si>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</si>
  <si>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</si>
  <si>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</si>
  <si>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</si>
  <si>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</si>
  <si>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</si>
  <si>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</si>
  <si>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</si>
  <si>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</si>
  <si>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</si>
  <si>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</si>
  <si>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</si>
  <si>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</si>
  <si>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</si>
  <si>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</si>
  <si>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</si>
  <si>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</si>
  <si>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</si>
  <si>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</si>
  <si>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</si>
  <si>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</si>
  <si>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</si>
  <si>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</si>
  <si>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</si>
  <si>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</si>
  <si>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</si>
  <si>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</si>
  <si>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</si>
  <si>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</si>
  <si>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</si>
  <si>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</si>
  <si>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</si>
  <si>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</si>
  <si>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</si>
  <si>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</si>
  <si>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</si>
  <si>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</si>
  <si>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</si>
  <si>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</si>
  <si>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</si>
  <si>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</si>
  <si>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</si>
  <si>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</si>
  <si>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</si>
  <si>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</si>
  <si>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</si>
  <si>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</si>
  <si>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</si>
  <si>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</si>
  <si>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</si>
  <si>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</si>
  <si>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</si>
  <si>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</si>
  <si>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</si>
  <si>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</si>
  <si>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</si>
  <si>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</si>
  <si>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</si>
  <si>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</si>
  <si>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</si>
  <si>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</si>
  <si>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</si>
  <si>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</si>
  <si>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</si>
  <si>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</si>
  <si>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</si>
  <si>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</si>
  <si>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</si>
  <si>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</si>
  <si>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</si>
  <si>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</si>
  <si>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</si>
  <si>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</si>
  <si>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</si>
  <si>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</si>
  <si>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</si>
  <si>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</si>
  <si>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</si>
  <si>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</si>
  <si>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</si>
  <si>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</si>
  <si>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</si>
  <si>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</si>
  <si>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</si>
  <si>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</si>
  <si>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</si>
  <si>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</si>
  <si>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</si>
  <si>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</si>
  <si>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</si>
  <si>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</si>
  <si>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</si>
  <si>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</si>
  <si>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</si>
  <si>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</si>
  <si>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</si>
  <si>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</si>
  <si>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</si>
  <si>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</si>
  <si>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</si>
  <si>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</si>
  <si>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</si>
  <si>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</si>
  <si>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</si>
  <si>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</si>
  <si>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</si>
  <si>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</si>
  <si>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</si>
  <si>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</si>
  <si>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</si>
  <si>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</si>
  <si>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</si>
  <si>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</si>
  <si>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</si>
  <si>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</si>
  <si>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</si>
  <si>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</si>
  <si>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</si>
  <si>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</si>
  <si>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</si>
  <si>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</si>
  <si>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</si>
  <si>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</si>
  <si>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</si>
  <si>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</si>
  <si>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</si>
  <si>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</si>
  <si>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</si>
  <si>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</si>
  <si>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</si>
  <si>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</si>
  <si>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</si>
  <si>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</si>
  <si>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</si>
  <si>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</si>
  <si>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</si>
  <si>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</si>
  <si>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</si>
  <si>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</si>
  <si>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</si>
  <si>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</si>
  <si>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</si>
  <si>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</si>
  <si>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 xml:space="preserve">Site Elevation (AMSL) = 
Permissible Top Elevation (AMSL) = </t>
  </si>
  <si>
    <t>Carpet Area</t>
  </si>
  <si>
    <t>As per Google Maps, we have observed that some plants or trees are surrounding of theproject (it plants might be mangroves also).</t>
  </si>
  <si>
    <t>The Royal Bay</t>
  </si>
  <si>
    <t>Office No. 1031, Wing J, Akshar Business Park, Plot No. 03 Sector 25, Near APMC Market, Vashi, Navi Mumbai, Maharashtra 400703 TEL: 022-46090378/79/80
E mail : vsjcapf@gmail.com. Web site : www.vsjadon.com</t>
  </si>
  <si>
    <t xml:space="preserve">As per the revised approved plan dated 08/09/2022, the approved structure of Wing A is reduced to Gr + 1st to 14th Floor (earlier it was Wing A = Gr + 1st to 15th Floor) </t>
  </si>
  <si>
    <t>Balaji Govind</t>
  </si>
  <si>
    <t>Masjid is located in 150 to 200m from project</t>
  </si>
  <si>
    <t>M/s. Chamunda Infrastructure Limited</t>
  </si>
  <si>
    <t>Aqua Bay</t>
  </si>
  <si>
    <t>Mr. Deedeshmenat  9022993366</t>
  </si>
  <si>
    <t>P51900079685</t>
  </si>
  <si>
    <t>C.S. No</t>
  </si>
  <si>
    <t>Sewri West</t>
  </si>
  <si>
    <t>18.996194,72.852545</t>
  </si>
  <si>
    <t>https://maps.app.goo.gl/YT42f5qwpAsMSMjw7</t>
  </si>
  <si>
    <t>Navbharat Estates</t>
  </si>
  <si>
    <t>0.35KM from Sewri Railway Station</t>
  </si>
  <si>
    <t>30.50 M Wide Zakeria Bunder Road</t>
  </si>
  <si>
    <t>9.00 M Wide Sewri Cemetry Road</t>
  </si>
  <si>
    <t>Other Plot</t>
  </si>
  <si>
    <t>12.20 M Wide Sitaram Palturam Marai Marg</t>
  </si>
  <si>
    <t>Sitaram Palturam Marai Marg</t>
  </si>
  <si>
    <t>Zakeria Bunder Road</t>
  </si>
  <si>
    <t>Internal Road</t>
  </si>
  <si>
    <t>Open Plot</t>
  </si>
  <si>
    <t>P-9723/2021/(214)/F/South/PARELSEWERI/CC/1/New</t>
  </si>
  <si>
    <t>This C.C. is issued up to plinth as per IOD plans dated 08.05.2023</t>
  </si>
  <si>
    <t xml:space="preserve">1B + G + 1st to 5th Floor
</t>
  </si>
  <si>
    <t>As per RERA - 31/12/2028</t>
  </si>
  <si>
    <r>
      <t xml:space="preserve">Proposed Amenities :                                                                                                                                                                                                                         </t>
    </r>
    <r>
      <rPr>
        <b/>
        <sz val="12"/>
        <rFont val="Times New Roman"/>
        <family val="1"/>
      </rPr>
      <t xml:space="preserve">                                               </t>
    </r>
  </si>
  <si>
    <t>Ground Floor For Commercial, Entrance Lobby &amp; Tower Parking</t>
  </si>
  <si>
    <t>Shop</t>
  </si>
  <si>
    <t>Basement Floor UG Tank &amp; Pump Room</t>
  </si>
  <si>
    <t>RERA Carpet area</t>
  </si>
  <si>
    <t>1st Floor For Commercial</t>
  </si>
  <si>
    <t>2BHK</t>
  </si>
  <si>
    <t>3BHK</t>
  </si>
  <si>
    <t>1BHK</t>
  </si>
  <si>
    <t>Deck Area</t>
  </si>
  <si>
    <t>We considered Gross carpet area = Net carpet + Deck Area.</t>
  </si>
  <si>
    <t>P-9723/2021/(214)/F/South/PAREL-SEWERI-CFO/2/Amend-2</t>
  </si>
  <si>
    <t>1B + G + 1st to 21st Floor</t>
  </si>
  <si>
    <t>1B + G + 1st to 21st Floor (Height  = 69.80 mtrs)</t>
  </si>
  <si>
    <t>Shop Duplex with 1st Floor</t>
  </si>
  <si>
    <t>Shop Duplex with Ground  Floor</t>
  </si>
  <si>
    <t>Sale / MCGM</t>
  </si>
  <si>
    <t>Sale</t>
  </si>
  <si>
    <t xml:space="preserve"> MCGM</t>
  </si>
  <si>
    <t>2nd &amp; 3rd Floor For Parking</t>
  </si>
  <si>
    <t>4th Floor For Parking</t>
  </si>
  <si>
    <t>5th Floor For Residential, Fitness Center, Society Office, Swimming Pool &amp; R.G</t>
  </si>
  <si>
    <t>Fitness Center, Society Office, Swimming Pool &amp; R.G</t>
  </si>
  <si>
    <t>-</t>
  </si>
  <si>
    <t xml:space="preserve">We have given Valuation for Sale Unit only.
</t>
  </si>
  <si>
    <t>Sale Flat</t>
  </si>
  <si>
    <t xml:space="preserve">Sale </t>
  </si>
  <si>
    <t>MCGM</t>
  </si>
  <si>
    <t>Vitrified tiles flooring, Granite Kitchen Platform, Branded Lift, Decorative Entrance, Garden Area, Kids' Play Areas, Swimming Pool etc.</t>
  </si>
  <si>
    <t>Approved Plans, CC &amp; CC Revalidation Letter</t>
  </si>
  <si>
    <t>P-9723/2021/(214)/F/South/PAREL-SEWERI/337/1/New</t>
  </si>
  <si>
    <t>Azad Nagar</t>
  </si>
  <si>
    <t>Parel - Sewri Divison</t>
  </si>
  <si>
    <t>Flats - 4, Sale Shops -7, MCGM Shop - 1</t>
  </si>
  <si>
    <t>Pooja Kawale</t>
  </si>
  <si>
    <t>Karan Misal</t>
  </si>
  <si>
    <t xml:space="preserve">Please check for Airport NOC. (This Remark is remove on \03/10/2025 as per dicussion between sachin sir &amp; Smith sir
</t>
  </si>
  <si>
    <t>Construction work is in process at the time of Visit.</t>
  </si>
  <si>
    <t>Slow Speed remark is removed on 03/10/2025 (because work is stopped due to CC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</si>
</sst>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91">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0" fontId="0" fillId="0" borderId="25" xfId="0" applyBorder="1"/>
    <xf numFmtId="0" fontId="0" fillId="0" borderId="8" xfId="0" applyBorder="1"/>
    <xf numFmtId="0" fontId="0" fillId="0" borderId="1" xfId="0" applyBorder="1" applyAlignment="1">
      <alignment vertical="top" wrapText="1"/>
    </xf>
    <xf numFmtId="1" fontId="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2" fillId="0" borderId="1" xfId="1" applyFont="1" applyBorder="1"/>
    <xf numFmtId="0" fontId="7"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5" fillId="2" borderId="0" xfId="1" applyFont="1" applyFill="1"/>
    <xf numFmtId="14" fontId="12"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5" xfId="0" applyBorder="1" applyAlignment="1">
      <alignment vertical="top"/>
    </xf>
    <xf numFmtId="0" fontId="0" fillId="0" borderId="36" xfId="0" applyBorder="1" applyAlignment="1">
      <alignment vertical="top" wrapText="1"/>
    </xf>
    <xf numFmtId="0" fontId="0" fillId="0" borderId="37"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6"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0" fillId="0" borderId="9" xfId="0" applyBorder="1" applyAlignment="1">
      <alignment vertical="top" wrapText="1"/>
    </xf>
    <xf numFmtId="9" fontId="13" fillId="0" borderId="16" xfId="8" applyFont="1" applyFill="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1" fontId="7" fillId="0" borderId="1" xfId="1" applyNumberFormat="1" applyFont="1" applyBorder="1" applyAlignment="1">
      <alignment horizontal="center"/>
    </xf>
    <xf numFmtId="0" fontId="15" fillId="0" borderId="0" xfId="0" applyFont="1" applyAlignment="1">
      <alignment horizontal="center" vertical="center"/>
    </xf>
    <xf numFmtId="1" fontId="7" fillId="0" borderId="1" xfId="1" applyNumberFormat="1" applyFont="1" applyBorder="1" applyAlignment="1">
      <alignment horizontal="center" vertical="center"/>
    </xf>
    <xf numFmtId="2" fontId="7" fillId="0" borderId="0" xfId="1" applyNumberFormat="1" applyFont="1" applyAlignment="1">
      <alignment horizontal="center" vertical="center"/>
    </xf>
    <xf numFmtId="0" fontId="7" fillId="0" borderId="0" xfId="1" applyFont="1" applyAlignment="1">
      <alignment horizontal="center" vertical="center"/>
    </xf>
    <xf numFmtId="0" fontId="10" fillId="0" borderId="0" xfId="1" applyFont="1" applyAlignment="1">
      <alignment horizontal="center" vertical="center"/>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0" fontId="7" fillId="0" borderId="0" xfId="1" applyFont="1" applyAlignment="1">
      <alignment horizontal="center" vertical="center"/>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6" fillId="0" borderId="1" xfId="0" applyNumberFormat="1"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0" fillId="0" borderId="16" xfId="1" applyFont="1" applyBorder="1" applyAlignment="1" applyProtection="1">
      <alignment horizontal="center" vertical="top"/>
      <protection locked="0"/>
    </xf>
    <xf numFmtId="167" fontId="7" fillId="0" borderId="1" xfId="9" applyNumberFormat="1" applyFont="1" applyFill="1" applyBorder="1" applyAlignment="1" applyProtection="1">
      <alignment horizontal="left" vertical="top"/>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0" fontId="10" fillId="0" borderId="33" xfId="0" applyFont="1" applyBorder="1" applyAlignment="1" applyProtection="1">
      <alignment horizontal="center" vertical="center"/>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1" fontId="10" fillId="0" borderId="33" xfId="0" applyNumberFormat="1" applyFont="1" applyBorder="1" applyAlignment="1" applyProtection="1">
      <alignment horizontal="center" vertical="top" wrapText="1"/>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25" xfId="1" applyFont="1" applyBorder="1" applyAlignment="1" applyProtection="1">
      <alignment horizontal="left" vertical="top" wrapText="1"/>
      <protection locked="0"/>
    </xf>
    <xf numFmtId="0" fontId="15" fillId="0" borderId="26"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7" xfId="1" applyFont="1" applyBorder="1" applyAlignment="1" applyProtection="1">
      <alignment horizontal="center" vertical="top" wrapText="1"/>
      <protection locked="0"/>
    </xf>
    <xf numFmtId="0" fontId="6" fillId="0" borderId="24" xfId="1" applyFont="1" applyBorder="1" applyAlignment="1" applyProtection="1">
      <alignment horizontal="center" vertical="top" wrapText="1"/>
      <protection locked="0"/>
    </xf>
    <xf numFmtId="0" fontId="6" fillId="0" borderId="18" xfId="1" applyFont="1" applyBorder="1" applyAlignment="1" applyProtection="1">
      <alignment horizontal="center" vertical="top" wrapText="1"/>
      <protection locked="0"/>
    </xf>
    <xf numFmtId="0" fontId="6" fillId="0" borderId="19" xfId="1" applyFont="1" applyBorder="1" applyAlignment="1" applyProtection="1">
      <alignment horizontal="center" vertical="top" wrapText="1"/>
      <protection locked="0"/>
    </xf>
    <xf numFmtId="0" fontId="6" fillId="0" borderId="2" xfId="1" applyFont="1" applyBorder="1" applyAlignment="1" applyProtection="1">
      <alignment horizontal="center" vertical="top" wrapText="1"/>
      <protection locked="0"/>
    </xf>
    <xf numFmtId="0" fontId="6" fillId="0" borderId="20" xfId="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25" xfId="1" applyFont="1" applyBorder="1" applyAlignment="1" applyProtection="1">
      <alignment horizontal="left" vertical="top" wrapText="1"/>
      <protection locked="0"/>
    </xf>
    <xf numFmtId="0" fontId="6" fillId="0" borderId="26"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2" fillId="0" borderId="8" xfId="1" applyFont="1" applyBorder="1" applyAlignment="1" applyProtection="1">
      <alignment horizontal="center" vertical="center" wrapText="1"/>
      <protection locked="0"/>
    </xf>
    <xf numFmtId="0" fontId="12" fillId="0" borderId="21" xfId="1" applyFont="1" applyBorder="1" applyAlignment="1" applyProtection="1">
      <alignment horizontal="center" vertical="center" wrapText="1"/>
      <protection locked="0"/>
    </xf>
    <xf numFmtId="0" fontId="12" fillId="0" borderId="9" xfId="1" applyFont="1" applyBorder="1" applyAlignment="1" applyProtection="1">
      <alignment horizontal="center" vertical="center" wrapText="1"/>
      <protection locked="0"/>
    </xf>
    <xf numFmtId="0" fontId="12" fillId="0" borderId="8" xfId="1" applyFont="1" applyBorder="1" applyAlignment="1" applyProtection="1">
      <alignment horizontal="center" vertical="center"/>
      <protection locked="0"/>
    </xf>
    <xf numFmtId="0" fontId="12" fillId="0" borderId="21" xfId="1" applyFont="1" applyBorder="1" applyAlignment="1" applyProtection="1">
      <alignment horizontal="center" vertical="center"/>
      <protection locked="0"/>
    </xf>
    <xf numFmtId="0" fontId="12" fillId="0" borderId="9" xfId="1" applyFont="1" applyBorder="1" applyAlignment="1" applyProtection="1">
      <alignment horizontal="center" vertical="center"/>
      <protection locked="0"/>
    </xf>
    <xf numFmtId="0" fontId="13" fillId="0" borderId="22"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center" vertical="center"/>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6" fillId="0" borderId="1" xfId="1" applyFont="1" applyBorder="1" applyAlignment="1" applyProtection="1">
      <alignmen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0"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8" fillId="0" borderId="1" xfId="0" applyNumberFormat="1" applyFont="1" applyBorder="1" applyAlignment="1" applyProtection="1">
      <alignment horizontal="left" vertical="top"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6" fillId="0" borderId="3" xfId="0" applyNumberFormat="1" applyFont="1" applyBorder="1" applyAlignment="1" applyProtection="1">
      <alignment horizontal="center" vertical="center" wrapText="1"/>
      <protection locked="0"/>
    </xf>
    <xf numFmtId="1" fontId="6" fillId="0" borderId="16" xfId="0" applyNumberFormat="1" applyFont="1" applyBorder="1" applyAlignment="1" applyProtection="1">
      <alignment horizontal="center" vertical="center" wrapText="1"/>
      <protection locked="0"/>
    </xf>
    <xf numFmtId="0" fontId="7" fillId="0" borderId="25"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5"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0" fontId="10" fillId="0" borderId="16" xfId="1" applyFont="1" applyBorder="1" applyAlignment="1" applyProtection="1">
      <alignment horizontal="left" vertical="top"/>
      <protection locked="0"/>
    </xf>
    <xf numFmtId="9" fontId="12" fillId="0" borderId="17" xfId="8" applyFont="1" applyFill="1" applyBorder="1" applyAlignment="1" applyProtection="1">
      <alignment horizontal="center" vertical="center" wrapText="1"/>
      <protection locked="0"/>
    </xf>
    <xf numFmtId="9" fontId="12" fillId="0" borderId="18"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6"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12" fillId="0" borderId="29" xfId="8" applyFont="1" applyFill="1" applyBorder="1" applyAlignment="1" applyProtection="1">
      <alignment horizontal="center" vertical="center" wrapText="1"/>
      <protection locked="0"/>
    </xf>
    <xf numFmtId="9" fontId="12" fillId="0" borderId="27"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xf numFmtId="0" fontId="17" fillId="0" borderId="25" xfId="0" applyFont="1" applyBorder="1" applyAlignment="1">
      <alignment vertical="center"/>
    </xf>
    <xf numFmtId="0" fontId="17" fillId="0" borderId="0" xfId="0" applyFont="1" applyAlignment="1">
      <alignment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8</xdr:col>
      <xdr:colOff>381000</xdr:colOff>
      <xdr:row>15</xdr:row>
      <xdr:rowOff>419100</xdr:rowOff>
    </xdr:from>
    <xdr:to>
      <xdr:col>15</xdr:col>
      <xdr:colOff>46912</xdr:colOff>
      <xdr:row>19</xdr:row>
      <xdr:rowOff>47539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696075" y="3800475"/>
          <a:ext cx="5704762" cy="685714"/>
        </a:xfrm>
        <a:prstGeom prst="rect">
          <a:avLst/>
        </a:prstGeom>
      </xdr:spPr>
    </xdr:pic>
    <xdr:clientData/>
  </xdr:twoCellAnchor>
  <xdr:twoCellAnchor editAs="oneCell">
    <xdr:from>
      <xdr:col>8</xdr:col>
      <xdr:colOff>1074420</xdr:colOff>
      <xdr:row>45</xdr:row>
      <xdr:rowOff>80010</xdr:rowOff>
    </xdr:from>
    <xdr:to>
      <xdr:col>14</xdr:col>
      <xdr:colOff>607100</xdr:colOff>
      <xdr:row>70</xdr:row>
      <xdr:rowOff>311370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559040" y="10039350"/>
          <a:ext cx="4920020" cy="5366494"/>
        </a:xfrm>
        <a:prstGeom prst="rect">
          <a:avLst/>
        </a:prstGeom>
      </xdr:spPr>
    </xdr:pic>
    <xdr:clientData/>
  </xdr:twoCellAnchor>
  <xdr:twoCellAnchor editAs="oneCell">
    <xdr:from>
      <xdr:col>10</xdr:col>
      <xdr:colOff>708660</xdr:colOff>
      <xdr:row>70</xdr:row>
      <xdr:rowOff>34290</xdr:rowOff>
    </xdr:from>
    <xdr:to>
      <xdr:col>18</xdr:col>
      <xdr:colOff>20274</xdr:colOff>
      <xdr:row>132</xdr:row>
      <xdr:rowOff>112247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947785" y="15245715"/>
          <a:ext cx="5426664" cy="5948158"/>
        </a:xfrm>
        <a:prstGeom prst="rect">
          <a:avLst/>
        </a:prstGeom>
      </xdr:spPr>
    </xdr:pic>
    <xdr:clientData/>
  </xdr:twoCellAnchor>
  <xdr:twoCellAnchor>
    <xdr:from>
      <xdr:col>0</xdr:col>
      <xdr:colOff>674205</xdr:colOff>
      <xdr:row>240</xdr:row>
      <xdr:rowOff>93179</xdr:rowOff>
    </xdr:from>
    <xdr:to>
      <xdr:col>6</xdr:col>
      <xdr:colOff>634036</xdr:colOff>
      <xdr:row>279</xdr:row>
      <xdr:rowOff>141220</xdr:rowOff>
    </xdr:to>
    <xdr:grpSp>
      <xdr:nvGrpSpPr>
        <xdr:cNvPr id="14" name="Group 13">
          <a:extLst>
            <a:ext uri="{FF2B5EF4-FFF2-40B4-BE49-F238E27FC236}">
              <a16:creationId xmlns:a16="http://schemas.microsoft.com/office/drawing/2014/main" id="{00000000-0008-0000-0000-00000E000000}"/>
            </a:ext>
          </a:extLst>
        </xdr:cNvPr>
        <xdr:cNvGrpSpPr/>
      </xdr:nvGrpSpPr>
      <xdr:grpSpPr>
        <a:xfrm rot="16200000">
          <a:off x="-846275" y="46800259"/>
          <a:ext cx="7849016" cy="4808056"/>
          <a:chOff x="-2743200" y="2528888"/>
          <a:chExt cx="12344400" cy="4017056"/>
        </a:xfrm>
      </xdr:grpSpPr>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4"/>
          <a:srcRect b="1693"/>
          <a:stretch/>
        </xdr:blipFill>
        <xdr:spPr>
          <a:xfrm>
            <a:off x="-2743200" y="2528888"/>
            <a:ext cx="12344400" cy="4017056"/>
          </a:xfrm>
          <a:prstGeom prst="rect">
            <a:avLst/>
          </a:prstGeom>
          <a:ln>
            <a:solidFill>
              <a:schemeClr val="tx1"/>
            </a:solidFill>
          </a:ln>
        </xdr:spPr>
      </xdr:pic>
      <xdr:cxnSp macro="">
        <xdr:nvCxnSpPr>
          <xdr:cNvPr id="16" name="Straight Connector 15">
            <a:extLst>
              <a:ext uri="{FF2B5EF4-FFF2-40B4-BE49-F238E27FC236}">
                <a16:creationId xmlns:a16="http://schemas.microsoft.com/office/drawing/2014/main" id="{00000000-0008-0000-0000-000010000000}"/>
              </a:ext>
            </a:extLst>
          </xdr:cNvPr>
          <xdr:cNvCxnSpPr/>
        </xdr:nvCxnSpPr>
        <xdr:spPr>
          <a:xfrm>
            <a:off x="-688521" y="3067957"/>
            <a:ext cx="6531428"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flipV="1">
            <a:off x="-688521" y="3067958"/>
            <a:ext cx="0" cy="373743"/>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000-000012000000}"/>
              </a:ext>
            </a:extLst>
          </xdr:cNvPr>
          <xdr:cNvCxnSpPr/>
        </xdr:nvCxnSpPr>
        <xdr:spPr>
          <a:xfrm flipH="1" flipV="1">
            <a:off x="-688521" y="3441701"/>
            <a:ext cx="4371975" cy="1714501"/>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000-000013000000}"/>
              </a:ext>
            </a:extLst>
          </xdr:cNvPr>
          <xdr:cNvCxnSpPr/>
        </xdr:nvCxnSpPr>
        <xdr:spPr>
          <a:xfrm flipH="1" flipV="1">
            <a:off x="3683456" y="5156203"/>
            <a:ext cx="1628319" cy="123822"/>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000-000014000000}"/>
              </a:ext>
            </a:extLst>
          </xdr:cNvPr>
          <xdr:cNvCxnSpPr/>
        </xdr:nvCxnSpPr>
        <xdr:spPr>
          <a:xfrm flipH="1">
            <a:off x="5572127" y="3607027"/>
            <a:ext cx="549275" cy="1424216"/>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000-000015000000}"/>
              </a:ext>
            </a:extLst>
          </xdr:cNvPr>
          <xdr:cNvCxnSpPr/>
        </xdr:nvCxnSpPr>
        <xdr:spPr>
          <a:xfrm flipH="1">
            <a:off x="5278893" y="5031243"/>
            <a:ext cx="326116" cy="2984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000-000016000000}"/>
              </a:ext>
            </a:extLst>
          </xdr:cNvPr>
          <xdr:cNvCxnSpPr/>
        </xdr:nvCxnSpPr>
        <xdr:spPr>
          <a:xfrm>
            <a:off x="5842907" y="3067957"/>
            <a:ext cx="275205" cy="53907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617220</xdr:colOff>
      <xdr:row>300</xdr:row>
      <xdr:rowOff>60960</xdr:rowOff>
    </xdr:from>
    <xdr:to>
      <xdr:col>7</xdr:col>
      <xdr:colOff>437030</xdr:colOff>
      <xdr:row>321</xdr:row>
      <xdr:rowOff>78441</xdr:rowOff>
    </xdr:to>
    <xdr:grpSp>
      <xdr:nvGrpSpPr>
        <xdr:cNvPr id="25" name="Group 24">
          <a:extLst>
            <a:ext uri="{FF2B5EF4-FFF2-40B4-BE49-F238E27FC236}">
              <a16:creationId xmlns:a16="http://schemas.microsoft.com/office/drawing/2014/main" id="{00000000-0008-0000-0000-000019000000}"/>
            </a:ext>
          </a:extLst>
        </xdr:cNvPr>
        <xdr:cNvGrpSpPr/>
      </xdr:nvGrpSpPr>
      <xdr:grpSpPr>
        <a:xfrm>
          <a:off x="617220" y="57249060"/>
          <a:ext cx="5401460" cy="4218006"/>
          <a:chOff x="0" y="4928577"/>
          <a:chExt cx="6506307" cy="4747846"/>
        </a:xfrm>
      </xdr:grpSpPr>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5"/>
          <a:srcRect l="10806" t="21154" r="39053" b="12260"/>
          <a:stretch/>
        </xdr:blipFill>
        <xdr:spPr>
          <a:xfrm>
            <a:off x="0" y="4928577"/>
            <a:ext cx="6506307" cy="4747846"/>
          </a:xfrm>
          <a:prstGeom prst="rect">
            <a:avLst/>
          </a:prstGeom>
          <a:ln>
            <a:solidFill>
              <a:schemeClr val="tx1"/>
            </a:solidFill>
          </a:ln>
        </xdr:spPr>
      </xdr:pic>
      <xdr:grpSp>
        <xdr:nvGrpSpPr>
          <xdr:cNvPr id="27" name="Group 26">
            <a:extLst>
              <a:ext uri="{FF2B5EF4-FFF2-40B4-BE49-F238E27FC236}">
                <a16:creationId xmlns:a16="http://schemas.microsoft.com/office/drawing/2014/main" id="{00000000-0008-0000-0000-00001B000000}"/>
              </a:ext>
            </a:extLst>
          </xdr:cNvPr>
          <xdr:cNvGrpSpPr/>
        </xdr:nvGrpSpPr>
        <xdr:grpSpPr>
          <a:xfrm>
            <a:off x="4121150" y="7302500"/>
            <a:ext cx="679450" cy="1479550"/>
            <a:chOff x="4121150" y="7302500"/>
            <a:chExt cx="679450" cy="1479550"/>
          </a:xfrm>
        </xdr:grpSpPr>
        <xdr:cxnSp macro="">
          <xdr:nvCxnSpPr>
            <xdr:cNvPr id="29" name="Straight Connector 28">
              <a:extLst>
                <a:ext uri="{FF2B5EF4-FFF2-40B4-BE49-F238E27FC236}">
                  <a16:creationId xmlns:a16="http://schemas.microsoft.com/office/drawing/2014/main" id="{00000000-0008-0000-0000-00001D000000}"/>
                </a:ext>
              </a:extLst>
            </xdr:cNvPr>
            <xdr:cNvCxnSpPr/>
          </xdr:nvCxnSpPr>
          <xdr:spPr>
            <a:xfrm>
              <a:off x="4292599" y="7302500"/>
              <a:ext cx="508001" cy="22225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a:extLst>
                <a:ext uri="{FF2B5EF4-FFF2-40B4-BE49-F238E27FC236}">
                  <a16:creationId xmlns:a16="http://schemas.microsoft.com/office/drawing/2014/main" id="{00000000-0008-0000-0000-00001E000000}"/>
                </a:ext>
              </a:extLst>
            </xdr:cNvPr>
            <xdr:cNvCxnSpPr/>
          </xdr:nvCxnSpPr>
          <xdr:spPr>
            <a:xfrm flipH="1">
              <a:off x="4121150" y="7302500"/>
              <a:ext cx="171449" cy="147955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00000000-0008-0000-0000-00001F000000}"/>
                </a:ext>
              </a:extLst>
            </xdr:cNvPr>
            <xdr:cNvCxnSpPr/>
          </xdr:nvCxnSpPr>
          <xdr:spPr>
            <a:xfrm flipH="1">
              <a:off x="4121150" y="7524750"/>
              <a:ext cx="679450" cy="125730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8" name="TextBox 60">
            <a:extLst>
              <a:ext uri="{FF2B5EF4-FFF2-40B4-BE49-F238E27FC236}">
                <a16:creationId xmlns:a16="http://schemas.microsoft.com/office/drawing/2014/main" id="{00000000-0008-0000-0000-00001C000000}"/>
              </a:ext>
            </a:extLst>
          </xdr:cNvPr>
          <xdr:cNvSpPr txBox="1"/>
        </xdr:nvSpPr>
        <xdr:spPr>
          <a:xfrm rot="597787">
            <a:off x="3523336" y="7025748"/>
            <a:ext cx="1851689" cy="4485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Aqua Bay</a:t>
            </a:r>
            <a:endParaRPr lang="en-IN" b="1">
              <a:solidFill>
                <a:srgbClr val="FFFF00"/>
              </a:solidFill>
            </a:endParaRPr>
          </a:p>
        </xdr:txBody>
      </xdr:sp>
    </xdr:grpSp>
    <xdr:clientData/>
  </xdr:twoCellAnchor>
  <xdr:twoCellAnchor editAs="oneCell">
    <xdr:from>
      <xdr:col>1</xdr:col>
      <xdr:colOff>190501</xdr:colOff>
      <xdr:row>282</xdr:row>
      <xdr:rowOff>68182</xdr:rowOff>
    </xdr:from>
    <xdr:to>
      <xdr:col>6</xdr:col>
      <xdr:colOff>373380</xdr:colOff>
      <xdr:row>299</xdr:row>
      <xdr:rowOff>100083</xdr:rowOff>
    </xdr:to>
    <xdr:pic>
      <xdr:nvPicPr>
        <xdr:cNvPr id="5" name="Picture 4">
          <a:extLst>
            <a:ext uri="{FF2B5EF4-FFF2-40B4-BE49-F238E27FC236}">
              <a16:creationId xmlns:a16="http://schemas.microsoft.com/office/drawing/2014/main" id="{E164957F-231A-3A67-8977-4A7EF36B2250}"/>
            </a:ext>
          </a:extLst>
        </xdr:cNvPr>
        <xdr:cNvPicPr>
          <a:picLocks noChangeAspect="1"/>
        </xdr:cNvPicPr>
      </xdr:nvPicPr>
      <xdr:blipFill>
        <a:blip xmlns:r="http://schemas.openxmlformats.org/officeDocument/2006/relationships" r:embed="rId6"/>
        <a:stretch>
          <a:fillRect/>
        </a:stretch>
      </xdr:blipFill>
      <xdr:spPr>
        <a:xfrm>
          <a:off x="975361" y="53560582"/>
          <a:ext cx="4373879" cy="3399939"/>
        </a:xfrm>
        <a:prstGeom prst="rect">
          <a:avLst/>
        </a:prstGeom>
        <a:ln>
          <a:solidFill>
            <a:sysClr val="windowText" lastClr="000000"/>
          </a:solidFill>
        </a:ln>
      </xdr:spPr>
    </xdr:pic>
    <xdr:clientData/>
  </xdr:twoCellAnchor>
  <xdr:twoCellAnchor editAs="oneCell">
    <xdr:from>
      <xdr:col>12</xdr:col>
      <xdr:colOff>252133</xdr:colOff>
      <xdr:row>53</xdr:row>
      <xdr:rowOff>102584</xdr:rowOff>
    </xdr:from>
    <xdr:to>
      <xdr:col>19</xdr:col>
      <xdr:colOff>464960</xdr:colOff>
      <xdr:row>69</xdr:row>
      <xdr:rowOff>178482</xdr:rowOff>
    </xdr:to>
    <xdr:pic>
      <xdr:nvPicPr>
        <xdr:cNvPr id="6" name="Picture 5">
          <a:extLst>
            <a:ext uri="{FF2B5EF4-FFF2-40B4-BE49-F238E27FC236}">
              <a16:creationId xmlns:a16="http://schemas.microsoft.com/office/drawing/2014/main" id="{7A1F4162-EE6C-15A8-46FC-46FA112E7BDB}"/>
            </a:ext>
          </a:extLst>
        </xdr:cNvPr>
        <xdr:cNvPicPr>
          <a:picLocks noChangeAspect="1"/>
        </xdr:cNvPicPr>
      </xdr:nvPicPr>
      <xdr:blipFill>
        <a:blip xmlns:r="http://schemas.openxmlformats.org/officeDocument/2006/relationships" r:embed="rId7"/>
        <a:stretch>
          <a:fillRect/>
        </a:stretch>
      </xdr:blipFill>
      <xdr:spPr>
        <a:xfrm>
          <a:off x="10158133" y="12720408"/>
          <a:ext cx="5378739" cy="2552398"/>
        </a:xfrm>
        <a:prstGeom prst="rect">
          <a:avLst/>
        </a:prstGeom>
      </xdr:spPr>
    </xdr:pic>
    <xdr:clientData/>
  </xdr:twoCellAnchor>
  <xdr:twoCellAnchor editAs="oneCell">
    <xdr:from>
      <xdr:col>8</xdr:col>
      <xdr:colOff>1016372</xdr:colOff>
      <xdr:row>153</xdr:row>
      <xdr:rowOff>105894</xdr:rowOff>
    </xdr:from>
    <xdr:to>
      <xdr:col>22</xdr:col>
      <xdr:colOff>136398</xdr:colOff>
      <xdr:row>161</xdr:row>
      <xdr:rowOff>244529</xdr:rowOff>
    </xdr:to>
    <xdr:pic>
      <xdr:nvPicPr>
        <xdr:cNvPr id="8" name="Picture 7"/>
        <xdr:cNvPicPr>
          <a:picLocks noChangeAspect="1"/>
        </xdr:cNvPicPr>
      </xdr:nvPicPr>
      <xdr:blipFill>
        <a:blip xmlns:r="http://schemas.openxmlformats.org/officeDocument/2006/relationships" r:embed="rId8"/>
        <a:stretch>
          <a:fillRect/>
        </a:stretch>
      </xdr:blipFill>
      <xdr:spPr>
        <a:xfrm>
          <a:off x="7325284" y="27773218"/>
          <a:ext cx="9810438" cy="1752282"/>
        </a:xfrm>
        <a:prstGeom prst="rect">
          <a:avLst/>
        </a:prstGeom>
      </xdr:spPr>
    </xdr:pic>
    <xdr:clientData/>
  </xdr:twoCellAnchor>
  <xdr:twoCellAnchor editAs="oneCell">
    <xdr:from>
      <xdr:col>14</xdr:col>
      <xdr:colOff>539563</xdr:colOff>
      <xdr:row>164</xdr:row>
      <xdr:rowOff>16809</xdr:rowOff>
    </xdr:from>
    <xdr:to>
      <xdr:col>24</xdr:col>
      <xdr:colOff>539376</xdr:colOff>
      <xdr:row>185</xdr:row>
      <xdr:rowOff>37522</xdr:rowOff>
    </xdr:to>
    <xdr:pic>
      <xdr:nvPicPr>
        <xdr:cNvPr id="9" name="Picture 8"/>
        <xdr:cNvPicPr>
          <a:picLocks noChangeAspect="1"/>
        </xdr:cNvPicPr>
      </xdr:nvPicPr>
      <xdr:blipFill>
        <a:blip xmlns:r="http://schemas.openxmlformats.org/officeDocument/2006/relationships" r:embed="rId9"/>
        <a:stretch>
          <a:fillRect/>
        </a:stretch>
      </xdr:blipFill>
      <xdr:spPr>
        <a:xfrm>
          <a:off x="12083863" y="30144384"/>
          <a:ext cx="6686363" cy="3859288"/>
        </a:xfrm>
        <a:prstGeom prst="rect">
          <a:avLst/>
        </a:prstGeom>
      </xdr:spPr>
    </xdr:pic>
    <xdr:clientData/>
  </xdr:twoCellAnchor>
  <xdr:twoCellAnchor editAs="oneCell">
    <xdr:from>
      <xdr:col>13</xdr:col>
      <xdr:colOff>569258</xdr:colOff>
      <xdr:row>166</xdr:row>
      <xdr:rowOff>45944</xdr:rowOff>
    </xdr:from>
    <xdr:to>
      <xdr:col>22</xdr:col>
      <xdr:colOff>44509</xdr:colOff>
      <xdr:row>185</xdr:row>
      <xdr:rowOff>192125</xdr:rowOff>
    </xdr:to>
    <xdr:pic>
      <xdr:nvPicPr>
        <xdr:cNvPr id="10" name="Picture 9"/>
        <xdr:cNvPicPr>
          <a:picLocks noChangeAspect="1"/>
        </xdr:cNvPicPr>
      </xdr:nvPicPr>
      <xdr:blipFill>
        <a:blip xmlns:r="http://schemas.openxmlformats.org/officeDocument/2006/relationships" r:embed="rId10"/>
        <a:stretch>
          <a:fillRect/>
        </a:stretch>
      </xdr:blipFill>
      <xdr:spPr>
        <a:xfrm>
          <a:off x="11275358" y="30573569"/>
          <a:ext cx="5780801" cy="3584706"/>
        </a:xfrm>
        <a:prstGeom prst="rect">
          <a:avLst/>
        </a:prstGeom>
      </xdr:spPr>
    </xdr:pic>
    <xdr:clientData/>
  </xdr:twoCellAnchor>
  <xdr:twoCellAnchor>
    <xdr:from>
      <xdr:col>0</xdr:col>
      <xdr:colOff>101600</xdr:colOff>
      <xdr:row>198</xdr:row>
      <xdr:rowOff>69850</xdr:rowOff>
    </xdr:from>
    <xdr:to>
      <xdr:col>7</xdr:col>
      <xdr:colOff>661998</xdr:colOff>
      <xdr:row>238</xdr:row>
      <xdr:rowOff>99318</xdr:rowOff>
    </xdr:to>
    <xdr:grpSp>
      <xdr:nvGrpSpPr>
        <xdr:cNvPr id="7" name="Group 6"/>
        <xdr:cNvGrpSpPr/>
      </xdr:nvGrpSpPr>
      <xdr:grpSpPr>
        <a:xfrm>
          <a:off x="101600" y="36864925"/>
          <a:ext cx="6142048" cy="8020943"/>
          <a:chOff x="101600" y="36664900"/>
          <a:chExt cx="6415098" cy="7897118"/>
        </a:xfrm>
      </xdr:grpSpPr>
      <xdr:pic>
        <xdr:nvPicPr>
          <xdr:cNvPr id="37" name="Picture 3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499991" y="42402018"/>
            <a:ext cx="1618313" cy="2160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01601" y="36664900"/>
            <a:ext cx="2049863" cy="2736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466835" y="36664900"/>
            <a:ext cx="2049863" cy="2736000"/>
          </a:xfrm>
          <a:prstGeom prst="rect">
            <a:avLst/>
          </a:prstGeom>
          <a:ln>
            <a:solidFill>
              <a:schemeClr val="tx1"/>
            </a:solidFill>
          </a:ln>
        </xdr:spPr>
      </xdr:pic>
      <xdr:pic>
        <xdr:nvPicPr>
          <xdr:cNvPr id="40" name="Picture 3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284218" y="36664900"/>
            <a:ext cx="2049863" cy="2736000"/>
          </a:xfrm>
          <a:prstGeom prst="rect">
            <a:avLst/>
          </a:prstGeom>
          <a:ln>
            <a:solidFill>
              <a:schemeClr val="tx1"/>
            </a:solidFill>
          </a:ln>
        </xdr:spPr>
      </xdr:pic>
      <xdr:pic>
        <xdr:nvPicPr>
          <xdr:cNvPr id="41" name="Picture 4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101600" y="39533459"/>
            <a:ext cx="2049863" cy="2736000"/>
          </a:xfrm>
          <a:prstGeom prst="rect">
            <a:avLst/>
          </a:prstGeom>
          <a:ln>
            <a:solidFill>
              <a:schemeClr val="tx1"/>
            </a:solidFill>
          </a:ln>
        </xdr:spPr>
      </xdr:pic>
      <xdr:pic>
        <xdr:nvPicPr>
          <xdr:cNvPr id="42" name="Picture 4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284217" y="39533459"/>
            <a:ext cx="2049863" cy="2736000"/>
          </a:xfrm>
          <a:prstGeom prst="rect">
            <a:avLst/>
          </a:prstGeom>
          <a:ln>
            <a:solidFill>
              <a:schemeClr val="tx1"/>
            </a:solidFill>
          </a:ln>
        </xdr:spPr>
      </xdr:pic>
      <xdr:pic>
        <xdr:nvPicPr>
          <xdr:cNvPr id="43" name="Picture 4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466835" y="39533459"/>
            <a:ext cx="2049863"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YT42f5qwpAsMSMjw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82"/>
  <sheetViews>
    <sheetView tabSelected="1" view="pageBreakPreview" topLeftCell="A170" zoomScaleNormal="100" zoomScaleSheetLayoutView="100" zoomScalePageLayoutView="85" workbookViewId="0">
      <selection activeCell="J177" sqref="J177"/>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1.285156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245" t="s">
        <v>374</v>
      </c>
      <c r="B1" s="245"/>
      <c r="C1" s="245"/>
      <c r="D1" s="245"/>
      <c r="E1" s="245"/>
      <c r="F1" s="245"/>
      <c r="G1" s="245"/>
      <c r="H1" s="245"/>
    </row>
    <row r="2" spans="1:26" ht="16.5" customHeight="1" x14ac:dyDescent="0.25">
      <c r="A2" s="246" t="s">
        <v>0</v>
      </c>
      <c r="B2" s="246"/>
      <c r="C2" s="246"/>
      <c r="D2" s="246"/>
      <c r="E2" s="246"/>
      <c r="F2" s="246"/>
      <c r="G2" s="246"/>
      <c r="H2" s="246"/>
    </row>
    <row r="3" spans="1:26" x14ac:dyDescent="0.25">
      <c r="A3" s="178" t="s">
        <v>1</v>
      </c>
      <c r="B3" s="178"/>
      <c r="C3" s="178"/>
      <c r="D3" s="178"/>
      <c r="E3" s="178" t="str">
        <f ca="1">TEXT(TODAY(),"DD/MM/YYYY")</f>
        <v>03/10/2025</v>
      </c>
      <c r="F3" s="178"/>
      <c r="G3" s="178"/>
      <c r="H3" s="178"/>
      <c r="K3" s="55" t="s">
        <v>232</v>
      </c>
      <c r="L3" s="54" t="s">
        <v>230</v>
      </c>
      <c r="M3" s="54" t="s">
        <v>235</v>
      </c>
      <c r="N3" s="54" t="s">
        <v>233</v>
      </c>
      <c r="O3" s="54" t="s">
        <v>351</v>
      </c>
      <c r="P3" s="54" t="s">
        <v>236</v>
      </c>
    </row>
    <row r="4" spans="1:26" ht="15" customHeight="1" x14ac:dyDescent="0.25">
      <c r="A4" s="178" t="s">
        <v>229</v>
      </c>
      <c r="B4" s="178"/>
      <c r="C4" s="178"/>
      <c r="D4" s="178"/>
      <c r="E4" s="178" t="s">
        <v>230</v>
      </c>
      <c r="F4" s="178"/>
      <c r="G4" s="178"/>
      <c r="H4" s="178"/>
      <c r="K4" s="53" t="s">
        <v>231</v>
      </c>
      <c r="L4" s="54" t="s">
        <v>168</v>
      </c>
      <c r="M4" s="54" t="s">
        <v>240</v>
      </c>
      <c r="N4" s="54" t="s">
        <v>242</v>
      </c>
      <c r="O4" s="54" t="s">
        <v>337</v>
      </c>
      <c r="P4" s="54"/>
    </row>
    <row r="5" spans="1:26" ht="15" customHeight="1" x14ac:dyDescent="0.25">
      <c r="A5" s="178" t="s">
        <v>2</v>
      </c>
      <c r="B5" s="178"/>
      <c r="C5" s="178"/>
      <c r="D5" s="178"/>
      <c r="E5" s="178" t="s">
        <v>238</v>
      </c>
      <c r="F5" s="178"/>
      <c r="G5" s="178"/>
      <c r="H5" s="178"/>
      <c r="K5" s="53"/>
      <c r="L5" s="54" t="s">
        <v>237</v>
      </c>
      <c r="M5" s="54" t="s">
        <v>241</v>
      </c>
      <c r="N5" s="54" t="s">
        <v>243</v>
      </c>
      <c r="O5" s="54" t="s">
        <v>338</v>
      </c>
      <c r="P5" s="54"/>
    </row>
    <row r="6" spans="1:26" x14ac:dyDescent="0.25">
      <c r="A6" s="178" t="s">
        <v>3</v>
      </c>
      <c r="B6" s="178"/>
      <c r="C6" s="178"/>
      <c r="D6" s="178"/>
      <c r="E6" s="247">
        <v>45891</v>
      </c>
      <c r="F6" s="178"/>
      <c r="G6" s="178"/>
      <c r="H6" s="178"/>
      <c r="K6" s="53"/>
      <c r="L6" s="54" t="s">
        <v>238</v>
      </c>
      <c r="M6" s="54" t="s">
        <v>349</v>
      </c>
      <c r="N6" s="54"/>
      <c r="O6" s="54" t="s">
        <v>339</v>
      </c>
      <c r="P6" s="54"/>
    </row>
    <row r="7" spans="1:26" ht="16.5" customHeight="1" x14ac:dyDescent="0.25">
      <c r="A7" s="178" t="s">
        <v>4</v>
      </c>
      <c r="B7" s="178"/>
      <c r="C7" s="178"/>
      <c r="D7" s="178"/>
      <c r="E7" s="178" t="s">
        <v>378</v>
      </c>
      <c r="F7" s="178"/>
      <c r="G7" s="178"/>
      <c r="H7" s="178"/>
      <c r="K7" s="53"/>
      <c r="L7" s="54" t="s">
        <v>239</v>
      </c>
      <c r="M7" s="54"/>
      <c r="N7" s="54"/>
      <c r="O7" s="54" t="s">
        <v>339</v>
      </c>
      <c r="P7" s="54"/>
    </row>
    <row r="8" spans="1:26" ht="15" customHeight="1" x14ac:dyDescent="0.25">
      <c r="A8" s="178" t="s">
        <v>5</v>
      </c>
      <c r="B8" s="178"/>
      <c r="C8" s="178"/>
      <c r="D8" s="178"/>
      <c r="E8" s="178" t="str">
        <f>E7</f>
        <v>M/s. Chamunda Infrastructure Limited</v>
      </c>
      <c r="F8" s="178"/>
      <c r="G8" s="178"/>
      <c r="H8" s="178"/>
      <c r="K8" s="53"/>
      <c r="L8" s="54"/>
      <c r="M8" s="54"/>
      <c r="N8" s="54"/>
      <c r="O8" s="54" t="s">
        <v>340</v>
      </c>
      <c r="P8" s="54"/>
    </row>
    <row r="9" spans="1:26" x14ac:dyDescent="0.25">
      <c r="A9" s="178" t="s">
        <v>6</v>
      </c>
      <c r="B9" s="178"/>
      <c r="C9" s="178"/>
      <c r="D9" s="178"/>
      <c r="E9" s="145" t="s">
        <v>379</v>
      </c>
      <c r="F9" s="145"/>
      <c r="G9" s="145"/>
      <c r="H9" s="145"/>
      <c r="K9" s="53"/>
      <c r="L9" s="54"/>
      <c r="M9" s="54"/>
      <c r="N9" s="54"/>
      <c r="O9" s="54" t="s">
        <v>341</v>
      </c>
      <c r="P9" s="54"/>
    </row>
    <row r="10" spans="1:26" x14ac:dyDescent="0.25">
      <c r="A10" s="178" t="s">
        <v>165</v>
      </c>
      <c r="B10" s="178"/>
      <c r="C10" s="178"/>
      <c r="D10" s="178"/>
      <c r="E10" s="178" t="s">
        <v>380</v>
      </c>
      <c r="F10" s="178"/>
      <c r="G10" s="178"/>
      <c r="H10" s="178"/>
      <c r="K10" s="53"/>
      <c r="L10" s="54"/>
      <c r="M10" s="54"/>
      <c r="N10" s="54"/>
      <c r="O10" s="54" t="s">
        <v>342</v>
      </c>
      <c r="P10" s="54"/>
    </row>
    <row r="11" spans="1:26" x14ac:dyDescent="0.25">
      <c r="A11" s="178" t="s">
        <v>166</v>
      </c>
      <c r="B11" s="178"/>
      <c r="C11" s="178"/>
      <c r="D11" s="178"/>
      <c r="E11" s="178" t="s">
        <v>28</v>
      </c>
      <c r="F11" s="178"/>
      <c r="G11" s="178"/>
      <c r="H11" s="178"/>
      <c r="O11" s="54" t="s">
        <v>343</v>
      </c>
    </row>
    <row r="12" spans="1:26" x14ac:dyDescent="0.25">
      <c r="A12" s="178" t="s">
        <v>7</v>
      </c>
      <c r="B12" s="178"/>
      <c r="C12" s="178"/>
      <c r="D12" s="178"/>
      <c r="E12" s="178" t="s">
        <v>118</v>
      </c>
      <c r="F12" s="178"/>
      <c r="G12" s="178"/>
      <c r="H12" s="178"/>
    </row>
    <row r="13" spans="1:26" x14ac:dyDescent="0.25">
      <c r="A13" s="178" t="s">
        <v>169</v>
      </c>
      <c r="B13" s="178"/>
      <c r="C13" s="178"/>
      <c r="D13" s="178"/>
      <c r="E13" s="178" t="s">
        <v>28</v>
      </c>
      <c r="F13" s="178"/>
      <c r="G13" s="178"/>
      <c r="H13" s="178"/>
      <c r="S13" s="54" t="s">
        <v>177</v>
      </c>
      <c r="T13" s="54" t="s">
        <v>186</v>
      </c>
      <c r="U13" s="54" t="s">
        <v>170</v>
      </c>
      <c r="V13" s="54" t="s">
        <v>191</v>
      </c>
      <c r="W13" s="54" t="s">
        <v>209</v>
      </c>
      <c r="X13"/>
      <c r="Y13" t="s">
        <v>191</v>
      </c>
      <c r="Z13" t="e">
        <f ca="1">OFFSET($S$13,1,MATCH($G20,$S$13:$W$13,0)-1,15,1)</f>
        <v>#VALUE!</v>
      </c>
    </row>
    <row r="14" spans="1:26" x14ac:dyDescent="0.25">
      <c r="A14" s="166" t="s">
        <v>275</v>
      </c>
      <c r="B14" s="166"/>
      <c r="C14" s="166"/>
      <c r="D14" s="166"/>
      <c r="E14" s="168" t="s">
        <v>429</v>
      </c>
      <c r="F14" s="168"/>
      <c r="G14" s="168"/>
      <c r="H14" s="168"/>
      <c r="S14" s="54" t="s">
        <v>177</v>
      </c>
      <c r="T14" s="54" t="s">
        <v>184</v>
      </c>
      <c r="U14" s="54" t="s">
        <v>206</v>
      </c>
      <c r="V14" s="54" t="s">
        <v>192</v>
      </c>
      <c r="W14" s="54" t="s">
        <v>210</v>
      </c>
      <c r="X14"/>
      <c r="Y14"/>
      <c r="Z14"/>
    </row>
    <row r="15" spans="1:26" x14ac:dyDescent="0.25">
      <c r="A15" s="166" t="s">
        <v>8</v>
      </c>
      <c r="B15" s="166"/>
      <c r="C15" s="166"/>
      <c r="D15" s="166"/>
      <c r="E15" s="168" t="s">
        <v>381</v>
      </c>
      <c r="F15" s="178"/>
      <c r="G15" s="178"/>
      <c r="H15" s="178"/>
      <c r="I15" s="260" t="e">
        <f ca="1">OFFSET($D$5,1,MATCH($J13,$D$5:$H$5,0)-1,15,1)</f>
        <v>#N/A</v>
      </c>
      <c r="J15" s="261"/>
      <c r="K15" s="261"/>
      <c r="L15" s="261"/>
      <c r="M15" s="261"/>
      <c r="N15" s="261"/>
      <c r="O15" s="261"/>
      <c r="P15" s="261"/>
      <c r="S15" s="54" t="s">
        <v>178</v>
      </c>
      <c r="T15" s="54" t="s">
        <v>185</v>
      </c>
      <c r="U15" s="54" t="s">
        <v>207</v>
      </c>
      <c r="V15" s="54" t="s">
        <v>193</v>
      </c>
      <c r="W15" s="54" t="s">
        <v>223</v>
      </c>
      <c r="X15"/>
      <c r="Y15"/>
      <c r="Z15"/>
    </row>
    <row r="16" spans="1:26" ht="36" customHeight="1" x14ac:dyDescent="0.25">
      <c r="A16" s="176" t="s">
        <v>9</v>
      </c>
      <c r="B16" s="176"/>
      <c r="C16" s="176" t="str">
        <f>CONCATENATE((IF(OR(E9="",E9="NA"),"",E9)),", ",(IF(OR(A17="",A17="NA"),"",A17)),".",(IF(OR(C17="",C17="NA"),"",C17)),", near ",(IF(OR(C22="",C22="NA"),"",C22)),", ",(IF(OR(C19="",C19="NA"),"",C19)),", ",(IF(OR(C18="",C18="NA"),"",C18)),", ",(IF(OR(G19="",G19="NA"),"",G19)),", ",(IF(OR(C20="",C20="NA"),"",C20)),", ",(IF(OR(C21="",C21="NA"),"",C21)),", ",(IF(OR(G20="",G20="NA"),"",G20))," - ",(IF(OR(G21="",G21="NA"),"",G21)),".")</f>
        <v>Aqua Bay, C.S. No.214, near Navbharat Estates, Zakeria Bunder Road, Azad Nagar, Parel - Sewri Divison, Sewri West, Mumbai, Mumbai - 400015.</v>
      </c>
      <c r="D16" s="176"/>
      <c r="E16" s="176"/>
      <c r="F16" s="176"/>
      <c r="G16" s="176"/>
      <c r="H16" s="176"/>
      <c r="S16" s="54" t="s">
        <v>179</v>
      </c>
      <c r="T16" s="54" t="s">
        <v>187</v>
      </c>
      <c r="U16" s="54" t="s">
        <v>208</v>
      </c>
      <c r="V16" s="54" t="s">
        <v>194</v>
      </c>
      <c r="W16" s="54" t="s">
        <v>211</v>
      </c>
      <c r="X16"/>
      <c r="Y16"/>
      <c r="Z16"/>
    </row>
    <row r="17" spans="1:26" x14ac:dyDescent="0.25">
      <c r="A17" s="168" t="s">
        <v>382</v>
      </c>
      <c r="B17" s="168"/>
      <c r="C17" s="168">
        <v>214</v>
      </c>
      <c r="D17" s="168"/>
      <c r="E17" s="168"/>
      <c r="F17" s="168"/>
      <c r="G17" s="168"/>
      <c r="H17" s="168"/>
      <c r="S17" s="54" t="s">
        <v>180</v>
      </c>
      <c r="T17" s="54" t="s">
        <v>188</v>
      </c>
      <c r="U17" s="54" t="s">
        <v>170</v>
      </c>
      <c r="V17" s="54" t="s">
        <v>195</v>
      </c>
      <c r="W17" s="54" t="s">
        <v>212</v>
      </c>
      <c r="X17"/>
      <c r="Y17"/>
      <c r="Z17"/>
    </row>
    <row r="18" spans="1:26" ht="15.75" customHeight="1" x14ac:dyDescent="0.25">
      <c r="A18" s="168" t="s">
        <v>161</v>
      </c>
      <c r="B18" s="168"/>
      <c r="C18" s="168" t="s">
        <v>431</v>
      </c>
      <c r="D18" s="168"/>
      <c r="E18" s="168"/>
      <c r="F18" s="168"/>
      <c r="G18" s="168"/>
      <c r="H18" s="168"/>
      <c r="S18" s="54" t="s">
        <v>181</v>
      </c>
      <c r="T18" s="54" t="s">
        <v>186</v>
      </c>
      <c r="U18" s="54"/>
      <c r="V18" s="54" t="s">
        <v>196</v>
      </c>
      <c r="W18" s="54" t="s">
        <v>213</v>
      </c>
      <c r="X18"/>
      <c r="Y18"/>
      <c r="Z18"/>
    </row>
    <row r="19" spans="1:26" x14ac:dyDescent="0.25">
      <c r="A19" s="176" t="s">
        <v>10</v>
      </c>
      <c r="B19" s="176"/>
      <c r="C19" s="168" t="s">
        <v>393</v>
      </c>
      <c r="D19" s="168"/>
      <c r="E19" s="176" t="s">
        <v>69</v>
      </c>
      <c r="F19" s="176"/>
      <c r="G19" s="168" t="s">
        <v>432</v>
      </c>
      <c r="H19" s="168"/>
      <c r="S19" s="54" t="s">
        <v>182</v>
      </c>
      <c r="T19" s="54" t="s">
        <v>189</v>
      </c>
      <c r="U19" s="54"/>
      <c r="V19" s="54" t="s">
        <v>197</v>
      </c>
      <c r="W19" s="54" t="s">
        <v>214</v>
      </c>
      <c r="X19"/>
      <c r="Y19"/>
      <c r="Z19"/>
    </row>
    <row r="20" spans="1:26" x14ac:dyDescent="0.25">
      <c r="A20" s="166" t="s">
        <v>12</v>
      </c>
      <c r="B20" s="166"/>
      <c r="C20" s="168" t="s">
        <v>383</v>
      </c>
      <c r="D20" s="168"/>
      <c r="E20" s="176" t="s">
        <v>11</v>
      </c>
      <c r="F20" s="176"/>
      <c r="G20" s="244" t="s">
        <v>170</v>
      </c>
      <c r="H20" s="244"/>
      <c r="S20" s="54" t="s">
        <v>183</v>
      </c>
      <c r="T20" s="54" t="s">
        <v>190</v>
      </c>
      <c r="U20" s="54"/>
      <c r="V20" s="54" t="s">
        <v>198</v>
      </c>
      <c r="W20" s="54" t="s">
        <v>215</v>
      </c>
      <c r="X20"/>
      <c r="Y20"/>
      <c r="Z20"/>
    </row>
    <row r="21" spans="1:26" x14ac:dyDescent="0.25">
      <c r="A21" s="166" t="s">
        <v>70</v>
      </c>
      <c r="B21" s="166"/>
      <c r="C21" s="168" t="s">
        <v>170</v>
      </c>
      <c r="D21" s="168"/>
      <c r="E21" s="176" t="s">
        <v>13</v>
      </c>
      <c r="F21" s="176"/>
      <c r="G21" s="168">
        <v>400015</v>
      </c>
      <c r="H21" s="168"/>
      <c r="S21" s="54"/>
      <c r="T21" s="54"/>
      <c r="U21" s="54"/>
      <c r="V21" s="54" t="s">
        <v>199</v>
      </c>
      <c r="W21" s="54" t="s">
        <v>216</v>
      </c>
      <c r="X21"/>
      <c r="Y21"/>
      <c r="Z21"/>
    </row>
    <row r="22" spans="1:26" ht="32.25" customHeight="1" x14ac:dyDescent="0.25">
      <c r="A22" s="166" t="s">
        <v>120</v>
      </c>
      <c r="B22" s="166"/>
      <c r="C22" s="168" t="s">
        <v>386</v>
      </c>
      <c r="D22" s="168"/>
      <c r="E22" s="176" t="s">
        <v>14</v>
      </c>
      <c r="F22" s="176"/>
      <c r="G22" s="168" t="s">
        <v>387</v>
      </c>
      <c r="H22" s="168"/>
      <c r="S22" s="54"/>
      <c r="T22" s="54"/>
      <c r="U22" s="54"/>
      <c r="V22" s="54" t="s">
        <v>200</v>
      </c>
      <c r="W22" s="54" t="s">
        <v>217</v>
      </c>
      <c r="X22"/>
      <c r="Y22"/>
      <c r="Z22"/>
    </row>
    <row r="23" spans="1:26" ht="15" customHeight="1" x14ac:dyDescent="0.25">
      <c r="A23" s="176" t="s">
        <v>72</v>
      </c>
      <c r="B23" s="176"/>
      <c r="C23" s="176"/>
      <c r="D23" s="176"/>
      <c r="E23" s="178" t="s">
        <v>15</v>
      </c>
      <c r="F23" s="178"/>
      <c r="G23" s="178"/>
      <c r="H23" s="178"/>
      <c r="S23" s="54"/>
      <c r="T23" s="54"/>
      <c r="U23" s="54"/>
      <c r="V23" s="54" t="s">
        <v>201</v>
      </c>
      <c r="W23" s="54" t="s">
        <v>218</v>
      </c>
      <c r="X23"/>
      <c r="Y23"/>
      <c r="Z23"/>
    </row>
    <row r="24" spans="1:26" ht="18.75" customHeight="1" x14ac:dyDescent="0.25">
      <c r="A24" s="176"/>
      <c r="B24" s="176"/>
      <c r="C24" s="176"/>
      <c r="D24" s="176"/>
      <c r="E24" s="178"/>
      <c r="F24" s="178"/>
      <c r="G24" s="178"/>
      <c r="H24" s="178"/>
      <c r="S24" s="54"/>
      <c r="T24" s="54"/>
      <c r="U24" s="54"/>
      <c r="V24" s="54" t="s">
        <v>202</v>
      </c>
      <c r="W24" s="54" t="s">
        <v>219</v>
      </c>
      <c r="X24"/>
      <c r="Y24"/>
      <c r="Z24"/>
    </row>
    <row r="25" spans="1:26" ht="15" customHeight="1" x14ac:dyDescent="0.25">
      <c r="A25" s="176" t="s">
        <v>16</v>
      </c>
      <c r="B25" s="176"/>
      <c r="C25" s="176"/>
      <c r="D25" s="176"/>
      <c r="E25" s="168" t="s">
        <v>17</v>
      </c>
      <c r="F25" s="168"/>
      <c r="G25" s="168"/>
      <c r="H25" s="168"/>
      <c r="S25" s="54"/>
      <c r="T25" s="54"/>
      <c r="U25" s="54"/>
      <c r="V25" s="54" t="s">
        <v>203</v>
      </c>
      <c r="W25" s="54" t="s">
        <v>220</v>
      </c>
      <c r="X25"/>
      <c r="Y25"/>
      <c r="Z25"/>
    </row>
    <row r="26" spans="1:26" ht="15" customHeight="1" x14ac:dyDescent="0.25">
      <c r="A26" s="166" t="s">
        <v>18</v>
      </c>
      <c r="B26" s="166"/>
      <c r="C26" s="166"/>
      <c r="D26" s="166"/>
      <c r="E26" s="168" t="str">
        <f>IF(AND(G20="Mumbai"),"Upper Class","Middle Class")</f>
        <v>Upper Class</v>
      </c>
      <c r="F26" s="168"/>
      <c r="G26" s="168"/>
      <c r="H26" s="168"/>
      <c r="S26" s="54"/>
      <c r="T26" s="54"/>
      <c r="U26" s="54"/>
      <c r="V26" s="54" t="s">
        <v>204</v>
      </c>
      <c r="W26" s="54" t="s">
        <v>221</v>
      </c>
      <c r="X26"/>
      <c r="Y26"/>
      <c r="Z26"/>
    </row>
    <row r="27" spans="1:26" x14ac:dyDescent="0.25">
      <c r="A27" s="166" t="s">
        <v>19</v>
      </c>
      <c r="B27" s="166"/>
      <c r="C27" s="166"/>
      <c r="D27" s="166"/>
      <c r="E27" s="168" t="s">
        <v>20</v>
      </c>
      <c r="F27" s="168"/>
      <c r="G27" s="168"/>
      <c r="H27" s="168"/>
      <c r="S27" s="54"/>
      <c r="T27" s="54"/>
      <c r="U27" s="54"/>
      <c r="V27" s="54" t="s">
        <v>205</v>
      </c>
      <c r="W27" s="54" t="s">
        <v>222</v>
      </c>
      <c r="X27"/>
      <c r="Y27"/>
      <c r="Z27"/>
    </row>
    <row r="28" spans="1:26" ht="15.75" customHeight="1" x14ac:dyDescent="0.25">
      <c r="A28" s="166" t="s">
        <v>21</v>
      </c>
      <c r="B28" s="166"/>
      <c r="C28" s="166"/>
      <c r="D28" s="166"/>
      <c r="E28" s="168" t="str">
        <f>IF(AND(G20="Mumbai"),"Developed","Developing")</f>
        <v>Developed</v>
      </c>
      <c r="F28" s="168"/>
      <c r="G28" s="168"/>
      <c r="H28" s="168"/>
    </row>
    <row r="29" spans="1:26" x14ac:dyDescent="0.25">
      <c r="A29" s="166" t="s">
        <v>22</v>
      </c>
      <c r="B29" s="166"/>
      <c r="C29" s="166"/>
      <c r="D29" s="166"/>
      <c r="E29" s="168" t="s">
        <v>23</v>
      </c>
      <c r="F29" s="168"/>
      <c r="G29" s="168"/>
      <c r="H29" s="168"/>
    </row>
    <row r="30" spans="1:26" ht="15.75" customHeight="1" x14ac:dyDescent="0.25">
      <c r="A30" s="166" t="s">
        <v>77</v>
      </c>
      <c r="B30" s="166"/>
      <c r="C30" s="166"/>
      <c r="D30" s="166"/>
      <c r="E30" s="168" t="s">
        <v>78</v>
      </c>
      <c r="F30" s="168"/>
      <c r="G30" s="168"/>
      <c r="H30" s="168"/>
    </row>
    <row r="31" spans="1:26" ht="15" customHeight="1" x14ac:dyDescent="0.25">
      <c r="A31" s="166" t="s">
        <v>30</v>
      </c>
      <c r="B31" s="166"/>
      <c r="C31" s="166"/>
      <c r="D31" s="166"/>
      <c r="E31" s="168" t="str">
        <f>IF(AND(ISNUMBER(SEARCH("Flat",D65)),ISNUMBER(SEARCH("Shop",D65)),ISNUMBER(SEARCH("Office",D65))),"Residential + Commercial",IF(AND(ISNUMBER(SEARCH("Flat",D65)),ISNUMBER(SEARCH("Shop",D65))),"Residential + Commercial",IF(AND(ISNUMBER(SEARCH("Flat",D65)),ISNUMBER(SEARCH("Office",D65))),"Residential + Commercial",IF(AND(ISNUMBER(SEARCH("Shop",D65)),ISNUMBER(SEARCH("Office",D65))),"Commercial",IF(ISNUMBER(SEARCH("Shop",D65)),"Commercial",IF(ISNUMBER(SEARCH("Office",D65)),"Commercial",IF(ISNUMBER(SEARCH("Flat",D65)),"Residential")))))))</f>
        <v>Residential + Commercial</v>
      </c>
      <c r="F31" s="168"/>
      <c r="G31" s="168"/>
      <c r="H31" s="168"/>
    </row>
    <row r="32" spans="1:26" ht="15.75" customHeight="1" x14ac:dyDescent="0.25">
      <c r="A32" s="166" t="s">
        <v>89</v>
      </c>
      <c r="B32" s="166"/>
      <c r="C32" s="166"/>
      <c r="D32" s="166"/>
      <c r="E32" s="168" t="s">
        <v>31</v>
      </c>
      <c r="F32" s="168"/>
      <c r="G32" s="168"/>
      <c r="H32" s="168"/>
    </row>
    <row r="33" spans="1:19" s="22" customFormat="1" x14ac:dyDescent="0.25">
      <c r="A33" s="243" t="s">
        <v>90</v>
      </c>
      <c r="B33" s="243"/>
      <c r="C33" s="240" t="s">
        <v>171</v>
      </c>
      <c r="D33" s="241"/>
      <c r="E33" s="242"/>
      <c r="F33" s="240" t="s">
        <v>29</v>
      </c>
      <c r="G33" s="241"/>
      <c r="H33" s="242"/>
      <c r="S33" s="22" t="e">
        <f ca="1">OFFSET($S$13,1,MATCH($G20,$S$13:$W$13,0)-1,15,1)</f>
        <v>#VALUE!</v>
      </c>
    </row>
    <row r="34" spans="1:19" s="22" customFormat="1" x14ac:dyDescent="0.25">
      <c r="A34" s="239" t="s">
        <v>24</v>
      </c>
      <c r="B34" s="239" t="s">
        <v>28</v>
      </c>
      <c r="C34" s="214" t="s">
        <v>388</v>
      </c>
      <c r="D34" s="215"/>
      <c r="E34" s="216"/>
      <c r="F34" s="214" t="s">
        <v>393</v>
      </c>
      <c r="G34" s="215"/>
      <c r="H34" s="216"/>
    </row>
    <row r="35" spans="1:19" x14ac:dyDescent="0.25">
      <c r="A35" s="239" t="s">
        <v>25</v>
      </c>
      <c r="B35" s="239" t="s">
        <v>28</v>
      </c>
      <c r="C35" s="214" t="s">
        <v>389</v>
      </c>
      <c r="D35" s="215"/>
      <c r="E35" s="216"/>
      <c r="F35" s="217" t="s">
        <v>394</v>
      </c>
      <c r="G35" s="218"/>
      <c r="H35" s="219"/>
    </row>
    <row r="36" spans="1:19" s="22" customFormat="1" ht="30.75" customHeight="1" x14ac:dyDescent="0.25">
      <c r="A36" s="239" t="s">
        <v>27</v>
      </c>
      <c r="B36" s="239" t="s">
        <v>28</v>
      </c>
      <c r="C36" s="214" t="s">
        <v>391</v>
      </c>
      <c r="D36" s="215"/>
      <c r="E36" s="216"/>
      <c r="F36" s="214" t="s">
        <v>392</v>
      </c>
      <c r="G36" s="215"/>
      <c r="H36" s="216"/>
    </row>
    <row r="37" spans="1:19" x14ac:dyDescent="0.25">
      <c r="A37" s="239" t="s">
        <v>26</v>
      </c>
      <c r="B37" s="239" t="s">
        <v>28</v>
      </c>
      <c r="C37" s="217" t="s">
        <v>390</v>
      </c>
      <c r="D37" s="218"/>
      <c r="E37" s="219"/>
      <c r="F37" s="217" t="s">
        <v>395</v>
      </c>
      <c r="G37" s="218"/>
      <c r="H37" s="219"/>
    </row>
    <row r="38" spans="1:19" x14ac:dyDescent="0.25">
      <c r="A38" s="166" t="s">
        <v>276</v>
      </c>
      <c r="B38" s="166"/>
      <c r="C38" s="166"/>
      <c r="D38" s="166"/>
      <c r="E38" s="166"/>
      <c r="F38" s="166"/>
      <c r="G38" s="166"/>
      <c r="H38" s="166"/>
    </row>
    <row r="39" spans="1:19" ht="15.75" customHeight="1" x14ac:dyDescent="0.25">
      <c r="A39" s="166" t="s">
        <v>163</v>
      </c>
      <c r="B39" s="166"/>
      <c r="C39" s="189" t="s">
        <v>384</v>
      </c>
      <c r="D39" s="189"/>
      <c r="E39" s="189"/>
      <c r="F39" s="189"/>
      <c r="G39" s="189"/>
      <c r="H39" s="189"/>
    </row>
    <row r="40" spans="1:19" x14ac:dyDescent="0.25">
      <c r="A40" s="166" t="s">
        <v>160</v>
      </c>
      <c r="B40" s="166"/>
      <c r="C40" s="167" t="s">
        <v>385</v>
      </c>
      <c r="D40" s="168"/>
      <c r="E40" s="168"/>
      <c r="F40" s="168"/>
      <c r="G40" s="168"/>
      <c r="H40" s="168"/>
    </row>
    <row r="41" spans="1:19" x14ac:dyDescent="0.25">
      <c r="A41" s="189" t="s">
        <v>32</v>
      </c>
      <c r="B41" s="189"/>
      <c r="C41" s="189"/>
      <c r="D41" s="189"/>
      <c r="E41" s="189"/>
      <c r="F41" s="189"/>
      <c r="G41" s="189"/>
      <c r="H41" s="189"/>
    </row>
    <row r="42" spans="1:19" x14ac:dyDescent="0.25">
      <c r="A42" s="166" t="s">
        <v>33</v>
      </c>
      <c r="B42" s="166"/>
      <c r="C42" s="166"/>
      <c r="D42" s="166"/>
      <c r="E42" s="188">
        <v>1570.24</v>
      </c>
      <c r="F42" s="188"/>
      <c r="G42" s="188"/>
      <c r="H42" s="188"/>
    </row>
    <row r="43" spans="1:19" x14ac:dyDescent="0.25">
      <c r="A43" s="166" t="s">
        <v>34</v>
      </c>
      <c r="B43" s="166"/>
      <c r="C43" s="166"/>
      <c r="D43" s="166"/>
      <c r="E43" s="190">
        <f>2088.41/E42</f>
        <v>1.3299941410230283</v>
      </c>
      <c r="F43" s="190"/>
      <c r="G43" s="190"/>
      <c r="H43" s="190"/>
    </row>
    <row r="44" spans="1:19" x14ac:dyDescent="0.25">
      <c r="A44" s="166" t="s">
        <v>35</v>
      </c>
      <c r="B44" s="166"/>
      <c r="C44" s="166"/>
      <c r="D44" s="166"/>
      <c r="E44" s="190">
        <f>E46/E42-E43</f>
        <v>-6.2028734460972679E-3</v>
      </c>
      <c r="F44" s="190"/>
      <c r="G44" s="190"/>
      <c r="H44" s="190"/>
    </row>
    <row r="45" spans="1:19" x14ac:dyDescent="0.25">
      <c r="A45" s="166" t="s">
        <v>36</v>
      </c>
      <c r="B45" s="166"/>
      <c r="C45" s="166"/>
      <c r="D45" s="166"/>
      <c r="E45" s="190">
        <f>E43+E44</f>
        <v>1.323791267576931</v>
      </c>
      <c r="F45" s="190"/>
      <c r="G45" s="190"/>
      <c r="H45" s="190"/>
    </row>
    <row r="46" spans="1:19" x14ac:dyDescent="0.25">
      <c r="A46" s="166" t="s">
        <v>88</v>
      </c>
      <c r="B46" s="166"/>
      <c r="C46" s="166"/>
      <c r="D46" s="166"/>
      <c r="E46" s="184">
        <v>2078.67</v>
      </c>
      <c r="F46" s="184"/>
      <c r="G46" s="184"/>
      <c r="H46" s="184"/>
    </row>
    <row r="47" spans="1:19" x14ac:dyDescent="0.25">
      <c r="A47" s="178" t="s">
        <v>37</v>
      </c>
      <c r="B47" s="178"/>
      <c r="C47" s="178"/>
      <c r="D47" s="178"/>
      <c r="E47" s="178" t="s">
        <v>118</v>
      </c>
      <c r="F47" s="178"/>
      <c r="G47" s="178"/>
      <c r="H47" s="178"/>
    </row>
    <row r="48" spans="1:19" x14ac:dyDescent="0.25">
      <c r="A48" s="189" t="s">
        <v>38</v>
      </c>
      <c r="B48" s="189"/>
      <c r="C48" s="189"/>
      <c r="D48" s="189"/>
      <c r="E48" s="189"/>
      <c r="F48" s="189"/>
      <c r="G48" s="189"/>
      <c r="H48" s="189"/>
    </row>
    <row r="49" spans="1:24" ht="33.75" customHeight="1" x14ac:dyDescent="0.25">
      <c r="A49" s="173" t="s">
        <v>149</v>
      </c>
      <c r="B49" s="175"/>
      <c r="C49" s="232" t="s">
        <v>251</v>
      </c>
      <c r="D49" s="233"/>
      <c r="E49" s="233"/>
      <c r="F49" s="233"/>
      <c r="G49" s="233"/>
      <c r="H49" s="234"/>
      <c r="R49" t="s">
        <v>249</v>
      </c>
      <c r="S49" s="56" t="s">
        <v>170</v>
      </c>
      <c r="T49" s="56" t="s">
        <v>177</v>
      </c>
      <c r="U49" s="56" t="s">
        <v>191</v>
      </c>
      <c r="V49" s="56" t="s">
        <v>186</v>
      </c>
    </row>
    <row r="50" spans="1:24" ht="33.75" customHeight="1" x14ac:dyDescent="0.25">
      <c r="A50" s="173" t="s">
        <v>39</v>
      </c>
      <c r="B50" s="175"/>
      <c r="C50" s="173" t="s">
        <v>430</v>
      </c>
      <c r="D50" s="174"/>
      <c r="E50" s="175"/>
      <c r="F50" s="18" t="s">
        <v>40</v>
      </c>
      <c r="G50" s="179">
        <v>45054</v>
      </c>
      <c r="H50" s="180"/>
      <c r="R50"/>
      <c r="S50" s="56" t="s">
        <v>250</v>
      </c>
      <c r="T50" s="56" t="s">
        <v>255</v>
      </c>
      <c r="U50" s="56" t="s">
        <v>266</v>
      </c>
      <c r="V50" s="56" t="s">
        <v>271</v>
      </c>
    </row>
    <row r="51" spans="1:24" ht="33.75" customHeight="1" x14ac:dyDescent="0.25">
      <c r="A51" s="173" t="s">
        <v>41</v>
      </c>
      <c r="B51" s="175"/>
      <c r="C51" s="173" t="str">
        <f>C50</f>
        <v>P-9723/2021/(214)/F/South/PAREL-SEWERI/337/1/New</v>
      </c>
      <c r="D51" s="174"/>
      <c r="E51" s="175"/>
      <c r="F51" s="18" t="s">
        <v>40</v>
      </c>
      <c r="G51" s="179">
        <f>G50</f>
        <v>45054</v>
      </c>
      <c r="H51" s="180"/>
      <c r="R51"/>
      <c r="S51" s="56" t="s">
        <v>251</v>
      </c>
      <c r="T51" s="56" t="s">
        <v>352</v>
      </c>
      <c r="U51" s="56" t="s">
        <v>264</v>
      </c>
      <c r="V51" s="56" t="s">
        <v>272</v>
      </c>
    </row>
    <row r="52" spans="1:24" s="23" customFormat="1" ht="15.75" customHeight="1" x14ac:dyDescent="0.25">
      <c r="A52" s="206" t="s">
        <v>153</v>
      </c>
      <c r="B52" s="207"/>
      <c r="C52" s="206" t="s">
        <v>396</v>
      </c>
      <c r="D52" s="212"/>
      <c r="E52" s="207"/>
      <c r="F52" s="18" t="s">
        <v>40</v>
      </c>
      <c r="G52" s="179">
        <v>45222</v>
      </c>
      <c r="H52" s="180"/>
      <c r="I52" s="22" t="str">
        <f ca="1">IF(G52&gt;EDATE(E3,-48),"NO REMARK","CC REMARK FOR CC")</f>
        <v>NO REMARK</v>
      </c>
      <c r="J52" s="77"/>
      <c r="R52"/>
      <c r="S52" s="56" t="s">
        <v>252</v>
      </c>
      <c r="T52" s="56" t="s">
        <v>257</v>
      </c>
      <c r="U52" s="56" t="s">
        <v>254</v>
      </c>
      <c r="V52" s="56" t="s">
        <v>273</v>
      </c>
    </row>
    <row r="53" spans="1:24" s="23" customFormat="1" ht="33.75" customHeight="1" x14ac:dyDescent="0.25">
      <c r="A53" s="208"/>
      <c r="B53" s="209"/>
      <c r="C53" s="210"/>
      <c r="D53" s="213"/>
      <c r="E53" s="211"/>
      <c r="F53" s="18" t="s">
        <v>119</v>
      </c>
      <c r="G53" s="179">
        <v>45951</v>
      </c>
      <c r="H53" s="175"/>
      <c r="R53"/>
      <c r="S53" s="56" t="s">
        <v>253</v>
      </c>
      <c r="T53" s="56" t="s">
        <v>260</v>
      </c>
      <c r="U53" s="56" t="s">
        <v>267</v>
      </c>
      <c r="V53" s="73" t="s">
        <v>345</v>
      </c>
    </row>
    <row r="54" spans="1:24" s="23" customFormat="1" x14ac:dyDescent="0.25">
      <c r="A54" s="210"/>
      <c r="B54" s="211"/>
      <c r="C54" s="173" t="s">
        <v>397</v>
      </c>
      <c r="D54" s="174"/>
      <c r="E54" s="174"/>
      <c r="F54" s="174"/>
      <c r="G54" s="174"/>
      <c r="H54" s="175"/>
      <c r="R54"/>
      <c r="S54" s="56"/>
      <c r="T54" s="56"/>
      <c r="U54" s="56"/>
      <c r="V54" s="73"/>
    </row>
    <row r="55" spans="1:24" s="23" customFormat="1" ht="36" customHeight="1" x14ac:dyDescent="0.25">
      <c r="A55" s="229" t="s">
        <v>277</v>
      </c>
      <c r="B55" s="231"/>
      <c r="C55" s="173" t="s">
        <v>411</v>
      </c>
      <c r="D55" s="174"/>
      <c r="E55" s="175"/>
      <c r="F55" s="18" t="s">
        <v>40</v>
      </c>
      <c r="G55" s="179">
        <v>45217</v>
      </c>
      <c r="H55" s="180"/>
      <c r="K55" s="78">
        <f>EDATE(G52,-48)</f>
        <v>43761</v>
      </c>
      <c r="L55" s="23" t="str">
        <f ca="1">IF(G52&gt;EDATE(E3,-48),"NO REMARK","CC REMARK FOR CC")</f>
        <v>NO REMARK</v>
      </c>
      <c r="R55"/>
      <c r="S55" s="56" t="s">
        <v>252</v>
      </c>
      <c r="T55" s="56" t="s">
        <v>257</v>
      </c>
      <c r="U55" s="56" t="s">
        <v>254</v>
      </c>
      <c r="V55" s="56" t="s">
        <v>273</v>
      </c>
    </row>
    <row r="56" spans="1:24" s="23" customFormat="1" x14ac:dyDescent="0.25">
      <c r="A56" s="268"/>
      <c r="B56" s="269"/>
      <c r="C56" s="203" t="s">
        <v>413</v>
      </c>
      <c r="D56" s="204"/>
      <c r="E56" s="204"/>
      <c r="F56" s="204"/>
      <c r="G56" s="204"/>
      <c r="H56" s="205"/>
      <c r="R56"/>
      <c r="S56" s="56" t="s">
        <v>254</v>
      </c>
      <c r="T56" s="56" t="s">
        <v>258</v>
      </c>
      <c r="U56" s="56" t="s">
        <v>268</v>
      </c>
      <c r="V56" s="74"/>
      <c r="W56" s="21"/>
      <c r="X56" s="21"/>
    </row>
    <row r="57" spans="1:24" s="23" customFormat="1" ht="34.5" hidden="1" customHeight="1" x14ac:dyDescent="0.25">
      <c r="A57" s="191" t="s">
        <v>278</v>
      </c>
      <c r="B57" s="192"/>
      <c r="C57" s="173"/>
      <c r="D57" s="174"/>
      <c r="E57" s="175"/>
      <c r="F57" s="18" t="s">
        <v>40</v>
      </c>
      <c r="G57" s="179">
        <f>G56</f>
        <v>0</v>
      </c>
      <c r="H57" s="180"/>
      <c r="M57" s="23">
        <v>9</v>
      </c>
      <c r="R57"/>
      <c r="S57" s="74"/>
      <c r="T57" s="56" t="s">
        <v>259</v>
      </c>
      <c r="U57" s="56" t="s">
        <v>269</v>
      </c>
      <c r="V57" s="74"/>
      <c r="W57" s="21"/>
      <c r="X57" s="21"/>
    </row>
    <row r="58" spans="1:24" s="23" customFormat="1" ht="41.25" hidden="1" customHeight="1" x14ac:dyDescent="0.25">
      <c r="A58" s="195"/>
      <c r="B58" s="196"/>
      <c r="C58" s="173"/>
      <c r="D58" s="174"/>
      <c r="E58" s="174"/>
      <c r="F58" s="174"/>
      <c r="G58" s="174"/>
      <c r="H58" s="175"/>
      <c r="R58"/>
      <c r="S58" s="74"/>
      <c r="T58" s="56" t="s">
        <v>261</v>
      </c>
      <c r="U58" s="56" t="s">
        <v>270</v>
      </c>
      <c r="V58" s="74"/>
      <c r="W58" s="21"/>
      <c r="X58" s="21"/>
    </row>
    <row r="59" spans="1:24" s="23" customFormat="1" ht="15.75" hidden="1" customHeight="1" x14ac:dyDescent="0.25">
      <c r="A59" s="191" t="s">
        <v>347</v>
      </c>
      <c r="B59" s="192"/>
      <c r="C59" s="197"/>
      <c r="D59" s="198"/>
      <c r="E59" s="199"/>
      <c r="F59" s="18" t="s">
        <v>40</v>
      </c>
      <c r="G59" s="179"/>
      <c r="H59" s="180"/>
      <c r="R59"/>
      <c r="S59" s="74"/>
      <c r="T59" s="56" t="s">
        <v>262</v>
      </c>
      <c r="U59" s="74" t="s">
        <v>292</v>
      </c>
      <c r="V59" s="74"/>
      <c r="W59" s="21"/>
      <c r="X59" s="21"/>
    </row>
    <row r="60" spans="1:24" s="23" customFormat="1" ht="33.75" hidden="1" customHeight="1" x14ac:dyDescent="0.25">
      <c r="A60" s="193"/>
      <c r="B60" s="194"/>
      <c r="C60" s="200"/>
      <c r="D60" s="201"/>
      <c r="E60" s="202"/>
      <c r="F60" s="18" t="s">
        <v>348</v>
      </c>
      <c r="G60" s="179"/>
      <c r="H60" s="180"/>
      <c r="R60"/>
      <c r="S60" s="74"/>
      <c r="T60" s="56" t="s">
        <v>263</v>
      </c>
      <c r="U60" s="74"/>
      <c r="V60" s="74"/>
      <c r="W60" s="21"/>
      <c r="X60" s="21"/>
    </row>
    <row r="61" spans="1:24" s="23" customFormat="1" ht="33.75" hidden="1" customHeight="1" x14ac:dyDescent="0.25">
      <c r="A61" s="195"/>
      <c r="B61" s="196"/>
      <c r="C61" s="173" t="s">
        <v>370</v>
      </c>
      <c r="D61" s="174"/>
      <c r="E61" s="174"/>
      <c r="F61" s="174"/>
      <c r="G61" s="174"/>
      <c r="H61" s="175"/>
      <c r="R61"/>
      <c r="S61" s="74"/>
      <c r="T61" s="56"/>
      <c r="U61" s="74"/>
      <c r="V61" s="74"/>
      <c r="W61" s="21"/>
      <c r="X61" s="21"/>
    </row>
    <row r="62" spans="1:24" x14ac:dyDescent="0.25">
      <c r="A62" s="263" t="s">
        <v>42</v>
      </c>
      <c r="B62" s="264"/>
      <c r="C62" s="263" t="s">
        <v>102</v>
      </c>
      <c r="D62" s="265"/>
      <c r="E62" s="264"/>
      <c r="F62" s="45" t="s">
        <v>40</v>
      </c>
      <c r="G62" s="266" t="s">
        <v>28</v>
      </c>
      <c r="H62" s="267"/>
      <c r="R62"/>
      <c r="S62" s="74"/>
      <c r="T62" s="56" t="s">
        <v>265</v>
      </c>
      <c r="U62" s="74"/>
      <c r="V62" s="74"/>
    </row>
    <row r="63" spans="1:24" x14ac:dyDescent="0.25">
      <c r="A63" s="238" t="s">
        <v>44</v>
      </c>
      <c r="B63" s="238"/>
      <c r="C63" s="238"/>
      <c r="D63" s="238"/>
      <c r="E63" s="238"/>
      <c r="F63" s="238"/>
      <c r="G63" s="238"/>
      <c r="H63" s="238"/>
      <c r="S63" s="74"/>
      <c r="T63" s="56" t="s">
        <v>274</v>
      </c>
      <c r="U63" s="74"/>
      <c r="V63" s="74"/>
    </row>
    <row r="64" spans="1:24" x14ac:dyDescent="0.25">
      <c r="A64" s="176" t="s">
        <v>87</v>
      </c>
      <c r="B64" s="176"/>
      <c r="C64" s="176"/>
      <c r="D64" s="166">
        <f>E46</f>
        <v>2078.67</v>
      </c>
      <c r="E64" s="166"/>
      <c r="F64" s="166"/>
      <c r="G64" s="166"/>
      <c r="H64" s="166"/>
      <c r="R64"/>
    </row>
    <row r="65" spans="1:19" x14ac:dyDescent="0.25">
      <c r="A65" s="168" t="s">
        <v>45</v>
      </c>
      <c r="B65" s="178"/>
      <c r="C65" s="178"/>
      <c r="D65" s="178" t="s">
        <v>433</v>
      </c>
      <c r="E65" s="178"/>
      <c r="F65" s="178"/>
      <c r="G65" s="178"/>
      <c r="H65" s="178"/>
      <c r="I65" s="24"/>
      <c r="R65"/>
    </row>
    <row r="66" spans="1:19" x14ac:dyDescent="0.25">
      <c r="A66" s="229" t="s">
        <v>46</v>
      </c>
      <c r="B66" s="230"/>
      <c r="C66" s="231"/>
      <c r="D66" s="226" t="s">
        <v>398</v>
      </c>
      <c r="E66" s="228"/>
      <c r="F66" s="228"/>
      <c r="G66" s="228"/>
      <c r="H66" s="228"/>
      <c r="R66"/>
    </row>
    <row r="67" spans="1:19" ht="15.75" customHeight="1" x14ac:dyDescent="0.25">
      <c r="A67" s="229" t="s">
        <v>85</v>
      </c>
      <c r="B67" s="230"/>
      <c r="C67" s="230"/>
      <c r="D67" s="235" t="s">
        <v>412</v>
      </c>
      <c r="E67" s="236"/>
      <c r="F67" s="236"/>
      <c r="G67" s="236"/>
      <c r="H67" s="237"/>
      <c r="R67"/>
    </row>
    <row r="68" spans="1:19" ht="15.75" customHeight="1" x14ac:dyDescent="0.25">
      <c r="A68" s="166" t="s">
        <v>43</v>
      </c>
      <c r="B68" s="166"/>
      <c r="C68" s="166"/>
      <c r="D68" s="177" t="s">
        <v>399</v>
      </c>
      <c r="E68" s="177"/>
      <c r="F68" s="177"/>
      <c r="G68" s="177"/>
      <c r="H68" s="177"/>
      <c r="J68" s="25"/>
      <c r="K68" s="24"/>
      <c r="N68" s="24"/>
      <c r="S68"/>
    </row>
    <row r="69" spans="1:19" ht="15.75" customHeight="1" x14ac:dyDescent="0.25">
      <c r="A69" s="166" t="s">
        <v>83</v>
      </c>
      <c r="B69" s="166"/>
      <c r="C69" s="166"/>
      <c r="D69" s="183" t="str">
        <f>(IF(G62="NA","60 Years After Completion",IF(G62&lt;&gt;"NA",""&amp;60-ROUNDDOWN((E3-G62)/360,0)&amp;" Years"," ")))</f>
        <v>60 Years After Completion</v>
      </c>
      <c r="E69" s="183"/>
      <c r="F69" s="183"/>
      <c r="G69" s="183"/>
      <c r="H69" s="183"/>
      <c r="N69" s="24"/>
      <c r="S69"/>
    </row>
    <row r="70" spans="1:19" ht="15.75" customHeight="1" x14ac:dyDescent="0.25">
      <c r="A70" s="166" t="s">
        <v>84</v>
      </c>
      <c r="B70" s="166"/>
      <c r="C70" s="166"/>
      <c r="D70" s="176" t="s">
        <v>23</v>
      </c>
      <c r="E70" s="176"/>
      <c r="F70" s="176"/>
      <c r="G70" s="176"/>
      <c r="H70" s="176"/>
      <c r="J70" s="26"/>
      <c r="K70" s="26"/>
      <c r="S70"/>
    </row>
    <row r="71" spans="1:19" ht="50.25" customHeight="1" x14ac:dyDescent="0.25">
      <c r="A71" s="178" t="s">
        <v>400</v>
      </c>
      <c r="B71" s="178"/>
      <c r="C71" s="178"/>
      <c r="D71" s="168" t="s">
        <v>428</v>
      </c>
      <c r="E71" s="176"/>
      <c r="F71" s="176"/>
      <c r="G71" s="176"/>
      <c r="H71" s="176"/>
      <c r="S71"/>
    </row>
    <row r="72" spans="1:19" x14ac:dyDescent="0.25">
      <c r="A72" s="176" t="s">
        <v>146</v>
      </c>
      <c r="B72" s="176"/>
      <c r="C72" s="176"/>
      <c r="D72" s="176" t="s">
        <v>28</v>
      </c>
      <c r="E72" s="176"/>
      <c r="F72" s="176"/>
      <c r="G72" s="176"/>
      <c r="H72" s="176"/>
      <c r="I72" s="27"/>
      <c r="J72" s="27"/>
      <c r="K72" s="27"/>
      <c r="L72" s="27"/>
      <c r="M72" s="27"/>
      <c r="N72" s="27"/>
    </row>
    <row r="73" spans="1:19" ht="15.75" customHeight="1" x14ac:dyDescent="0.25">
      <c r="A73" s="227" t="s">
        <v>82</v>
      </c>
      <c r="B73" s="227"/>
      <c r="C73" s="227"/>
      <c r="D73" s="226" t="str">
        <f ca="1">(IF(G79&gt;95%,"Nothing",IF(G79&gt;0%,"Cement, Aggregate, Steel, etc",IF(G79=0%,"Work not yet Started"))))</f>
        <v>Cement, Aggregate, Steel, etc</v>
      </c>
      <c r="E73" s="226"/>
      <c r="F73" s="226"/>
      <c r="G73" s="226"/>
      <c r="H73" s="226"/>
      <c r="J73" s="26"/>
      <c r="S73"/>
    </row>
    <row r="74" spans="1:19" ht="33.75" customHeight="1" thickBot="1" x14ac:dyDescent="0.3">
      <c r="A74" s="225" t="s">
        <v>115</v>
      </c>
      <c r="B74" s="225"/>
      <c r="C74" s="225"/>
      <c r="D74" s="226" t="str">
        <f ca="1">(IF(D73="Nothing","Yes",IF(D73="Cement, Aggregate, Steel, etc","Under Construction",IF(D73="Work not yet Started","Work not yet Started"))))</f>
        <v>Under Construction</v>
      </c>
      <c r="E74" s="226"/>
      <c r="F74" s="226" t="str">
        <f ca="1">(IF(D73="Nothing","Yes",IF(D73="Cement, Aggregate, Steel, etc","Under Construction",IF(D73="Work not yet Started","Work not yet Started"))))</f>
        <v>Under Construction</v>
      </c>
      <c r="G74" s="226"/>
      <c r="H74" s="226"/>
      <c r="S74"/>
    </row>
    <row r="75" spans="1:19" ht="15.75" customHeight="1" x14ac:dyDescent="0.25">
      <c r="A75" s="220" t="s">
        <v>138</v>
      </c>
      <c r="B75" s="221"/>
      <c r="C75" s="222" t="str">
        <f>D67</f>
        <v>1B + G + 1st to 21st Floor</v>
      </c>
      <c r="D75" s="223"/>
      <c r="E75" s="223"/>
      <c r="F75" s="223"/>
      <c r="G75" s="223"/>
      <c r="H75" s="224"/>
      <c r="I75" s="49" t="str">
        <f ca="1">IF(D88=100%,"All work Completed. Possession granted to the Building.",IF(D87=100%,"All work Completed, Waiting for OC",I76&amp;""&amp;I77&amp;""&amp;J76&amp;""&amp;J75&amp;" "&amp;J77))</f>
        <v xml:space="preserve">Excavation, Plinth Completed </v>
      </c>
      <c r="J75" s="50"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c>
      <c r="S75"/>
    </row>
    <row r="76" spans="1:19" x14ac:dyDescent="0.25">
      <c r="A76" s="16" t="s">
        <v>140</v>
      </c>
      <c r="B76" s="47">
        <f>IF(AND(ISNUMBER(SEARCH("1B",C75))),1,IF(AND(ISNUMBER(SEARCH("2B",C75))),2,IF(AND(ISNUMBER(SEARCH("3B",C75))),3,IF(AND(ISNUMBER(SEARCH("4B",C75))),4,IF(ISNUMBER(SEARCH("5B",C75)),5,0)))))</f>
        <v>1</v>
      </c>
      <c r="C76" s="47" t="s">
        <v>68</v>
      </c>
      <c r="D76" s="47">
        <v>1</v>
      </c>
      <c r="E76" s="47" t="s">
        <v>67</v>
      </c>
      <c r="F76" s="47">
        <v>0</v>
      </c>
      <c r="G76" s="47" t="s">
        <v>76</v>
      </c>
      <c r="H76" s="17">
        <f ca="1">--TRIM(RIGHT(SUBSTITUTE(LEFT(C75,_xlfn.AGGREGATE(16,6,FIND({0,1,2,3,4,5,6,7,8,9},C75,ROW(INDIRECT("1:"&amp;LEN(C75)))),1))," ",REPT(" ",LEN(C75))),LEN(C75)))</f>
        <v>21</v>
      </c>
      <c r="I76" s="51" t="str">
        <f ca="1">IF(D79=100%,"Excavation","")&amp;IF(D80=100%,", Plinth","")&amp;IF(D81=100%,", RCC Slab","")&amp;IF(D82=100%,", Brickwork","")&amp;IF(D83=100%,", Internal Plaster","")&amp;IF(D84=100%,", External Plaster","")&amp;IF(D85=100%,", Flooring","")&amp;IF(D86=100%,", Painting","")&amp;IF(D87=100%,", Building common Amenities","")</f>
        <v>Excavation, Plinth</v>
      </c>
      <c r="J76" s="52"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x14ac:dyDescent="0.25">
      <c r="A77" s="144" t="s">
        <v>86</v>
      </c>
      <c r="B77" s="145"/>
      <c r="C77" s="146" t="str">
        <f ca="1">I75</f>
        <v xml:space="preserve">Excavation, Plinth Completed </v>
      </c>
      <c r="D77" s="146"/>
      <c r="E77" s="146"/>
      <c r="F77" s="146"/>
      <c r="G77" s="146"/>
      <c r="H77" s="147"/>
      <c r="I77" s="51" t="str">
        <f ca="1">IF(I76&lt;&gt;""," Completed","")</f>
        <v xml:space="preserve"> Completed</v>
      </c>
      <c r="J77" s="52" t="str">
        <f ca="1">IF(J75&lt;&gt;"","Completed","")</f>
        <v/>
      </c>
      <c r="S77"/>
    </row>
    <row r="78" spans="1:19" ht="15.75" customHeight="1" x14ac:dyDescent="0.25">
      <c r="A78" s="181" t="s">
        <v>47</v>
      </c>
      <c r="B78" s="182"/>
      <c r="C78" s="102" t="s">
        <v>137</v>
      </c>
      <c r="D78" s="102" t="s">
        <v>79</v>
      </c>
      <c r="E78" s="182" t="s">
        <v>81</v>
      </c>
      <c r="F78" s="182"/>
      <c r="G78" s="182" t="s">
        <v>80</v>
      </c>
      <c r="H78" s="270"/>
      <c r="I78" s="13" t="s">
        <v>139</v>
      </c>
      <c r="J78" s="28">
        <f ca="1">H76*25%</f>
        <v>5.25</v>
      </c>
      <c r="S78"/>
    </row>
    <row r="79" spans="1:19" x14ac:dyDescent="0.25">
      <c r="A79" s="181" t="s">
        <v>126</v>
      </c>
      <c r="B79" s="182"/>
      <c r="C79" s="102">
        <f ca="1">J80</f>
        <v>21</v>
      </c>
      <c r="D79" s="103">
        <f ca="1">((100/H76)*C79)/100</f>
        <v>1</v>
      </c>
      <c r="E79" s="275">
        <f ca="1">(((C80/H76*10)+(40/(D76+F76+H76)*C81)+(7.5/(H76)*C82)+(7.5/(H76)*C83)+(10/H76*C84)+(10/H76*C85)+(5/H76*C86)+(5/H76*C87)+(5/H76*C88))/100)</f>
        <v>0.1</v>
      </c>
      <c r="F79" s="276"/>
      <c r="G79" s="275">
        <f ca="1">((((C79/H76)*20)+((C80/H76)*25)+(30/(H76+F76+D76)*C81)+(5/H76*C82)+(5/H76*C83)+(5/H76*C84)+(5/H76*C85)+(0/H76*C86)+(0/H76*C87)+(5/H76*C88))/100)</f>
        <v>0.45</v>
      </c>
      <c r="H79" s="281"/>
      <c r="I79" s="13" t="s">
        <v>97</v>
      </c>
      <c r="J79" s="29">
        <f ca="1">H76*50%</f>
        <v>10.5</v>
      </c>
    </row>
    <row r="80" spans="1:19" x14ac:dyDescent="0.25">
      <c r="A80" s="181" t="s">
        <v>48</v>
      </c>
      <c r="B80" s="182"/>
      <c r="C80" s="102">
        <f ca="1">J88</f>
        <v>21</v>
      </c>
      <c r="D80" s="103">
        <f ca="1">((100/H76)*C80)/100</f>
        <v>1</v>
      </c>
      <c r="E80" s="277"/>
      <c r="F80" s="278"/>
      <c r="G80" s="277"/>
      <c r="H80" s="282"/>
      <c r="I80" s="13" t="s">
        <v>98</v>
      </c>
      <c r="J80" s="29">
        <f ca="1">H76</f>
        <v>21</v>
      </c>
      <c r="S80"/>
    </row>
    <row r="81" spans="1:19" ht="15.75" customHeight="1" x14ac:dyDescent="0.25">
      <c r="A81" s="181" t="s">
        <v>127</v>
      </c>
      <c r="B81" s="182"/>
      <c r="C81" s="102">
        <v>0</v>
      </c>
      <c r="D81" s="103">
        <f ca="1">((100/(D76+F76+H76))*C81)/100</f>
        <v>0</v>
      </c>
      <c r="E81" s="277"/>
      <c r="F81" s="278"/>
      <c r="G81" s="277"/>
      <c r="H81" s="282"/>
      <c r="I81" s="13" t="s">
        <v>99</v>
      </c>
      <c r="J81" s="30">
        <f ca="1">(IF(B76&gt;1,(H76/(B76+2)),H76/4))</f>
        <v>5.25</v>
      </c>
      <c r="S81"/>
    </row>
    <row r="82" spans="1:19" ht="15.75" customHeight="1" x14ac:dyDescent="0.25">
      <c r="A82" s="181" t="s">
        <v>134</v>
      </c>
      <c r="B82" s="182" t="s">
        <v>128</v>
      </c>
      <c r="C82" s="102">
        <v>0</v>
      </c>
      <c r="D82" s="103">
        <f ca="1">((100/H76)*C82)/100</f>
        <v>0</v>
      </c>
      <c r="E82" s="277"/>
      <c r="F82" s="278"/>
      <c r="G82" s="277"/>
      <c r="H82" s="282"/>
      <c r="I82" s="13" t="s">
        <v>100</v>
      </c>
      <c r="J82" s="30">
        <f ca="1">(IF(B76&gt;1,(H76/(B76+2)+J81),H76/4+J81))</f>
        <v>10.5</v>
      </c>
    </row>
    <row r="83" spans="1:19" ht="15.75" customHeight="1" x14ac:dyDescent="0.25">
      <c r="A83" s="181" t="s">
        <v>135</v>
      </c>
      <c r="B83" s="182" t="s">
        <v>128</v>
      </c>
      <c r="C83" s="102">
        <v>0</v>
      </c>
      <c r="D83" s="103">
        <f ca="1">((100/H76)*C83)/100</f>
        <v>0</v>
      </c>
      <c r="E83" s="277"/>
      <c r="F83" s="278"/>
      <c r="G83" s="277"/>
      <c r="H83" s="282"/>
      <c r="I83" s="13" t="s">
        <v>144</v>
      </c>
      <c r="J83" s="30">
        <f>(IF(B76&gt;1,(H76/(B76+2)+J82),0))</f>
        <v>0</v>
      </c>
    </row>
    <row r="84" spans="1:19" ht="15" customHeight="1" x14ac:dyDescent="0.25">
      <c r="A84" s="181" t="s">
        <v>133</v>
      </c>
      <c r="B84" s="182" t="s">
        <v>130</v>
      </c>
      <c r="C84" s="102">
        <v>0</v>
      </c>
      <c r="D84" s="103">
        <f ca="1">((100/(H76))*C84)/100</f>
        <v>0</v>
      </c>
      <c r="E84" s="277"/>
      <c r="F84" s="278"/>
      <c r="G84" s="277"/>
      <c r="H84" s="282"/>
      <c r="I84" s="13" t="s">
        <v>141</v>
      </c>
      <c r="J84" s="30">
        <f>(IF(B76&gt;2,(H76/(B76+2)+J83),0))</f>
        <v>0</v>
      </c>
    </row>
    <row r="85" spans="1:19" ht="15.75" customHeight="1" x14ac:dyDescent="0.25">
      <c r="A85" s="181" t="s">
        <v>129</v>
      </c>
      <c r="B85" s="182" t="s">
        <v>129</v>
      </c>
      <c r="C85" s="102">
        <v>0</v>
      </c>
      <c r="D85" s="103">
        <f ca="1">((100/H76)*C85)/100</f>
        <v>0</v>
      </c>
      <c r="E85" s="277"/>
      <c r="F85" s="278"/>
      <c r="G85" s="277"/>
      <c r="H85" s="282"/>
      <c r="I85" s="13" t="s">
        <v>142</v>
      </c>
      <c r="J85" s="31">
        <f>(IF(B76&gt;3,(H76/(B76+2)+J84),0))</f>
        <v>0</v>
      </c>
    </row>
    <row r="86" spans="1:19" ht="15.75" customHeight="1" x14ac:dyDescent="0.25">
      <c r="A86" s="181" t="s">
        <v>136</v>
      </c>
      <c r="B86" s="182"/>
      <c r="C86" s="102">
        <v>0</v>
      </c>
      <c r="D86" s="103">
        <f ca="1">((100/H76)*C86)/100</f>
        <v>0</v>
      </c>
      <c r="E86" s="277"/>
      <c r="F86" s="278"/>
      <c r="G86" s="277"/>
      <c r="H86" s="282"/>
      <c r="I86" s="13" t="s">
        <v>143</v>
      </c>
      <c r="J86" s="30">
        <f>(IF(B76&gt;4,(H76/(B76+2)+J85),0))</f>
        <v>0</v>
      </c>
    </row>
    <row r="87" spans="1:19" ht="15.75" customHeight="1" x14ac:dyDescent="0.25">
      <c r="A87" s="181" t="s">
        <v>131</v>
      </c>
      <c r="B87" s="182" t="s">
        <v>131</v>
      </c>
      <c r="C87" s="102">
        <v>0</v>
      </c>
      <c r="D87" s="103">
        <f ca="1">((100/(H76))*C87)/100</f>
        <v>0</v>
      </c>
      <c r="E87" s="277"/>
      <c r="F87" s="278"/>
      <c r="G87" s="277"/>
      <c r="H87" s="282"/>
      <c r="I87" s="13" t="s">
        <v>145</v>
      </c>
      <c r="J87" s="30">
        <f ca="1">(IF(B76=1,(H76/(B76+3)+J82),IF(B76=0,(H76/4+J82),IF(B76&gt;1,0))))</f>
        <v>15.75</v>
      </c>
    </row>
    <row r="88" spans="1:19" ht="16.5" thickBot="1" x14ac:dyDescent="0.3">
      <c r="A88" s="271" t="s">
        <v>132</v>
      </c>
      <c r="B88" s="272"/>
      <c r="C88" s="104">
        <v>0</v>
      </c>
      <c r="D88" s="105">
        <f ca="1">((100/(H76))*C88)/100</f>
        <v>0</v>
      </c>
      <c r="E88" s="279"/>
      <c r="F88" s="280"/>
      <c r="G88" s="279"/>
      <c r="H88" s="283"/>
      <c r="I88" s="15" t="s">
        <v>101</v>
      </c>
      <c r="J88" s="32">
        <f ca="1">(IF(B76&gt;1.5,(H76/(B76+2)+J82+MAX(0,J83-J82)+MAX(0,J84-J83)+MAX(0,J85-J84)+MAX(0,J86-J85)+MAX(0,J87-J86)),IF(B76=1,(H76/(B76+3)+J87),IF(B76=0,H76/4+J87))))</f>
        <v>21</v>
      </c>
    </row>
    <row r="89" spans="1:19" ht="15.75" hidden="1" customHeight="1" x14ac:dyDescent="0.25">
      <c r="A89" s="139" t="s">
        <v>138</v>
      </c>
      <c r="B89" s="140"/>
      <c r="C89" s="141" t="e">
        <f>#REF!</f>
        <v>#REF!</v>
      </c>
      <c r="D89" s="142"/>
      <c r="E89" s="142"/>
      <c r="F89" s="142"/>
      <c r="G89" s="142"/>
      <c r="H89" s="143"/>
      <c r="I89" s="49" t="e">
        <f ca="1">IF(D102=100%,"All work Completed. Possession granted to the Building.",IF(D101=100%,"All work Completed, Waiting for OC",I90&amp;""&amp;I91&amp;""&amp;J90&amp;""&amp;J89&amp;" "&amp;J91))</f>
        <v>#REF!</v>
      </c>
      <c r="J89" s="50" t="e">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#REF!</v>
      </c>
      <c r="S89"/>
    </row>
    <row r="90" spans="1:19" hidden="1" x14ac:dyDescent="0.25">
      <c r="A90" s="16" t="s">
        <v>140</v>
      </c>
      <c r="B90" s="47">
        <f>IF(AND(ISNUMBER(SEARCH("1B",C89))),1,IF(AND(ISNUMBER(SEARCH("2B",C89))),2,IF(AND(ISNUMBER(SEARCH("3B",C89))),3,IF(AND(ISNUMBER(SEARCH("4B",C89))),4,IF(ISNUMBER(SEARCH("5B",C89)),5,0)))))</f>
        <v>0</v>
      </c>
      <c r="C90" s="47" t="s">
        <v>68</v>
      </c>
      <c r="D90" s="47">
        <v>1</v>
      </c>
      <c r="E90" s="47" t="s">
        <v>67</v>
      </c>
      <c r="F90" s="14">
        <v>0</v>
      </c>
      <c r="G90" s="48" t="s">
        <v>76</v>
      </c>
      <c r="H90" s="17" t="e">
        <f ca="1">--TRIM(RIGHT(SUBSTITUTE(LEFT(C89,_xlfn.AGGREGATE(16,6,FIND({0,1,2,3,4,5,6,7,8,9},C89,ROW(INDIRECT("1:"&amp;LEN(C89)))),1))," ",REPT(" ",LEN(C89))),LEN(C89)))</f>
        <v>#REF!</v>
      </c>
      <c r="I90" s="51" t="e">
        <f ca="1">IF(D93=100%,"Excavation","")&amp;IF(D94=100%,", Plinth","")&amp;IF(D95=100%,", RCC Slab","")&amp;IF(D96=100%,", Brickwork","")&amp;IF(D97=100%,", Internal Plaster","")&amp;IF(D98=100%,", External Plaster","")&amp;IF(D99=100%,", Flooring","")&amp;IF(D100=100%,", Painting","")&amp;IF(D101=100%,", Building common Amenities","")</f>
        <v>#REF!</v>
      </c>
      <c r="J90" s="52" t="e">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#REF!</v>
      </c>
      <c r="S90"/>
    </row>
    <row r="91" spans="1:19" ht="36.75" hidden="1" customHeight="1" x14ac:dyDescent="0.25">
      <c r="A91" s="144" t="s">
        <v>86</v>
      </c>
      <c r="B91" s="145"/>
      <c r="C91" s="146" t="e">
        <f ca="1">I89</f>
        <v>#REF!</v>
      </c>
      <c r="D91" s="146"/>
      <c r="E91" s="146"/>
      <c r="F91" s="146"/>
      <c r="G91" s="146"/>
      <c r="H91" s="147"/>
      <c r="I91" s="51" t="e">
        <f ca="1">IF(I90&lt;&gt;""," Completed","")</f>
        <v>#REF!</v>
      </c>
      <c r="J91" s="52" t="e">
        <f ca="1">IF(J89&lt;&gt;"","Completed","")</f>
        <v>#REF!</v>
      </c>
      <c r="S91"/>
    </row>
    <row r="92" spans="1:19" ht="15.75" hidden="1" customHeight="1" x14ac:dyDescent="0.25">
      <c r="A92" s="131" t="s">
        <v>47</v>
      </c>
      <c r="B92" s="132"/>
      <c r="C92" s="43" t="s">
        <v>137</v>
      </c>
      <c r="D92" s="43" t="s">
        <v>79</v>
      </c>
      <c r="E92" s="132" t="s">
        <v>81</v>
      </c>
      <c r="F92" s="132"/>
      <c r="G92" s="132" t="s">
        <v>80</v>
      </c>
      <c r="H92" s="148"/>
      <c r="I92" s="13" t="s">
        <v>139</v>
      </c>
      <c r="J92" s="28" t="e">
        <f ca="1">H90*25%</f>
        <v>#REF!</v>
      </c>
      <c r="S92"/>
    </row>
    <row r="93" spans="1:19" hidden="1" x14ac:dyDescent="0.25">
      <c r="A93" s="131" t="s">
        <v>126</v>
      </c>
      <c r="B93" s="132"/>
      <c r="C93" s="59" t="e">
        <f ca="1">J94</f>
        <v>#REF!</v>
      </c>
      <c r="D93" s="19" t="e">
        <f ca="1">((100/H90)*C93)/100</f>
        <v>#REF!</v>
      </c>
      <c r="E93" s="133" t="e">
        <f ca="1">(((C94/H90*10)+(40/(D90+F90+H90)*C95)+(7.5/(H90)*C96)+(7.5/(H90)*C97)+(10/H90*C98)+(10/H90*C99)+(5/H90*C100)+(5/H90*C101)+(5/H90*C102))/100)</f>
        <v>#REF!</v>
      </c>
      <c r="F93" s="134"/>
      <c r="G93" s="133" t="e">
        <f ca="1">((((C93/H90)*20)+((C94/H90)*25)+(30/(H90+F90+D90)*C95)+(5/H90*C96)+(5/H90*C97)+(5/H90*C98)+(5/H90*C99)+(0/H90*C100)+(0/H90*C101)+(5/H90*C102))/100)</f>
        <v>#REF!</v>
      </c>
      <c r="H93" s="149"/>
      <c r="I93" s="13" t="s">
        <v>97</v>
      </c>
      <c r="J93" s="29" t="e">
        <f ca="1">H90*50%</f>
        <v>#REF!</v>
      </c>
    </row>
    <row r="94" spans="1:19" hidden="1" x14ac:dyDescent="0.25">
      <c r="A94" s="131" t="s">
        <v>48</v>
      </c>
      <c r="B94" s="132"/>
      <c r="C94" s="43" t="e">
        <f ca="1">J102</f>
        <v>#REF!</v>
      </c>
      <c r="D94" s="19" t="e">
        <f ca="1">((100/H90)*C94)/100</f>
        <v>#REF!</v>
      </c>
      <c r="E94" s="135"/>
      <c r="F94" s="136"/>
      <c r="G94" s="135"/>
      <c r="H94" s="150"/>
      <c r="I94" s="13" t="s">
        <v>98</v>
      </c>
      <c r="J94" s="29" t="e">
        <f ca="1">H90</f>
        <v>#REF!</v>
      </c>
      <c r="S94"/>
    </row>
    <row r="95" spans="1:19" ht="15.75" hidden="1" customHeight="1" x14ac:dyDescent="0.25">
      <c r="A95" s="131" t="s">
        <v>127</v>
      </c>
      <c r="B95" s="132"/>
      <c r="C95" s="43">
        <v>0</v>
      </c>
      <c r="D95" s="19" t="e">
        <f ca="1">((100/(D90+F90+H90))*C95)/100</f>
        <v>#REF!</v>
      </c>
      <c r="E95" s="135"/>
      <c r="F95" s="136"/>
      <c r="G95" s="135"/>
      <c r="H95" s="150"/>
      <c r="I95" s="13" t="s">
        <v>99</v>
      </c>
      <c r="J95" s="30" t="e">
        <f ca="1">(IF(B90&gt;1,(H90/(B90+2)),H90/4))</f>
        <v>#REF!</v>
      </c>
      <c r="S95"/>
    </row>
    <row r="96" spans="1:19" ht="15.75" hidden="1" customHeight="1" x14ac:dyDescent="0.25">
      <c r="A96" s="131" t="s">
        <v>134</v>
      </c>
      <c r="B96" s="132" t="s">
        <v>128</v>
      </c>
      <c r="C96" s="43">
        <v>0</v>
      </c>
      <c r="D96" s="19" t="e">
        <f ca="1">((100/H90)*C96)/100</f>
        <v>#REF!</v>
      </c>
      <c r="E96" s="135"/>
      <c r="F96" s="136"/>
      <c r="G96" s="135"/>
      <c r="H96" s="150"/>
      <c r="I96" s="13" t="s">
        <v>100</v>
      </c>
      <c r="J96" s="30" t="e">
        <f ca="1">(IF(B90&gt;1,(H90/(B90+2)+J95),H90/4+J95))</f>
        <v>#REF!</v>
      </c>
    </row>
    <row r="97" spans="1:19" ht="15.75" hidden="1" customHeight="1" x14ac:dyDescent="0.25">
      <c r="A97" s="131" t="s">
        <v>135</v>
      </c>
      <c r="B97" s="132" t="s">
        <v>128</v>
      </c>
      <c r="C97" s="43">
        <v>0</v>
      </c>
      <c r="D97" s="19" t="e">
        <f ca="1">((100/H90)*C97)/100</f>
        <v>#REF!</v>
      </c>
      <c r="E97" s="135"/>
      <c r="F97" s="136"/>
      <c r="G97" s="135"/>
      <c r="H97" s="150"/>
      <c r="I97" s="13" t="s">
        <v>144</v>
      </c>
      <c r="J97" s="30">
        <f>(IF(B90&gt;1,(H90/(B90+2)+J96),0))</f>
        <v>0</v>
      </c>
    </row>
    <row r="98" spans="1:19" ht="15" hidden="1" customHeight="1" x14ac:dyDescent="0.25">
      <c r="A98" s="131" t="s">
        <v>133</v>
      </c>
      <c r="B98" s="132" t="s">
        <v>130</v>
      </c>
      <c r="C98" s="43">
        <v>0</v>
      </c>
      <c r="D98" s="19" t="e">
        <f ca="1">((100/(H90))*C98)/100</f>
        <v>#REF!</v>
      </c>
      <c r="E98" s="135"/>
      <c r="F98" s="136"/>
      <c r="G98" s="135"/>
      <c r="H98" s="150"/>
      <c r="I98" s="13" t="s">
        <v>141</v>
      </c>
      <c r="J98" s="30">
        <f>(IF(B90&gt;2,(H90/(B90+2)+J97),0))</f>
        <v>0</v>
      </c>
    </row>
    <row r="99" spans="1:19" ht="15.75" hidden="1" customHeight="1" x14ac:dyDescent="0.25">
      <c r="A99" s="131" t="s">
        <v>129</v>
      </c>
      <c r="B99" s="132" t="s">
        <v>129</v>
      </c>
      <c r="C99" s="43">
        <v>0</v>
      </c>
      <c r="D99" s="19" t="e">
        <f ca="1">((100/H90)*C99)/100</f>
        <v>#REF!</v>
      </c>
      <c r="E99" s="135"/>
      <c r="F99" s="136"/>
      <c r="G99" s="135"/>
      <c r="H99" s="150"/>
      <c r="I99" s="13" t="s">
        <v>142</v>
      </c>
      <c r="J99" s="31">
        <f>(IF(B90&gt;3,(H90/(B90+2)+J98),0))</f>
        <v>0</v>
      </c>
    </row>
    <row r="100" spans="1:19" ht="15.75" hidden="1" customHeight="1" x14ac:dyDescent="0.25">
      <c r="A100" s="131" t="s">
        <v>136</v>
      </c>
      <c r="B100" s="132"/>
      <c r="C100" s="43">
        <v>0</v>
      </c>
      <c r="D100" s="19" t="e">
        <f ca="1">((100/H90)*C100)/100</f>
        <v>#REF!</v>
      </c>
      <c r="E100" s="135"/>
      <c r="F100" s="136"/>
      <c r="G100" s="135"/>
      <c r="H100" s="150"/>
      <c r="I100" s="13" t="s">
        <v>143</v>
      </c>
      <c r="J100" s="30">
        <f>(IF(B90&gt;4,(H90/(B90+2)+J99),0))</f>
        <v>0</v>
      </c>
    </row>
    <row r="101" spans="1:19" ht="15.75" hidden="1" customHeight="1" x14ac:dyDescent="0.25">
      <c r="A101" s="131" t="s">
        <v>131</v>
      </c>
      <c r="B101" s="132" t="s">
        <v>131</v>
      </c>
      <c r="C101" s="43">
        <v>0</v>
      </c>
      <c r="D101" s="19" t="e">
        <f ca="1">((100/(H90))*C101)/100</f>
        <v>#REF!</v>
      </c>
      <c r="E101" s="135"/>
      <c r="F101" s="136"/>
      <c r="G101" s="135"/>
      <c r="H101" s="150"/>
      <c r="I101" s="13" t="s">
        <v>145</v>
      </c>
      <c r="J101" s="30" t="e">
        <f ca="1">(IF(B90=1,(H90/(B90+3)+J96),IF(B90=0,(H90/4+J96),IF(B90&gt;1,0))))</f>
        <v>#REF!</v>
      </c>
    </row>
    <row r="102" spans="1:19" ht="16.5" hidden="1" thickBot="1" x14ac:dyDescent="0.3">
      <c r="A102" s="116" t="s">
        <v>132</v>
      </c>
      <c r="B102" s="117"/>
      <c r="C102" s="44">
        <v>0</v>
      </c>
      <c r="D102" s="20" t="e">
        <f ca="1">((100/(H90))*C102)/100</f>
        <v>#REF!</v>
      </c>
      <c r="E102" s="137"/>
      <c r="F102" s="138"/>
      <c r="G102" s="137"/>
      <c r="H102" s="151"/>
      <c r="I102" s="15" t="s">
        <v>101</v>
      </c>
      <c r="J102" s="32" t="e">
        <f ca="1">(IF(B90&gt;1.5,(H90/(B90+2)+J96+MAX(0,J97-J96)+MAX(0,J98-J97)+MAX(0,J99-J98)+MAX(0,J100-J99)+MAX(0,J101-J100)),IF(B90=1,(H90/(B90+3)+J101),IF(B90=0,H90/4+J101))))</f>
        <v>#REF!</v>
      </c>
    </row>
    <row r="103" spans="1:19" ht="15.75" hidden="1" customHeight="1" x14ac:dyDescent="0.25">
      <c r="A103" s="139" t="s">
        <v>138</v>
      </c>
      <c r="B103" s="140"/>
      <c r="C103" s="141" t="e">
        <f>#REF!</f>
        <v>#REF!</v>
      </c>
      <c r="D103" s="142"/>
      <c r="E103" s="142"/>
      <c r="F103" s="142"/>
      <c r="G103" s="142"/>
      <c r="H103" s="143"/>
      <c r="I103" s="49" t="e">
        <f ca="1">IF(D116=100%,"All work Completed. Possession granted to the Building.",IF(D115=100%,"All work Completed, Waiting for OC",I104&amp;""&amp;I105&amp;""&amp;J104&amp;""&amp;J103&amp;" "&amp;J105))</f>
        <v>#REF!</v>
      </c>
      <c r="J103" s="50" t="e">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#REF!</v>
      </c>
      <c r="S103"/>
    </row>
    <row r="104" spans="1:19" hidden="1" x14ac:dyDescent="0.25">
      <c r="A104" s="16" t="s">
        <v>140</v>
      </c>
      <c r="B104" s="47">
        <f>IF(AND(ISNUMBER(SEARCH("1B",C103))),1,IF(AND(ISNUMBER(SEARCH("2B",C103))),2,IF(AND(ISNUMBER(SEARCH("3B",C103))),3,IF(AND(ISNUMBER(SEARCH("4B",C103))),4,IF(ISNUMBER(SEARCH("5B",C103)),5,0)))))</f>
        <v>0</v>
      </c>
      <c r="C104" s="47" t="s">
        <v>68</v>
      </c>
      <c r="D104" s="47">
        <v>1</v>
      </c>
      <c r="E104" s="47" t="s">
        <v>67</v>
      </c>
      <c r="F104" s="14">
        <v>0</v>
      </c>
      <c r="G104" s="48" t="s">
        <v>76</v>
      </c>
      <c r="H104" s="17" t="e">
        <f ca="1">--TRIM(RIGHT(SUBSTITUTE(LEFT(C103,_xlfn.AGGREGATE(16,6,FIND({0,1,2,3,4,5,6,7,8,9},C103,ROW(INDIRECT("1:"&amp;LEN(C103)))),1))," ",REPT(" ",LEN(C103))),LEN(C103)))</f>
        <v>#REF!</v>
      </c>
      <c r="I104" s="51" t="e">
        <f ca="1">IF(D107=100%,"Excavation","")&amp;IF(D108=100%,", Plinth","")&amp;IF(D109=100%,", RCC Slab","")&amp;IF(D110=100%,", Brickwork","")&amp;IF(D111=100%,", Internal Plaster","")&amp;IF(D112=100%,", External Plaster","")&amp;IF(D113=100%,", Flooring","")&amp;IF(D114=100%,", Painting","")&amp;IF(D115=100%,", Building common Amenities","")</f>
        <v>#REF!</v>
      </c>
      <c r="J104" s="52" t="e">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#REF!</v>
      </c>
      <c r="S104"/>
    </row>
    <row r="105" spans="1:19" hidden="1" x14ac:dyDescent="0.25">
      <c r="A105" s="144" t="s">
        <v>86</v>
      </c>
      <c r="B105" s="145"/>
      <c r="C105" s="146" t="e">
        <f ca="1">I103</f>
        <v>#REF!</v>
      </c>
      <c r="D105" s="146"/>
      <c r="E105" s="146"/>
      <c r="F105" s="146"/>
      <c r="G105" s="146"/>
      <c r="H105" s="147"/>
      <c r="I105" s="51" t="e">
        <f ca="1">IF(I104&lt;&gt;""," Completed","")</f>
        <v>#REF!</v>
      </c>
      <c r="J105" s="52" t="e">
        <f ca="1">IF(J103&lt;&gt;"","Completed","")</f>
        <v>#REF!</v>
      </c>
      <c r="S105"/>
    </row>
    <row r="106" spans="1:19" ht="15.75" hidden="1" customHeight="1" x14ac:dyDescent="0.25">
      <c r="A106" s="131" t="s">
        <v>47</v>
      </c>
      <c r="B106" s="132"/>
      <c r="C106" s="43" t="s">
        <v>137</v>
      </c>
      <c r="D106" s="43" t="s">
        <v>79</v>
      </c>
      <c r="E106" s="132" t="s">
        <v>81</v>
      </c>
      <c r="F106" s="132"/>
      <c r="G106" s="132" t="s">
        <v>80</v>
      </c>
      <c r="H106" s="148"/>
      <c r="I106" s="13" t="s">
        <v>139</v>
      </c>
      <c r="J106" s="28" t="e">
        <f ca="1">H104*25%</f>
        <v>#REF!</v>
      </c>
      <c r="S106"/>
    </row>
    <row r="107" spans="1:19" hidden="1" x14ac:dyDescent="0.25">
      <c r="A107" s="131" t="s">
        <v>126</v>
      </c>
      <c r="B107" s="132"/>
      <c r="C107" s="59" t="e">
        <f ca="1">J108</f>
        <v>#REF!</v>
      </c>
      <c r="D107" s="19" t="e">
        <f ca="1">((100/H104)*C107)/100</f>
        <v>#REF!</v>
      </c>
      <c r="E107" s="133" t="e">
        <f ca="1">(((C108/H104*10)+(40/(D104+F104+H104)*C109)+(7.5/(H104)*C110)+(7.5/(H104)*C111)+(10/H104*C112)+(10/H104*C113)+(5/H104*C114)+(5/H104*C115)+(5/H104*C116))/100)</f>
        <v>#REF!</v>
      </c>
      <c r="F107" s="134"/>
      <c r="G107" s="133" t="e">
        <f ca="1">((((C107/H104)*20)+((C108/H104)*25)+(30/(H104+F104+D104)*C109)+(5/H104*C110)+(5/H104*C111)+(5/H104*C112)+(5/H104*C113)+(0/H104*C114)+(0/H104*C115)+(5/H104*C116))/100)</f>
        <v>#REF!</v>
      </c>
      <c r="H107" s="149"/>
      <c r="I107" s="13" t="s">
        <v>97</v>
      </c>
      <c r="J107" s="29" t="e">
        <f ca="1">H104*50%</f>
        <v>#REF!</v>
      </c>
    </row>
    <row r="108" spans="1:19" hidden="1" x14ac:dyDescent="0.25">
      <c r="A108" s="131" t="s">
        <v>48</v>
      </c>
      <c r="B108" s="132"/>
      <c r="C108" s="43" t="e">
        <f ca="1">J116</f>
        <v>#REF!</v>
      </c>
      <c r="D108" s="19" t="e">
        <f ca="1">((100/H104)*C108)/100</f>
        <v>#REF!</v>
      </c>
      <c r="E108" s="135"/>
      <c r="F108" s="136"/>
      <c r="G108" s="135"/>
      <c r="H108" s="150"/>
      <c r="I108" s="13" t="s">
        <v>98</v>
      </c>
      <c r="J108" s="29" t="e">
        <f ca="1">H104</f>
        <v>#REF!</v>
      </c>
      <c r="S108"/>
    </row>
    <row r="109" spans="1:19" ht="15.75" hidden="1" customHeight="1" x14ac:dyDescent="0.25">
      <c r="A109" s="131" t="s">
        <v>127</v>
      </c>
      <c r="B109" s="132"/>
      <c r="C109" s="43">
        <v>0</v>
      </c>
      <c r="D109" s="19" t="e">
        <f ca="1">((100/(D104+F104+H104))*C109)/100</f>
        <v>#REF!</v>
      </c>
      <c r="E109" s="135"/>
      <c r="F109" s="136"/>
      <c r="G109" s="135"/>
      <c r="H109" s="150"/>
      <c r="I109" s="13" t="s">
        <v>99</v>
      </c>
      <c r="J109" s="30" t="e">
        <f ca="1">(IF(B104&gt;1,(H104/(B104+2)),H104/4))</f>
        <v>#REF!</v>
      </c>
      <c r="S109"/>
    </row>
    <row r="110" spans="1:19" ht="15.75" hidden="1" customHeight="1" x14ac:dyDescent="0.25">
      <c r="A110" s="131" t="s">
        <v>134</v>
      </c>
      <c r="B110" s="132" t="s">
        <v>128</v>
      </c>
      <c r="C110" s="43">
        <v>0</v>
      </c>
      <c r="D110" s="19" t="e">
        <f ca="1">((100/H104)*C110)/100</f>
        <v>#REF!</v>
      </c>
      <c r="E110" s="135"/>
      <c r="F110" s="136"/>
      <c r="G110" s="135"/>
      <c r="H110" s="150"/>
      <c r="I110" s="13" t="s">
        <v>100</v>
      </c>
      <c r="J110" s="30" t="e">
        <f ca="1">(IF(B104&gt;1,(H104/(B104+2)+J109),H104/4+J109))</f>
        <v>#REF!</v>
      </c>
    </row>
    <row r="111" spans="1:19" ht="15.75" hidden="1" customHeight="1" x14ac:dyDescent="0.25">
      <c r="A111" s="131" t="s">
        <v>135</v>
      </c>
      <c r="B111" s="132" t="s">
        <v>128</v>
      </c>
      <c r="C111" s="43">
        <v>0</v>
      </c>
      <c r="D111" s="19" t="e">
        <f ca="1">((100/H104)*C111)/100</f>
        <v>#REF!</v>
      </c>
      <c r="E111" s="135"/>
      <c r="F111" s="136"/>
      <c r="G111" s="135"/>
      <c r="H111" s="150"/>
      <c r="I111" s="13" t="s">
        <v>144</v>
      </c>
      <c r="J111" s="30">
        <f>(IF(B104&gt;1,(H104/(B104+2)+J110),0))</f>
        <v>0</v>
      </c>
    </row>
    <row r="112" spans="1:19" ht="15" hidden="1" customHeight="1" x14ac:dyDescent="0.25">
      <c r="A112" s="131" t="s">
        <v>133</v>
      </c>
      <c r="B112" s="132" t="s">
        <v>130</v>
      </c>
      <c r="C112" s="43">
        <v>0</v>
      </c>
      <c r="D112" s="19" t="e">
        <f ca="1">((100/(H104))*C112)/100</f>
        <v>#REF!</v>
      </c>
      <c r="E112" s="135"/>
      <c r="F112" s="136"/>
      <c r="G112" s="135"/>
      <c r="H112" s="150"/>
      <c r="I112" s="13" t="s">
        <v>141</v>
      </c>
      <c r="J112" s="30">
        <f>(IF(B104&gt;2,(H104/(B104+2)+J111),0))</f>
        <v>0</v>
      </c>
    </row>
    <row r="113" spans="1:22" ht="15.75" hidden="1" customHeight="1" x14ac:dyDescent="0.25">
      <c r="A113" s="131" t="s">
        <v>129</v>
      </c>
      <c r="B113" s="132" t="s">
        <v>129</v>
      </c>
      <c r="C113" s="43">
        <v>0</v>
      </c>
      <c r="D113" s="19" t="e">
        <f ca="1">((100/H104)*C113)/100</f>
        <v>#REF!</v>
      </c>
      <c r="E113" s="135"/>
      <c r="F113" s="136"/>
      <c r="G113" s="135"/>
      <c r="H113" s="150"/>
      <c r="I113" s="13" t="s">
        <v>142</v>
      </c>
      <c r="J113" s="31">
        <f>(IF(B104&gt;3,(H104/(B104+2)+J112),0))</f>
        <v>0</v>
      </c>
    </row>
    <row r="114" spans="1:22" ht="15.75" hidden="1" customHeight="1" x14ac:dyDescent="0.25">
      <c r="A114" s="131" t="s">
        <v>136</v>
      </c>
      <c r="B114" s="132"/>
      <c r="C114" s="43">
        <v>0</v>
      </c>
      <c r="D114" s="19" t="e">
        <f ca="1">((100/H104)*C114)/100</f>
        <v>#REF!</v>
      </c>
      <c r="E114" s="135"/>
      <c r="F114" s="136"/>
      <c r="G114" s="135"/>
      <c r="H114" s="150"/>
      <c r="I114" s="13" t="s">
        <v>143</v>
      </c>
      <c r="J114" s="30">
        <f>(IF(B104&gt;4,(H104/(B104+2)+J113),0))</f>
        <v>0</v>
      </c>
    </row>
    <row r="115" spans="1:22" ht="15.75" hidden="1" customHeight="1" x14ac:dyDescent="0.25">
      <c r="A115" s="131" t="s">
        <v>131</v>
      </c>
      <c r="B115" s="132" t="s">
        <v>131</v>
      </c>
      <c r="C115" s="43">
        <v>0</v>
      </c>
      <c r="D115" s="19" t="e">
        <f ca="1">((100/(H104))*C115)/100</f>
        <v>#REF!</v>
      </c>
      <c r="E115" s="135"/>
      <c r="F115" s="136"/>
      <c r="G115" s="135"/>
      <c r="H115" s="150"/>
      <c r="I115" s="13" t="s">
        <v>145</v>
      </c>
      <c r="J115" s="30" t="e">
        <f ca="1">(IF(B104=1,(H104/(B104+3)+J110),IF(B104=0,(H104/4+J110),IF(B104&gt;1,0))))</f>
        <v>#REF!</v>
      </c>
    </row>
    <row r="116" spans="1:22" ht="16.5" hidden="1" thickBot="1" x14ac:dyDescent="0.3">
      <c r="A116" s="116" t="s">
        <v>132</v>
      </c>
      <c r="B116" s="117"/>
      <c r="C116" s="44">
        <v>0</v>
      </c>
      <c r="D116" s="20" t="e">
        <f ca="1">((100/(H104))*C116)/100</f>
        <v>#REF!</v>
      </c>
      <c r="E116" s="137"/>
      <c r="F116" s="138"/>
      <c r="G116" s="137"/>
      <c r="H116" s="151"/>
      <c r="I116" s="15" t="s">
        <v>101</v>
      </c>
      <c r="J116" s="32" t="e">
        <f ca="1">(IF(B104&gt;1.5,(H104/(B104+2)+J110+MAX(0,J111-J110)+MAX(0,J112-J111)+MAX(0,J113-J112)+MAX(0,J114-J113)+MAX(0,J115-J114)),IF(B104=1,(H104/(B104+3)+J115),IF(B104=0,H104/4+J115))))</f>
        <v>#REF!</v>
      </c>
    </row>
    <row r="117" spans="1:22" x14ac:dyDescent="0.25">
      <c r="A117" s="274" t="s">
        <v>155</v>
      </c>
      <c r="B117" s="274"/>
      <c r="C117" s="274"/>
      <c r="D117" s="274"/>
      <c r="E117" s="274"/>
      <c r="F117" s="129" t="s">
        <v>159</v>
      </c>
      <c r="G117" s="129"/>
      <c r="H117" s="129"/>
      <c r="R117" t="s">
        <v>249</v>
      </c>
      <c r="S117" t="s">
        <v>170</v>
      </c>
      <c r="T117" t="s">
        <v>177</v>
      </c>
      <c r="U117" t="s">
        <v>191</v>
      </c>
      <c r="V117" t="s">
        <v>186</v>
      </c>
    </row>
    <row r="118" spans="1:22" x14ac:dyDescent="0.25">
      <c r="A118" s="152" t="s">
        <v>157</v>
      </c>
      <c r="B118" s="152"/>
      <c r="C118" s="152"/>
      <c r="D118" s="152"/>
      <c r="E118" s="152"/>
      <c r="F118" s="130">
        <v>20000</v>
      </c>
      <c r="G118" s="130"/>
      <c r="H118" s="130"/>
      <c r="R118"/>
      <c r="S118">
        <v>800000</v>
      </c>
      <c r="T118">
        <v>150000</v>
      </c>
      <c r="U118">
        <v>100000</v>
      </c>
      <c r="V118">
        <v>100000</v>
      </c>
    </row>
    <row r="119" spans="1:22" x14ac:dyDescent="0.25">
      <c r="A119" s="152" t="s">
        <v>156</v>
      </c>
      <c r="B119" s="152"/>
      <c r="C119" s="152"/>
      <c r="D119" s="152"/>
      <c r="E119" s="152"/>
      <c r="F119" s="130">
        <v>35000</v>
      </c>
      <c r="G119" s="130"/>
      <c r="H119" s="130"/>
      <c r="R119"/>
      <c r="S119">
        <v>900000</v>
      </c>
      <c r="T119">
        <v>200000</v>
      </c>
      <c r="U119">
        <v>150000</v>
      </c>
      <c r="V119">
        <v>150000</v>
      </c>
    </row>
    <row r="120" spans="1:22" hidden="1" x14ac:dyDescent="0.25">
      <c r="A120" s="152" t="s">
        <v>158</v>
      </c>
      <c r="B120" s="152"/>
      <c r="C120" s="152"/>
      <c r="D120" s="152"/>
      <c r="E120" s="152"/>
      <c r="F120" s="130"/>
      <c r="G120" s="130"/>
      <c r="H120" s="130"/>
      <c r="R120"/>
      <c r="S120">
        <v>1000000</v>
      </c>
      <c r="T120">
        <v>250000</v>
      </c>
      <c r="U120">
        <v>200000</v>
      </c>
      <c r="V120">
        <v>200000</v>
      </c>
    </row>
    <row r="121" spans="1:22" s="33" customFormat="1" hidden="1" x14ac:dyDescent="0.25">
      <c r="A121" s="152" t="s">
        <v>173</v>
      </c>
      <c r="B121" s="152"/>
      <c r="C121" s="152"/>
      <c r="D121" s="152"/>
      <c r="E121" s="152"/>
      <c r="F121" s="130"/>
      <c r="G121" s="130"/>
      <c r="H121" s="130"/>
      <c r="R121"/>
      <c r="S121">
        <v>1100000</v>
      </c>
      <c r="T121">
        <v>300000</v>
      </c>
      <c r="U121">
        <v>250000</v>
      </c>
      <c r="V121" s="23">
        <v>250000</v>
      </c>
    </row>
    <row r="122" spans="1:22" s="33" customFormat="1" hidden="1" x14ac:dyDescent="0.25">
      <c r="A122" s="152" t="s">
        <v>91</v>
      </c>
      <c r="B122" s="152"/>
      <c r="C122" s="152"/>
      <c r="D122" s="152"/>
      <c r="E122" s="152"/>
      <c r="F122" s="130"/>
      <c r="G122" s="130"/>
      <c r="H122" s="130"/>
      <c r="R122"/>
      <c r="S122">
        <v>1200000</v>
      </c>
      <c r="T122">
        <v>350000</v>
      </c>
      <c r="U122">
        <v>300000</v>
      </c>
      <c r="V122">
        <v>300000</v>
      </c>
    </row>
    <row r="123" spans="1:22" s="33" customFormat="1" hidden="1" x14ac:dyDescent="0.25">
      <c r="A123" s="152" t="s">
        <v>92</v>
      </c>
      <c r="B123" s="152"/>
      <c r="C123" s="152"/>
      <c r="D123" s="152"/>
      <c r="E123" s="152"/>
      <c r="F123" s="130"/>
      <c r="G123" s="130"/>
      <c r="H123" s="130"/>
      <c r="R123"/>
      <c r="S123">
        <v>1300000</v>
      </c>
      <c r="T123">
        <v>400000</v>
      </c>
      <c r="U123">
        <v>350000</v>
      </c>
      <c r="V123" s="23">
        <v>400000</v>
      </c>
    </row>
    <row r="124" spans="1:22" s="33" customFormat="1" hidden="1" x14ac:dyDescent="0.25">
      <c r="A124" s="152" t="s">
        <v>93</v>
      </c>
      <c r="B124" s="152"/>
      <c r="C124" s="152"/>
      <c r="D124" s="152"/>
      <c r="E124" s="152"/>
      <c r="F124" s="130"/>
      <c r="G124" s="130"/>
      <c r="H124" s="130"/>
      <c r="R124"/>
      <c r="S124">
        <v>1400000</v>
      </c>
      <c r="T124">
        <v>500000</v>
      </c>
      <c r="U124">
        <v>400000</v>
      </c>
      <c r="V124"/>
    </row>
    <row r="125" spans="1:22" s="33" customFormat="1" hidden="1" x14ac:dyDescent="0.25">
      <c r="A125" s="152" t="s">
        <v>94</v>
      </c>
      <c r="B125" s="152"/>
      <c r="C125" s="152"/>
      <c r="D125" s="152"/>
      <c r="E125" s="152"/>
      <c r="F125" s="130"/>
      <c r="G125" s="130"/>
      <c r="H125" s="130"/>
      <c r="R125"/>
      <c r="S125">
        <v>1500000</v>
      </c>
      <c r="T125">
        <v>600000</v>
      </c>
      <c r="U125">
        <v>500000</v>
      </c>
      <c r="V125" s="23"/>
    </row>
    <row r="126" spans="1:22" s="33" customFormat="1" hidden="1" x14ac:dyDescent="0.25">
      <c r="A126" s="152" t="s">
        <v>95</v>
      </c>
      <c r="B126" s="152"/>
      <c r="C126" s="152"/>
      <c r="D126" s="152"/>
      <c r="E126" s="152"/>
      <c r="F126" s="130"/>
      <c r="G126" s="130"/>
      <c r="H126" s="130"/>
      <c r="R126"/>
      <c r="S126">
        <v>1600000</v>
      </c>
      <c r="T126">
        <v>700000</v>
      </c>
      <c r="U126">
        <v>600000</v>
      </c>
      <c r="V126"/>
    </row>
    <row r="127" spans="1:22" s="33" customFormat="1" hidden="1" x14ac:dyDescent="0.25">
      <c r="A127" s="152" t="s">
        <v>96</v>
      </c>
      <c r="B127" s="152"/>
      <c r="C127" s="152"/>
      <c r="D127" s="152"/>
      <c r="E127" s="152"/>
      <c r="F127" s="130"/>
      <c r="G127" s="130"/>
      <c r="H127" s="130"/>
      <c r="R127"/>
      <c r="S127">
        <v>1700000</v>
      </c>
      <c r="T127">
        <v>800000</v>
      </c>
      <c r="U127"/>
      <c r="V127" s="23"/>
    </row>
    <row r="128" spans="1:22" x14ac:dyDescent="0.25">
      <c r="A128" s="152" t="s">
        <v>49</v>
      </c>
      <c r="B128" s="152"/>
      <c r="C128" s="152"/>
      <c r="D128" s="152"/>
      <c r="E128" s="152"/>
      <c r="F128" s="130">
        <v>800000</v>
      </c>
      <c r="G128" s="130"/>
      <c r="H128" s="130"/>
      <c r="R128"/>
      <c r="S128">
        <v>1800000</v>
      </c>
      <c r="T128">
        <v>900000</v>
      </c>
      <c r="U128"/>
    </row>
    <row r="129" spans="1:22" s="34" customFormat="1" x14ac:dyDescent="0.25">
      <c r="A129" s="251" t="s">
        <v>50</v>
      </c>
      <c r="B129" s="251"/>
      <c r="C129" s="251"/>
      <c r="D129" s="251"/>
      <c r="E129" s="251"/>
      <c r="F129" s="130">
        <f>F118*0.8</f>
        <v>16000</v>
      </c>
      <c r="G129" s="130"/>
      <c r="H129" s="130"/>
      <c r="R129" s="21"/>
      <c r="S129" s="21"/>
      <c r="T129">
        <v>1000000</v>
      </c>
      <c r="U129"/>
      <c r="V129" s="21"/>
    </row>
    <row r="130" spans="1:22" s="35" customFormat="1" ht="15.75" customHeight="1" x14ac:dyDescent="0.25">
      <c r="A130" s="157" t="s">
        <v>71</v>
      </c>
      <c r="B130" s="157"/>
      <c r="C130" s="157"/>
      <c r="D130" s="157"/>
      <c r="E130" s="157"/>
      <c r="F130" s="157"/>
      <c r="G130" s="157"/>
      <c r="H130" s="157"/>
      <c r="R130"/>
      <c r="S130" s="21"/>
      <c r="T130"/>
      <c r="U130"/>
      <c r="V130" s="21"/>
    </row>
    <row r="131" spans="1:22" s="35" customFormat="1" ht="15.75" customHeight="1" x14ac:dyDescent="0.25">
      <c r="A131" s="162" t="s">
        <v>51</v>
      </c>
      <c r="B131" s="162"/>
      <c r="C131" s="159" t="s">
        <v>74</v>
      </c>
      <c r="D131" s="159"/>
      <c r="E131" s="161" t="s">
        <v>52</v>
      </c>
      <c r="F131" s="161"/>
      <c r="G131" s="162" t="s">
        <v>53</v>
      </c>
      <c r="H131" s="162"/>
      <c r="R131"/>
      <c r="S131" s="21"/>
      <c r="T131"/>
      <c r="U131" s="21"/>
      <c r="V131" s="21"/>
    </row>
    <row r="132" spans="1:22" s="35" customFormat="1" x14ac:dyDescent="0.25">
      <c r="A132" s="258" t="s">
        <v>402</v>
      </c>
      <c r="B132" s="46" t="s">
        <v>426</v>
      </c>
      <c r="C132" s="125">
        <f>COUNT(F146:F147,F149:F152)+COUNT(F156)</f>
        <v>7</v>
      </c>
      <c r="D132" s="125"/>
      <c r="E132" s="125">
        <f>SUM(F146:F147,F149:F152)+SUM(F156)</f>
        <v>15332.349240000001</v>
      </c>
      <c r="F132" s="125"/>
      <c r="G132" s="125">
        <f>SUM(H146:H147,H149:H152)+SUM(H156)</f>
        <v>23765.141321999999</v>
      </c>
      <c r="H132" s="125"/>
      <c r="I132" s="97"/>
      <c r="R132"/>
      <c r="S132" s="21"/>
      <c r="T132"/>
      <c r="U132" s="21"/>
      <c r="V132" s="21"/>
    </row>
    <row r="133" spans="1:22" s="35" customFormat="1" x14ac:dyDescent="0.25">
      <c r="A133" s="259"/>
      <c r="B133" s="46" t="s">
        <v>427</v>
      </c>
      <c r="C133" s="125">
        <f>COUNT(F148)</f>
        <v>1</v>
      </c>
      <c r="D133" s="125"/>
      <c r="E133" s="125">
        <f>SUM(F148)</f>
        <v>1112.6746800000001</v>
      </c>
      <c r="F133" s="125"/>
      <c r="G133" s="125">
        <f>SUM(H148)</f>
        <v>1724.6457540000001</v>
      </c>
      <c r="H133" s="125"/>
      <c r="I133" s="97"/>
      <c r="R133"/>
      <c r="S133" s="21"/>
      <c r="T133"/>
      <c r="U133" s="21"/>
      <c r="V133" s="21"/>
    </row>
    <row r="134" spans="1:22" s="35" customFormat="1" x14ac:dyDescent="0.25">
      <c r="A134" s="157" t="s">
        <v>148</v>
      </c>
      <c r="B134" s="157"/>
      <c r="C134" s="158">
        <f t="shared" ref="C134:G134" si="0">SUM(C132:D133)</f>
        <v>8</v>
      </c>
      <c r="D134" s="159"/>
      <c r="E134" s="160">
        <f t="shared" si="0"/>
        <v>16445.02392</v>
      </c>
      <c r="F134" s="161"/>
      <c r="G134" s="162">
        <f t="shared" si="0"/>
        <v>25489.787076000001</v>
      </c>
      <c r="H134" s="162"/>
      <c r="R134"/>
      <c r="S134" s="21"/>
      <c r="T134"/>
      <c r="U134" s="21"/>
      <c r="V134" s="21"/>
    </row>
    <row r="135" spans="1:22" s="35" customFormat="1" x14ac:dyDescent="0.25">
      <c r="A135" s="157" t="s">
        <v>66</v>
      </c>
      <c r="B135" s="157"/>
      <c r="C135" s="157"/>
      <c r="D135" s="157"/>
      <c r="E135" s="157"/>
      <c r="F135" s="157"/>
      <c r="G135" s="157"/>
      <c r="H135" s="157"/>
      <c r="T135"/>
    </row>
    <row r="136" spans="1:22" s="35" customFormat="1" ht="15.75" customHeight="1" x14ac:dyDescent="0.25">
      <c r="A136" s="162" t="s">
        <v>51</v>
      </c>
      <c r="B136" s="162"/>
      <c r="C136" s="159" t="s">
        <v>74</v>
      </c>
      <c r="D136" s="159"/>
      <c r="E136" s="161" t="s">
        <v>52</v>
      </c>
      <c r="F136" s="161"/>
      <c r="G136" s="162" t="s">
        <v>53</v>
      </c>
      <c r="H136" s="162"/>
      <c r="T136"/>
    </row>
    <row r="137" spans="1:22" s="35" customFormat="1" x14ac:dyDescent="0.25">
      <c r="A137" s="252" t="s">
        <v>425</v>
      </c>
      <c r="B137" s="252"/>
      <c r="C137" s="125">
        <f>COUNT(D167:D170)</f>
        <v>4</v>
      </c>
      <c r="D137" s="125"/>
      <c r="E137" s="125">
        <f t="shared" ref="E137" si="1">SUM(F167:F170)</f>
        <v>2566.6219799999999</v>
      </c>
      <c r="F137" s="125"/>
      <c r="G137" s="125">
        <f t="shared" ref="G137" si="2">SUM(H167:H170)</f>
        <v>3849.9329699999998</v>
      </c>
      <c r="H137" s="125"/>
      <c r="I137" s="97"/>
      <c r="T137"/>
    </row>
    <row r="138" spans="1:22" s="35" customFormat="1" ht="16.5" thickBot="1" x14ac:dyDescent="0.3">
      <c r="A138" s="153" t="s">
        <v>148</v>
      </c>
      <c r="B138" s="153"/>
      <c r="C138" s="253">
        <f>SUM(C137)</f>
        <v>4</v>
      </c>
      <c r="D138" s="254"/>
      <c r="E138" s="154">
        <f>SUM(E137)</f>
        <v>2566.6219799999999</v>
      </c>
      <c r="F138" s="155"/>
      <c r="G138" s="156">
        <f>SUM(G137)</f>
        <v>3849.9329699999998</v>
      </c>
      <c r="H138" s="156"/>
      <c r="T138"/>
    </row>
    <row r="139" spans="1:22" s="35" customFormat="1" ht="16.5" thickBot="1" x14ac:dyDescent="0.3">
      <c r="A139" s="164" t="s">
        <v>164</v>
      </c>
      <c r="B139" s="165"/>
      <c r="C139" s="163">
        <f>C134+C138</f>
        <v>12</v>
      </c>
      <c r="D139" s="163"/>
      <c r="E139" s="187">
        <f>E134+E138</f>
        <v>19011.6459</v>
      </c>
      <c r="F139" s="187"/>
      <c r="G139" s="171">
        <f>G134+G138</f>
        <v>29339.720046000002</v>
      </c>
      <c r="H139" s="172"/>
      <c r="T139"/>
    </row>
    <row r="140" spans="1:22" s="34" customFormat="1" x14ac:dyDescent="0.25">
      <c r="A140" s="273" t="s">
        <v>350</v>
      </c>
      <c r="B140" s="273"/>
      <c r="C140" s="273"/>
      <c r="D140" s="273"/>
      <c r="E140" s="273"/>
      <c r="F140" s="273"/>
      <c r="G140" s="273"/>
      <c r="H140" s="273"/>
      <c r="T140" s="35"/>
    </row>
    <row r="141" spans="1:22" x14ac:dyDescent="0.25">
      <c r="A141" s="262" t="s">
        <v>172</v>
      </c>
      <c r="B141" s="262"/>
      <c r="C141" s="262"/>
      <c r="D141" s="262"/>
      <c r="E141" s="262"/>
      <c r="F141" s="262"/>
      <c r="G141" s="262"/>
      <c r="H141" s="262"/>
      <c r="T141" s="35"/>
    </row>
    <row r="142" spans="1:22" ht="47.25" customHeight="1" x14ac:dyDescent="0.25">
      <c r="A142" s="118" t="s">
        <v>116</v>
      </c>
      <c r="B142" s="120" t="s">
        <v>416</v>
      </c>
      <c r="C142" s="118" t="s">
        <v>54</v>
      </c>
      <c r="D142" s="120" t="s">
        <v>404</v>
      </c>
      <c r="E142" s="185" t="s">
        <v>154</v>
      </c>
      <c r="F142" s="118" t="s">
        <v>55</v>
      </c>
      <c r="G142" s="169" t="s">
        <v>56</v>
      </c>
      <c r="H142" s="95" t="s">
        <v>147</v>
      </c>
      <c r="I142" s="21">
        <f>10.764</f>
        <v>10.763999999999999</v>
      </c>
      <c r="T142" s="35"/>
    </row>
    <row r="143" spans="1:22" s="37" customFormat="1" x14ac:dyDescent="0.25">
      <c r="A143" s="119"/>
      <c r="B143" s="121"/>
      <c r="C143" s="119"/>
      <c r="D143" s="121"/>
      <c r="E143" s="186"/>
      <c r="F143" s="119"/>
      <c r="G143" s="170"/>
      <c r="H143" s="94">
        <v>0.55000000000000004</v>
      </c>
      <c r="T143" s="35"/>
    </row>
    <row r="144" spans="1:22" s="37" customFormat="1" x14ac:dyDescent="0.25">
      <c r="A144" s="107" t="s">
        <v>403</v>
      </c>
      <c r="B144" s="108"/>
      <c r="C144" s="108"/>
      <c r="D144" s="108"/>
      <c r="E144" s="108"/>
      <c r="F144" s="108"/>
      <c r="G144" s="108"/>
      <c r="H144" s="109"/>
      <c r="J144" s="36"/>
      <c r="T144" s="35"/>
    </row>
    <row r="145" spans="1:20" s="37" customFormat="1" x14ac:dyDescent="0.25">
      <c r="A145" s="107" t="s">
        <v>401</v>
      </c>
      <c r="B145" s="108"/>
      <c r="C145" s="108"/>
      <c r="D145" s="108"/>
      <c r="E145" s="108"/>
      <c r="F145" s="108"/>
      <c r="G145" s="108"/>
      <c r="H145" s="109"/>
      <c r="J145" s="36"/>
      <c r="T145" s="35"/>
    </row>
    <row r="146" spans="1:20" s="37" customFormat="1" ht="38.450000000000003" customHeight="1" x14ac:dyDescent="0.25">
      <c r="A146" s="42">
        <v>1</v>
      </c>
      <c r="B146" s="42" t="s">
        <v>417</v>
      </c>
      <c r="C146" s="42" t="s">
        <v>414</v>
      </c>
      <c r="D146" s="98">
        <f>(121.47+121.47)*(10.764)</f>
        <v>2615.0061599999999</v>
      </c>
      <c r="E146" s="42">
        <v>0</v>
      </c>
      <c r="F146" s="42">
        <f t="shared" ref="F146:F152" si="3">D146+(IF(E146&lt;201,E146,IF(E146&lt;301,E146/2,E146/3)))</f>
        <v>2615.0061599999999</v>
      </c>
      <c r="G146" s="42">
        <v>0</v>
      </c>
      <c r="H146" s="42">
        <f t="shared" ref="H146:H152" si="4">(F146+(IF(G146&lt;101,G146,IF(G146&lt;201,G146/2,IF(G146&lt;=301,G146/3,G146/4)))))*(($H$143)+1)</f>
        <v>4053.259548</v>
      </c>
      <c r="I146" s="36"/>
      <c r="L146" s="106"/>
      <c r="M146" s="106"/>
      <c r="N146" s="36"/>
      <c r="T146" s="35"/>
    </row>
    <row r="147" spans="1:20" s="37" customFormat="1" ht="38.450000000000003" customHeight="1" x14ac:dyDescent="0.25">
      <c r="A147" s="42">
        <f t="shared" ref="A147:A152" si="5">A146+1</f>
        <v>2</v>
      </c>
      <c r="B147" s="42" t="s">
        <v>417</v>
      </c>
      <c r="C147" s="42" t="s">
        <v>414</v>
      </c>
      <c r="D147" s="98">
        <f>(130+130)*(10.764)</f>
        <v>2798.64</v>
      </c>
      <c r="E147" s="42">
        <v>0</v>
      </c>
      <c r="F147" s="42">
        <f t="shared" si="3"/>
        <v>2798.64</v>
      </c>
      <c r="G147" s="42">
        <v>0</v>
      </c>
      <c r="H147" s="42">
        <f t="shared" si="4"/>
        <v>4337.8919999999998</v>
      </c>
      <c r="I147" s="36"/>
      <c r="L147" s="106"/>
      <c r="M147" s="106"/>
      <c r="N147" s="36"/>
      <c r="T147" s="34"/>
    </row>
    <row r="148" spans="1:20" s="37" customFormat="1" x14ac:dyDescent="0.25">
      <c r="A148" s="42">
        <f t="shared" si="5"/>
        <v>3</v>
      </c>
      <c r="B148" s="42" t="s">
        <v>418</v>
      </c>
      <c r="C148" s="42" t="s">
        <v>402</v>
      </c>
      <c r="D148" s="98">
        <f>(103.37)*(10.764)</f>
        <v>1112.6746800000001</v>
      </c>
      <c r="E148" s="42">
        <v>0</v>
      </c>
      <c r="F148" s="42">
        <f t="shared" si="3"/>
        <v>1112.6746800000001</v>
      </c>
      <c r="G148" s="42">
        <v>0</v>
      </c>
      <c r="H148" s="42">
        <f t="shared" si="4"/>
        <v>1724.6457540000001</v>
      </c>
      <c r="I148" s="36"/>
      <c r="L148" s="106"/>
      <c r="M148" s="106"/>
      <c r="N148" s="36"/>
      <c r="T148" s="21"/>
    </row>
    <row r="149" spans="1:20" s="37" customFormat="1" ht="47.25" customHeight="1" x14ac:dyDescent="0.25">
      <c r="A149" s="42">
        <f t="shared" si="5"/>
        <v>4</v>
      </c>
      <c r="B149" s="42" t="s">
        <v>417</v>
      </c>
      <c r="C149" s="42" t="s">
        <v>414</v>
      </c>
      <c r="D149" s="98">
        <f>(102.01+102.01)*(10.764)</f>
        <v>2196.0712800000001</v>
      </c>
      <c r="E149" s="42">
        <v>0</v>
      </c>
      <c r="F149" s="42">
        <f t="shared" si="3"/>
        <v>2196.0712800000001</v>
      </c>
      <c r="G149" s="42">
        <v>0</v>
      </c>
      <c r="H149" s="42">
        <f t="shared" si="4"/>
        <v>3403.9104840000005</v>
      </c>
      <c r="I149" s="36"/>
      <c r="L149" s="106"/>
      <c r="M149" s="106"/>
      <c r="N149" s="36"/>
      <c r="T149" s="21"/>
    </row>
    <row r="150" spans="1:20" s="37" customFormat="1" ht="38.450000000000003" customHeight="1" x14ac:dyDescent="0.25">
      <c r="A150" s="42">
        <f t="shared" si="5"/>
        <v>5</v>
      </c>
      <c r="B150" s="42" t="s">
        <v>417</v>
      </c>
      <c r="C150" s="42" t="s">
        <v>414</v>
      </c>
      <c r="D150" s="98">
        <f>(92.56+92.56)*(10.764)</f>
        <v>1992.63168</v>
      </c>
      <c r="E150" s="42">
        <v>0</v>
      </c>
      <c r="F150" s="42">
        <f t="shared" si="3"/>
        <v>1992.63168</v>
      </c>
      <c r="G150" s="42">
        <v>0</v>
      </c>
      <c r="H150" s="42">
        <f t="shared" si="4"/>
        <v>3088.5791039999999</v>
      </c>
      <c r="I150" s="36"/>
      <c r="L150" s="106"/>
      <c r="M150" s="106"/>
      <c r="N150" s="36"/>
      <c r="T150" s="34"/>
    </row>
    <row r="151" spans="1:20" s="37" customFormat="1" ht="38.450000000000003" customHeight="1" x14ac:dyDescent="0.25">
      <c r="A151" s="42">
        <f t="shared" si="5"/>
        <v>6</v>
      </c>
      <c r="B151" s="42" t="s">
        <v>417</v>
      </c>
      <c r="C151" s="42" t="s">
        <v>414</v>
      </c>
      <c r="D151" s="98">
        <f>(86.02+86.02)*(10.764)</f>
        <v>1851.8385599999997</v>
      </c>
      <c r="E151" s="42">
        <v>0</v>
      </c>
      <c r="F151" s="42">
        <f t="shared" si="3"/>
        <v>1851.8385599999997</v>
      </c>
      <c r="G151" s="42">
        <v>0</v>
      </c>
      <c r="H151" s="42">
        <f t="shared" si="4"/>
        <v>2870.3497679999996</v>
      </c>
      <c r="I151" s="36"/>
      <c r="L151" s="106"/>
      <c r="M151" s="106"/>
      <c r="N151" s="36"/>
      <c r="T151" s="21"/>
    </row>
    <row r="152" spans="1:20" s="37" customFormat="1" ht="38.450000000000003" customHeight="1" x14ac:dyDescent="0.25">
      <c r="A152" s="42">
        <f t="shared" si="5"/>
        <v>7</v>
      </c>
      <c r="B152" s="42" t="s">
        <v>417</v>
      </c>
      <c r="C152" s="42" t="s">
        <v>414</v>
      </c>
      <c r="D152" s="98">
        <f>(128.46+128.46)*(10.764)</f>
        <v>2765.4868799999999</v>
      </c>
      <c r="E152" s="42">
        <v>0</v>
      </c>
      <c r="F152" s="42">
        <f t="shared" si="3"/>
        <v>2765.4868799999999</v>
      </c>
      <c r="G152" s="42">
        <v>0</v>
      </c>
      <c r="H152" s="42">
        <f t="shared" si="4"/>
        <v>4286.504664</v>
      </c>
      <c r="I152" s="36"/>
      <c r="L152" s="106"/>
      <c r="M152" s="106"/>
      <c r="N152" s="36"/>
      <c r="T152" s="21"/>
    </row>
    <row r="153" spans="1:20" s="37" customFormat="1" x14ac:dyDescent="0.25">
      <c r="A153" s="107" t="s">
        <v>405</v>
      </c>
      <c r="B153" s="108"/>
      <c r="C153" s="108"/>
      <c r="D153" s="108"/>
      <c r="E153" s="108"/>
      <c r="F153" s="108"/>
      <c r="G153" s="108"/>
      <c r="H153" s="109"/>
      <c r="J153" s="36"/>
      <c r="T153" s="35"/>
    </row>
    <row r="154" spans="1:20" s="37" customFormat="1" x14ac:dyDescent="0.25">
      <c r="A154" s="42">
        <v>1</v>
      </c>
      <c r="B154" s="42" t="s">
        <v>417</v>
      </c>
      <c r="C154" s="110" t="s">
        <v>415</v>
      </c>
      <c r="D154" s="112"/>
      <c r="E154" s="112"/>
      <c r="F154" s="112"/>
      <c r="G154" s="112"/>
      <c r="H154" s="111"/>
      <c r="I154" s="36"/>
      <c r="L154" s="106"/>
      <c r="M154" s="106"/>
      <c r="N154" s="36"/>
      <c r="T154" s="35"/>
    </row>
    <row r="155" spans="1:20" s="37" customFormat="1" x14ac:dyDescent="0.25">
      <c r="A155" s="42">
        <f t="shared" ref="A155:A160" si="6">A154+1</f>
        <v>2</v>
      </c>
      <c r="B155" s="42" t="s">
        <v>417</v>
      </c>
      <c r="C155" s="110" t="s">
        <v>415</v>
      </c>
      <c r="D155" s="112"/>
      <c r="E155" s="112"/>
      <c r="F155" s="112"/>
      <c r="G155" s="112"/>
      <c r="H155" s="111"/>
      <c r="I155" s="36"/>
      <c r="L155" s="106"/>
      <c r="M155" s="106"/>
      <c r="N155" s="36"/>
      <c r="T155" s="34"/>
    </row>
    <row r="156" spans="1:20" s="37" customFormat="1" ht="15.75" customHeight="1" x14ac:dyDescent="0.25">
      <c r="A156" s="42">
        <f t="shared" si="6"/>
        <v>3</v>
      </c>
      <c r="B156" s="42" t="s">
        <v>417</v>
      </c>
      <c r="C156" s="42" t="s">
        <v>402</v>
      </c>
      <c r="D156" s="98">
        <f>(103.37)*(10.764)</f>
        <v>1112.6746800000001</v>
      </c>
      <c r="E156" s="42">
        <v>0</v>
      </c>
      <c r="F156" s="42">
        <f t="shared" ref="F156" si="7">D156+(IF(E156&lt;201,E156,IF(E156&lt;301,E156/2,E156/3)))</f>
        <v>1112.6746800000001</v>
      </c>
      <c r="G156" s="42">
        <v>0</v>
      </c>
      <c r="H156" s="42">
        <f t="shared" ref="H156" si="8">(F156+(IF(G156&lt;101,G156,IF(G156&lt;201,G156/2,IF(G156&lt;=301,G156/3,G156/4)))))*(($H$143)+1)</f>
        <v>1724.6457540000001</v>
      </c>
      <c r="I156" s="36"/>
      <c r="L156" s="106"/>
      <c r="M156" s="106"/>
      <c r="N156" s="36"/>
      <c r="T156" s="21"/>
    </row>
    <row r="157" spans="1:20" s="37" customFormat="1" x14ac:dyDescent="0.25">
      <c r="A157" s="42">
        <f t="shared" si="6"/>
        <v>4</v>
      </c>
      <c r="B157" s="42" t="s">
        <v>417</v>
      </c>
      <c r="C157" s="110" t="s">
        <v>415</v>
      </c>
      <c r="D157" s="112"/>
      <c r="E157" s="112"/>
      <c r="F157" s="112"/>
      <c r="G157" s="112"/>
      <c r="H157" s="111"/>
      <c r="I157" s="36"/>
      <c r="L157" s="106"/>
      <c r="M157" s="106"/>
      <c r="N157" s="36"/>
      <c r="T157" s="21"/>
    </row>
    <row r="158" spans="1:20" s="37" customFormat="1" x14ac:dyDescent="0.25">
      <c r="A158" s="42">
        <f t="shared" si="6"/>
        <v>5</v>
      </c>
      <c r="B158" s="42" t="s">
        <v>417</v>
      </c>
      <c r="C158" s="110" t="s">
        <v>415</v>
      </c>
      <c r="D158" s="112"/>
      <c r="E158" s="112"/>
      <c r="F158" s="112"/>
      <c r="G158" s="112"/>
      <c r="H158" s="111"/>
      <c r="I158" s="36"/>
      <c r="L158" s="106"/>
      <c r="M158" s="106"/>
      <c r="N158" s="36"/>
      <c r="T158" s="34"/>
    </row>
    <row r="159" spans="1:20" s="37" customFormat="1" x14ac:dyDescent="0.25">
      <c r="A159" s="42">
        <f t="shared" si="6"/>
        <v>6</v>
      </c>
      <c r="B159" s="42" t="s">
        <v>417</v>
      </c>
      <c r="C159" s="110" t="s">
        <v>415</v>
      </c>
      <c r="D159" s="112"/>
      <c r="E159" s="112"/>
      <c r="F159" s="112"/>
      <c r="G159" s="112"/>
      <c r="H159" s="111"/>
      <c r="I159" s="36"/>
      <c r="L159" s="106"/>
      <c r="M159" s="106"/>
      <c r="N159" s="36"/>
      <c r="T159" s="21"/>
    </row>
    <row r="160" spans="1:20" s="37" customFormat="1" x14ac:dyDescent="0.25">
      <c r="A160" s="42">
        <f t="shared" si="6"/>
        <v>7</v>
      </c>
      <c r="B160" s="42" t="s">
        <v>417</v>
      </c>
      <c r="C160" s="110" t="s">
        <v>415</v>
      </c>
      <c r="D160" s="112"/>
      <c r="E160" s="112"/>
      <c r="F160" s="112"/>
      <c r="G160" s="112"/>
      <c r="H160" s="111"/>
      <c r="I160" s="36"/>
      <c r="L160" s="106"/>
      <c r="M160" s="106"/>
      <c r="N160" s="36"/>
      <c r="T160" s="21"/>
    </row>
    <row r="161" spans="1:20" s="37" customFormat="1" x14ac:dyDescent="0.25">
      <c r="A161" s="110"/>
      <c r="B161" s="112"/>
      <c r="C161" s="112"/>
      <c r="D161" s="112"/>
      <c r="E161" s="112"/>
      <c r="F161" s="112"/>
      <c r="G161" s="112"/>
      <c r="H161" s="111"/>
      <c r="I161" s="36"/>
      <c r="N161" s="36"/>
    </row>
    <row r="162" spans="1:20" ht="47.25" customHeight="1" x14ac:dyDescent="0.25">
      <c r="A162" s="256" t="s">
        <v>117</v>
      </c>
      <c r="B162" s="120" t="s">
        <v>174</v>
      </c>
      <c r="C162" s="120" t="s">
        <v>54</v>
      </c>
      <c r="D162" s="120" t="s">
        <v>371</v>
      </c>
      <c r="E162" s="120" t="s">
        <v>409</v>
      </c>
      <c r="F162" s="118" t="s">
        <v>55</v>
      </c>
      <c r="G162" s="169" t="s">
        <v>56</v>
      </c>
      <c r="H162" s="63" t="s">
        <v>147</v>
      </c>
      <c r="I162" s="36"/>
      <c r="T162" s="37"/>
    </row>
    <row r="163" spans="1:20" s="37" customFormat="1" x14ac:dyDescent="0.25">
      <c r="A163" s="257"/>
      <c r="B163" s="121"/>
      <c r="C163" s="121"/>
      <c r="D163" s="121"/>
      <c r="E163" s="121"/>
      <c r="F163" s="119"/>
      <c r="G163" s="170"/>
      <c r="H163" s="94">
        <v>0.5</v>
      </c>
      <c r="I163" s="36"/>
    </row>
    <row r="164" spans="1:20" s="37" customFormat="1" x14ac:dyDescent="0.25">
      <c r="A164" s="107" t="s">
        <v>419</v>
      </c>
      <c r="B164" s="108"/>
      <c r="C164" s="108"/>
      <c r="D164" s="108"/>
      <c r="E164" s="108"/>
      <c r="F164" s="108"/>
      <c r="G164" s="108"/>
      <c r="H164" s="109"/>
      <c r="J164" s="36"/>
    </row>
    <row r="165" spans="1:20" s="37" customFormat="1" x14ac:dyDescent="0.25">
      <c r="A165" s="107" t="s">
        <v>420</v>
      </c>
      <c r="B165" s="108"/>
      <c r="C165" s="108"/>
      <c r="D165" s="108"/>
      <c r="E165" s="108"/>
      <c r="F165" s="108"/>
      <c r="G165" s="108"/>
      <c r="H165" s="109"/>
      <c r="J165" s="36"/>
    </row>
    <row r="166" spans="1:20" s="37" customFormat="1" x14ac:dyDescent="0.25">
      <c r="A166" s="107" t="s">
        <v>421</v>
      </c>
      <c r="B166" s="108"/>
      <c r="C166" s="108"/>
      <c r="D166" s="108"/>
      <c r="E166" s="108"/>
      <c r="F166" s="108"/>
      <c r="G166" s="108"/>
      <c r="H166" s="109"/>
      <c r="J166" s="36">
        <v>20000</v>
      </c>
    </row>
    <row r="167" spans="1:20" s="37" customFormat="1" ht="15.75" customHeight="1" x14ac:dyDescent="0.25">
      <c r="A167" s="110">
        <v>1</v>
      </c>
      <c r="B167" s="111"/>
      <c r="C167" s="42" t="s">
        <v>406</v>
      </c>
      <c r="D167" s="96">
        <f>(63.36)*(10.764)</f>
        <v>682.00703999999996</v>
      </c>
      <c r="E167" s="96">
        <f>(3.15*1.1)*(10.764)</f>
        <v>37.297260000000001</v>
      </c>
      <c r="F167" s="42">
        <f>D167+E167</f>
        <v>719.30430000000001</v>
      </c>
      <c r="G167" s="42">
        <v>0</v>
      </c>
      <c r="H167" s="42">
        <f>F167*(($H$163)+1)+(IF(G167&lt;101,G167,IF(G167&lt;201,G167/2,IF(G167&lt;=301,G167/3,G167/4))))</f>
        <v>1078.9564500000001</v>
      </c>
      <c r="I167" s="36"/>
      <c r="J167" s="37">
        <f>$J$166*H167</f>
        <v>21579129.000000004</v>
      </c>
      <c r="L167" s="106"/>
      <c r="M167" s="106"/>
      <c r="N167" s="36"/>
    </row>
    <row r="168" spans="1:20" s="37" customFormat="1" ht="15.75" customHeight="1" x14ac:dyDescent="0.25">
      <c r="A168" s="110">
        <f>A167+1</f>
        <v>2</v>
      </c>
      <c r="B168" s="111"/>
      <c r="C168" s="42" t="s">
        <v>407</v>
      </c>
      <c r="D168" s="96">
        <f>(78.94)*(10.764)</f>
        <v>849.71015999999997</v>
      </c>
      <c r="E168" s="96">
        <f>(1.2*3.3)*(10.764)</f>
        <v>42.62543999999999</v>
      </c>
      <c r="F168" s="42">
        <f>D168+E168</f>
        <v>892.3356</v>
      </c>
      <c r="G168" s="42">
        <v>0</v>
      </c>
      <c r="H168" s="42">
        <f>F168*(($H$163)+1)+(IF(G168&lt;101,G168,IF(G168&lt;201,G168/2,IF(G168&lt;=301,G168/3,G168/4))))</f>
        <v>1338.5034000000001</v>
      </c>
      <c r="J168" s="100">
        <f t="shared" ref="J168:J170" si="9">$J$166*H168</f>
        <v>26770068</v>
      </c>
      <c r="L168" s="99">
        <f>3.3*5.25+3.05*2.45+3.05*3.15+3.15*3.35+3.05*3.15+1.2*2.4+1.35*1.2+1.35*2.15+1.35*2.35+2.65*1+0.33*1+1.8*3.6+(0.9*1)</f>
        <v>75.500000000000014</v>
      </c>
    </row>
    <row r="169" spans="1:20" s="37" customFormat="1" ht="15.75" customHeight="1" x14ac:dyDescent="0.25">
      <c r="A169" s="110">
        <f>A168+1</f>
        <v>3</v>
      </c>
      <c r="B169" s="111"/>
      <c r="C169" s="42" t="s">
        <v>408</v>
      </c>
      <c r="D169" s="96">
        <f>(42.69)*(10.764)</f>
        <v>459.51515999999992</v>
      </c>
      <c r="E169" s="96">
        <f>(1*3.05)*(10.764)</f>
        <v>32.830199999999998</v>
      </c>
      <c r="F169" s="42">
        <f>D169+E169</f>
        <v>492.34535999999991</v>
      </c>
      <c r="G169" s="42">
        <v>0</v>
      </c>
      <c r="H169" s="42">
        <f>F169*(($H$163)+1)+(IF(G169&lt;101,G169,IF(G169&lt;201,G169/2,IF(G169&lt;=301,G169/3,G169/4))))</f>
        <v>738.51803999999993</v>
      </c>
      <c r="J169" s="100">
        <f t="shared" si="9"/>
        <v>14770360.799999999</v>
      </c>
      <c r="L169" s="99">
        <f>3.05*6.15+2.15*2.3+3.05*3.25+1.2*2.15*2+2.4*0.9+(1*0.9)</f>
        <v>41.835000000000001</v>
      </c>
    </row>
    <row r="170" spans="1:20" s="37" customFormat="1" ht="15.75" customHeight="1" x14ac:dyDescent="0.25">
      <c r="A170" s="110">
        <f>A169+1</f>
        <v>4</v>
      </c>
      <c r="B170" s="111"/>
      <c r="C170" s="42" t="s">
        <v>408</v>
      </c>
      <c r="D170" s="96">
        <f>(39.93)*(10.764)</f>
        <v>429.80651999999998</v>
      </c>
      <c r="E170" s="96">
        <f>(1*3.05)*(10.764)</f>
        <v>32.830199999999998</v>
      </c>
      <c r="F170" s="42">
        <f>D170+E170</f>
        <v>462.63671999999997</v>
      </c>
      <c r="G170" s="42">
        <v>0</v>
      </c>
      <c r="H170" s="42">
        <f>F170*(($H$163)+1)+(IF(G170&lt;101,G170,IF(G170&lt;201,G170/2,IF(G170&lt;=301,G170/3,G170/4))))</f>
        <v>693.95507999999995</v>
      </c>
      <c r="I170" s="101">
        <f>14500000/H170</f>
        <v>20894.724194540086</v>
      </c>
      <c r="J170" s="100">
        <f t="shared" si="9"/>
        <v>13879101.6</v>
      </c>
      <c r="L170" s="99">
        <f>3.05*6.15+2.15*2.3+3.05*3.25+2.4*0.9+1.2*2.15+(0.9*1)</f>
        <v>39.255000000000003</v>
      </c>
      <c r="M170" s="37">
        <f>3.05</f>
        <v>3.05</v>
      </c>
      <c r="N170" s="99">
        <f>L170+M170</f>
        <v>42.305</v>
      </c>
      <c r="T170" s="21"/>
    </row>
    <row r="171" spans="1:20" s="37" customFormat="1" ht="15.75" customHeight="1" x14ac:dyDescent="0.25">
      <c r="A171" s="110" t="s">
        <v>423</v>
      </c>
      <c r="B171" s="111"/>
      <c r="C171" s="110" t="s">
        <v>422</v>
      </c>
      <c r="D171" s="112"/>
      <c r="E171" s="112"/>
      <c r="F171" s="112"/>
      <c r="G171" s="112"/>
      <c r="H171" s="111"/>
      <c r="I171" s="36"/>
      <c r="L171" s="106"/>
      <c r="M171" s="106"/>
      <c r="N171" s="36"/>
    </row>
    <row r="172" spans="1:20" s="35" customFormat="1" x14ac:dyDescent="0.25">
      <c r="A172" s="255" t="s">
        <v>64</v>
      </c>
      <c r="B172" s="255"/>
      <c r="C172" s="255"/>
      <c r="D172" s="255"/>
      <c r="E172" s="255"/>
      <c r="F172" s="255"/>
      <c r="G172" s="255"/>
      <c r="H172" s="255"/>
      <c r="I172" s="289"/>
      <c r="J172" s="290"/>
      <c r="K172" s="290"/>
      <c r="L172" s="290"/>
      <c r="M172" s="290"/>
      <c r="T172" s="37"/>
    </row>
    <row r="173" spans="1:20" s="35" customFormat="1" x14ac:dyDescent="0.25">
      <c r="A173" s="46" t="s">
        <v>151</v>
      </c>
      <c r="B173" s="122" t="s">
        <v>437</v>
      </c>
      <c r="C173" s="123"/>
      <c r="D173" s="123"/>
      <c r="E173" s="123"/>
      <c r="F173" s="123"/>
      <c r="G173" s="123"/>
      <c r="H173" s="124"/>
      <c r="I173" s="289" t="s">
        <v>438</v>
      </c>
      <c r="J173" s="290"/>
      <c r="K173" s="290"/>
      <c r="L173" s="290"/>
      <c r="M173" s="290"/>
      <c r="T173" s="37"/>
    </row>
    <row r="174" spans="1:20" s="35" customFormat="1" x14ac:dyDescent="0.25">
      <c r="A174" s="46" t="s">
        <v>151</v>
      </c>
      <c r="B174" s="122" t="str">
        <f>(IF(H162="Saleable area Loading :","We have considered Saleable area of Flats as per our Calculation.","We considered Saleable area of Flat as per Builder area Sheet."))</f>
        <v>We have considered Saleable area of Flats as per our Calculation.</v>
      </c>
      <c r="C174" s="123"/>
      <c r="D174" s="123"/>
      <c r="E174" s="123"/>
      <c r="F174" s="123"/>
      <c r="G174" s="123"/>
      <c r="H174" s="124"/>
      <c r="T174" s="37"/>
    </row>
    <row r="175" spans="1:20" s="35" customFormat="1" x14ac:dyDescent="0.25">
      <c r="A175" s="46" t="s">
        <v>151</v>
      </c>
      <c r="B175" s="122" t="str">
        <f>(IF(H142="Saleable area Loading :","We have considered Saleable area of Commercial as per our Calculation.","We considered Saleable area of Commercial as per Builder area Sheet."))</f>
        <v>We have considered Saleable area of Commercial as per our Calculation.</v>
      </c>
      <c r="C175" s="123"/>
      <c r="D175" s="123"/>
      <c r="E175" s="123"/>
      <c r="F175" s="123"/>
      <c r="G175" s="123"/>
      <c r="H175" s="124"/>
      <c r="T175" s="37"/>
    </row>
    <row r="176" spans="1:20" s="35" customFormat="1" x14ac:dyDescent="0.25">
      <c r="A176" s="46" t="s">
        <v>151</v>
      </c>
      <c r="B176" s="126" t="s">
        <v>121</v>
      </c>
      <c r="C176" s="127"/>
      <c r="D176" s="127"/>
      <c r="E176" s="127"/>
      <c r="F176" s="127"/>
      <c r="G176" s="127"/>
      <c r="H176" s="128"/>
      <c r="T176" s="37"/>
    </row>
    <row r="177" spans="1:20" s="35" customFormat="1" x14ac:dyDescent="0.25">
      <c r="A177" s="46" t="s">
        <v>151</v>
      </c>
      <c r="B177" s="122" t="s">
        <v>410</v>
      </c>
      <c r="C177" s="123"/>
      <c r="D177" s="123"/>
      <c r="E177" s="123"/>
      <c r="F177" s="123"/>
      <c r="G177" s="123"/>
      <c r="H177" s="124"/>
      <c r="T177" s="37"/>
    </row>
    <row r="178" spans="1:20" s="35" customFormat="1" x14ac:dyDescent="0.25">
      <c r="A178" s="46" t="s">
        <v>151</v>
      </c>
      <c r="B178" s="126" t="s">
        <v>150</v>
      </c>
      <c r="C178" s="127"/>
      <c r="D178" s="127"/>
      <c r="E178" s="127"/>
      <c r="F178" s="127"/>
      <c r="G178" s="127"/>
      <c r="H178" s="128"/>
    </row>
    <row r="179" spans="1:20" s="35" customFormat="1" x14ac:dyDescent="0.25">
      <c r="A179" s="46" t="s">
        <v>151</v>
      </c>
      <c r="B179" s="126" t="s">
        <v>122</v>
      </c>
      <c r="C179" s="127"/>
      <c r="D179" s="127"/>
      <c r="E179" s="127"/>
      <c r="F179" s="127"/>
      <c r="G179" s="127"/>
      <c r="H179" s="128"/>
    </row>
    <row r="180" spans="1:20" s="35" customFormat="1" ht="34.5" customHeight="1" x14ac:dyDescent="0.25">
      <c r="A180" s="46" t="s">
        <v>151</v>
      </c>
      <c r="B180" s="122" t="s">
        <v>152</v>
      </c>
      <c r="C180" s="123"/>
      <c r="D180" s="123"/>
      <c r="E180" s="123"/>
      <c r="F180" s="123"/>
      <c r="G180" s="123"/>
      <c r="H180" s="124"/>
    </row>
    <row r="181" spans="1:20" s="35" customFormat="1" x14ac:dyDescent="0.25">
      <c r="A181" s="46" t="s">
        <v>151</v>
      </c>
      <c r="B181" s="126" t="s">
        <v>123</v>
      </c>
      <c r="C181" s="127"/>
      <c r="D181" s="127"/>
      <c r="E181" s="127"/>
      <c r="F181" s="127"/>
      <c r="G181" s="127"/>
      <c r="H181" s="128"/>
    </row>
    <row r="182" spans="1:20" s="35" customFormat="1" x14ac:dyDescent="0.25">
      <c r="A182" s="46" t="s">
        <v>151</v>
      </c>
      <c r="B182" s="122" t="s">
        <v>424</v>
      </c>
      <c r="C182" s="123"/>
      <c r="D182" s="123"/>
      <c r="E182" s="123"/>
      <c r="F182" s="123"/>
      <c r="G182" s="123"/>
      <c r="H182" s="124"/>
      <c r="I182" s="113" t="s">
        <v>436</v>
      </c>
      <c r="J182" s="114"/>
      <c r="K182" s="114"/>
      <c r="L182" s="114"/>
      <c r="M182" s="114"/>
      <c r="N182" s="114"/>
      <c r="O182" s="115"/>
    </row>
    <row r="183" spans="1:20" s="35" customFormat="1" ht="18" hidden="1" customHeight="1" x14ac:dyDescent="0.25">
      <c r="A183" s="46" t="s">
        <v>151</v>
      </c>
      <c r="B183" s="113" t="s">
        <v>175</v>
      </c>
      <c r="C183" s="114"/>
      <c r="D183" s="114"/>
      <c r="E183" s="114"/>
      <c r="F183" s="114"/>
      <c r="G183" s="114"/>
      <c r="H183" s="115"/>
    </row>
    <row r="184" spans="1:20" s="35" customFormat="1" hidden="1" x14ac:dyDescent="0.25">
      <c r="A184" s="46" t="s">
        <v>151</v>
      </c>
      <c r="B184" s="113" t="str">
        <f ca="1">IF(G52&gt;EDATE(E3,-48),"NO REMARK FOR CC","REMARK FOR CC")</f>
        <v>NO REMARK FOR CC</v>
      </c>
      <c r="C184" s="114"/>
      <c r="D184" s="114"/>
      <c r="E184" s="114"/>
      <c r="F184" s="114"/>
      <c r="G184" s="114"/>
      <c r="H184" s="115"/>
    </row>
    <row r="185" spans="1:20" s="35" customFormat="1" ht="81.75" hidden="1" customHeight="1" x14ac:dyDescent="0.25">
      <c r="A185" s="46" t="s">
        <v>151</v>
      </c>
      <c r="B185" s="113" t="s">
        <v>346</v>
      </c>
      <c r="C185" s="114"/>
      <c r="D185" s="114"/>
      <c r="E185" s="114"/>
      <c r="F185" s="114"/>
      <c r="G185" s="114"/>
      <c r="H185" s="115"/>
    </row>
    <row r="186" spans="1:20" x14ac:dyDescent="0.25">
      <c r="A186" s="238" t="s">
        <v>57</v>
      </c>
      <c r="B186" s="238"/>
      <c r="C186" s="238"/>
      <c r="D186" s="238"/>
      <c r="E186" s="238"/>
      <c r="F186" s="238"/>
      <c r="G186" s="238"/>
      <c r="H186" s="238"/>
      <c r="T186" s="35"/>
    </row>
    <row r="187" spans="1:20" x14ac:dyDescent="0.25">
      <c r="A187" s="166" t="s">
        <v>58</v>
      </c>
      <c r="B187" s="166"/>
      <c r="C187" s="166"/>
      <c r="D187" s="166"/>
      <c r="E187" s="166"/>
      <c r="F187" s="166"/>
      <c r="G187" s="166"/>
      <c r="H187" s="166"/>
      <c r="T187" s="35"/>
    </row>
    <row r="188" spans="1:20" ht="15.75" customHeight="1" x14ac:dyDescent="0.25">
      <c r="A188" s="248" t="s">
        <v>59</v>
      </c>
      <c r="B188" s="248"/>
      <c r="C188" s="248"/>
      <c r="D188" s="248"/>
      <c r="E188" s="248"/>
      <c r="F188" s="248"/>
      <c r="G188" s="248"/>
      <c r="H188" s="248"/>
      <c r="T188" s="35"/>
    </row>
    <row r="189" spans="1:20" x14ac:dyDescent="0.25">
      <c r="A189" s="166" t="s">
        <v>60</v>
      </c>
      <c r="B189" s="166"/>
      <c r="C189" s="166"/>
      <c r="D189" s="166"/>
      <c r="E189" s="166"/>
      <c r="F189" s="166"/>
      <c r="G189" s="166"/>
      <c r="H189" s="166"/>
      <c r="T189" s="35"/>
    </row>
    <row r="190" spans="1:20" x14ac:dyDescent="0.25">
      <c r="A190" s="166" t="s">
        <v>61</v>
      </c>
      <c r="B190" s="166"/>
      <c r="C190" s="166"/>
      <c r="D190" s="166"/>
      <c r="E190" s="166"/>
      <c r="F190" s="166"/>
      <c r="G190" s="166"/>
      <c r="H190" s="166"/>
      <c r="T190" s="35"/>
    </row>
    <row r="191" spans="1:20" x14ac:dyDescent="0.25">
      <c r="A191" s="166" t="s">
        <v>124</v>
      </c>
      <c r="B191" s="166"/>
      <c r="C191" s="166"/>
      <c r="D191" s="166"/>
      <c r="E191" s="166"/>
      <c r="F191" s="166"/>
      <c r="G191" s="166"/>
      <c r="H191" s="166"/>
      <c r="T191" s="35"/>
    </row>
    <row r="192" spans="1:20" ht="33.950000000000003" customHeight="1" x14ac:dyDescent="0.25">
      <c r="A192" s="176" t="s">
        <v>125</v>
      </c>
      <c r="B192" s="176"/>
      <c r="C192" s="176"/>
      <c r="D192" s="176"/>
      <c r="E192" s="176"/>
      <c r="F192" s="176"/>
      <c r="G192" s="176"/>
      <c r="H192" s="176"/>
    </row>
    <row r="193" spans="1:8" x14ac:dyDescent="0.25">
      <c r="A193" s="250" t="s">
        <v>73</v>
      </c>
      <c r="B193" s="250"/>
      <c r="C193" s="250" t="s">
        <v>435</v>
      </c>
      <c r="D193" s="250"/>
      <c r="E193" s="250" t="s">
        <v>103</v>
      </c>
      <c r="F193" s="250"/>
      <c r="G193" s="250" t="s">
        <v>434</v>
      </c>
      <c r="H193" s="250"/>
    </row>
    <row r="194" spans="1:8" x14ac:dyDescent="0.25">
      <c r="A194" s="249" t="s">
        <v>75</v>
      </c>
      <c r="B194" s="249"/>
      <c r="C194" s="249"/>
      <c r="D194" s="249"/>
      <c r="E194" s="249"/>
      <c r="F194" s="249"/>
      <c r="G194" s="249"/>
      <c r="H194" s="249"/>
    </row>
    <row r="195" spans="1:8" x14ac:dyDescent="0.25">
      <c r="A195" s="249"/>
      <c r="B195" s="249"/>
      <c r="C195" s="249"/>
      <c r="D195" s="249"/>
      <c r="E195" s="249"/>
      <c r="F195" s="249"/>
      <c r="G195" s="249"/>
      <c r="H195" s="249"/>
    </row>
    <row r="196" spans="1:8" x14ac:dyDescent="0.25">
      <c r="A196" s="249"/>
      <c r="B196" s="249"/>
      <c r="C196" s="249"/>
      <c r="D196" s="249"/>
      <c r="E196" s="249"/>
      <c r="F196" s="249"/>
      <c r="G196" s="249"/>
      <c r="H196" s="249"/>
    </row>
    <row r="197" spans="1:8" x14ac:dyDescent="0.25">
      <c r="A197" s="249"/>
      <c r="B197" s="249"/>
      <c r="C197" s="249"/>
      <c r="D197" s="249"/>
      <c r="E197" s="249"/>
      <c r="F197" s="249"/>
      <c r="G197" s="249"/>
      <c r="H197" s="249"/>
    </row>
    <row r="198" spans="1:8" x14ac:dyDescent="0.25">
      <c r="A198" s="38" t="s">
        <v>62</v>
      </c>
      <c r="B198" s="39"/>
      <c r="C198" s="39"/>
      <c r="D198" s="38" t="str">
        <f>E9</f>
        <v>Aqua Bay</v>
      </c>
      <c r="F198" s="39"/>
      <c r="G198" s="39"/>
      <c r="H198" s="39"/>
    </row>
    <row r="199" spans="1:8" x14ac:dyDescent="0.25">
      <c r="A199" s="39"/>
      <c r="B199" s="39"/>
      <c r="C199" s="39"/>
      <c r="D199" s="39"/>
      <c r="E199" s="39"/>
      <c r="F199" s="39"/>
      <c r="G199" s="39"/>
      <c r="H199" s="39"/>
    </row>
    <row r="200" spans="1:8" x14ac:dyDescent="0.25">
      <c r="A200" s="39"/>
      <c r="B200" s="39"/>
      <c r="C200" s="39"/>
      <c r="D200" s="39"/>
      <c r="E200" s="39"/>
      <c r="F200" s="39"/>
      <c r="G200" s="39"/>
      <c r="H200" s="39"/>
    </row>
    <row r="201" spans="1:8" ht="15" customHeight="1" x14ac:dyDescent="0.25"/>
    <row r="240" spans="1:1" x14ac:dyDescent="0.25">
      <c r="A240" s="41" t="s">
        <v>162</v>
      </c>
    </row>
    <row r="282" spans="1:1" x14ac:dyDescent="0.25">
      <c r="A282" s="41" t="s">
        <v>63</v>
      </c>
    </row>
  </sheetData>
  <mergeCells count="349">
    <mergeCell ref="I182:O182"/>
    <mergeCell ref="A87:B87"/>
    <mergeCell ref="A88:B88"/>
    <mergeCell ref="A83:B83"/>
    <mergeCell ref="A82:B82"/>
    <mergeCell ref="E78:F78"/>
    <mergeCell ref="A80:B80"/>
    <mergeCell ref="E136:F136"/>
    <mergeCell ref="A140:H140"/>
    <mergeCell ref="A85:B85"/>
    <mergeCell ref="A120:E120"/>
    <mergeCell ref="A117:E117"/>
    <mergeCell ref="F121:H121"/>
    <mergeCell ref="A121:E121"/>
    <mergeCell ref="A115:B115"/>
    <mergeCell ref="A81:B81"/>
    <mergeCell ref="E79:F88"/>
    <mergeCell ref="G79:H88"/>
    <mergeCell ref="A98:B98"/>
    <mergeCell ref="G92:H92"/>
    <mergeCell ref="A100:B100"/>
    <mergeCell ref="F118:H118"/>
    <mergeCell ref="G132:H132"/>
    <mergeCell ref="A102:B102"/>
    <mergeCell ref="F124:H124"/>
    <mergeCell ref="I15:P15"/>
    <mergeCell ref="F127:H127"/>
    <mergeCell ref="F125:H125"/>
    <mergeCell ref="A141:H141"/>
    <mergeCell ref="G131:H131"/>
    <mergeCell ref="A126:E126"/>
    <mergeCell ref="A62:B62"/>
    <mergeCell ref="C62:E62"/>
    <mergeCell ref="D64:H64"/>
    <mergeCell ref="F126:H126"/>
    <mergeCell ref="E131:F131"/>
    <mergeCell ref="A131:B131"/>
    <mergeCell ref="C136:D136"/>
    <mergeCell ref="D72:H72"/>
    <mergeCell ref="D65:H65"/>
    <mergeCell ref="G62:H62"/>
    <mergeCell ref="A55:B56"/>
    <mergeCell ref="A84:B84"/>
    <mergeCell ref="A50:B50"/>
    <mergeCell ref="A72:C72"/>
    <mergeCell ref="D73:H73"/>
    <mergeCell ref="A79:B79"/>
    <mergeCell ref="A101:B101"/>
    <mergeCell ref="G78:H78"/>
    <mergeCell ref="C131:D131"/>
    <mergeCell ref="C138:D138"/>
    <mergeCell ref="A166:H166"/>
    <mergeCell ref="B177:H177"/>
    <mergeCell ref="B184:H184"/>
    <mergeCell ref="B182:H182"/>
    <mergeCell ref="F120:H120"/>
    <mergeCell ref="A124:E124"/>
    <mergeCell ref="A123:E123"/>
    <mergeCell ref="A161:H161"/>
    <mergeCell ref="A172:H172"/>
    <mergeCell ref="A162:A163"/>
    <mergeCell ref="A132:A133"/>
    <mergeCell ref="C155:H155"/>
    <mergeCell ref="C157:H157"/>
    <mergeCell ref="C158:H158"/>
    <mergeCell ref="C159:H159"/>
    <mergeCell ref="G136:H136"/>
    <mergeCell ref="B178:H178"/>
    <mergeCell ref="D142:D143"/>
    <mergeCell ref="A170:B170"/>
    <mergeCell ref="B180:H180"/>
    <mergeCell ref="G142:G143"/>
    <mergeCell ref="A191:H191"/>
    <mergeCell ref="A188:H188"/>
    <mergeCell ref="A136:B136"/>
    <mergeCell ref="D162:D163"/>
    <mergeCell ref="E162:E163"/>
    <mergeCell ref="A187:H187"/>
    <mergeCell ref="A23:D24"/>
    <mergeCell ref="A125:E125"/>
    <mergeCell ref="A194:H197"/>
    <mergeCell ref="A193:B193"/>
    <mergeCell ref="E193:F193"/>
    <mergeCell ref="C193:D193"/>
    <mergeCell ref="G193:H193"/>
    <mergeCell ref="A130:H130"/>
    <mergeCell ref="A128:E128"/>
    <mergeCell ref="F128:H128"/>
    <mergeCell ref="A129:E129"/>
    <mergeCell ref="F129:H129"/>
    <mergeCell ref="A137:B137"/>
    <mergeCell ref="A189:H189"/>
    <mergeCell ref="A135:H135"/>
    <mergeCell ref="A192:H192"/>
    <mergeCell ref="A190:H190"/>
    <mergeCell ref="A186:H186"/>
    <mergeCell ref="A13:D13"/>
    <mergeCell ref="E13:H13"/>
    <mergeCell ref="E14:H14"/>
    <mergeCell ref="A15:D1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E23:H24"/>
    <mergeCell ref="E27:H27"/>
    <mergeCell ref="A29:D29"/>
    <mergeCell ref="E29:H29"/>
    <mergeCell ref="A26:D26"/>
    <mergeCell ref="E26:H26"/>
    <mergeCell ref="A28:D28"/>
    <mergeCell ref="E28:H28"/>
    <mergeCell ref="A12:D12"/>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E20:F20"/>
    <mergeCell ref="G20:H20"/>
    <mergeCell ref="A21:B21"/>
    <mergeCell ref="C21:D21"/>
    <mergeCell ref="E21:F21"/>
    <mergeCell ref="G21:H21"/>
    <mergeCell ref="A22:B22"/>
    <mergeCell ref="C22:D22"/>
    <mergeCell ref="E22:F22"/>
    <mergeCell ref="G22:H22"/>
    <mergeCell ref="A37:B37"/>
    <mergeCell ref="C37:E37"/>
    <mergeCell ref="A42:D42"/>
    <mergeCell ref="F37:H37"/>
    <mergeCell ref="A39:B39"/>
    <mergeCell ref="C39:H39"/>
    <mergeCell ref="A25:D25"/>
    <mergeCell ref="E25:H25"/>
    <mergeCell ref="A30:D30"/>
    <mergeCell ref="E30:H30"/>
    <mergeCell ref="A27:D27"/>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A77:B77"/>
    <mergeCell ref="A75:B75"/>
    <mergeCell ref="C75:H75"/>
    <mergeCell ref="A70:C70"/>
    <mergeCell ref="D70:H70"/>
    <mergeCell ref="C77:H77"/>
    <mergeCell ref="A71:C71"/>
    <mergeCell ref="D71:H71"/>
    <mergeCell ref="A74:C74"/>
    <mergeCell ref="D74:H74"/>
    <mergeCell ref="A73:C73"/>
    <mergeCell ref="D66:H66"/>
    <mergeCell ref="A66:C66"/>
    <mergeCell ref="A45:D45"/>
    <mergeCell ref="A49:B49"/>
    <mergeCell ref="C49:H49"/>
    <mergeCell ref="A67:C67"/>
    <mergeCell ref="D67:H67"/>
    <mergeCell ref="G53:H53"/>
    <mergeCell ref="G52:H52"/>
    <mergeCell ref="A63:H63"/>
    <mergeCell ref="A59:B61"/>
    <mergeCell ref="C61:H61"/>
    <mergeCell ref="C59:E60"/>
    <mergeCell ref="C51:E51"/>
    <mergeCell ref="C50:E50"/>
    <mergeCell ref="G50:H50"/>
    <mergeCell ref="A51:B51"/>
    <mergeCell ref="G57:H57"/>
    <mergeCell ref="G59:H59"/>
    <mergeCell ref="G51:H51"/>
    <mergeCell ref="C56:H56"/>
    <mergeCell ref="A52:B54"/>
    <mergeCell ref="C55:E55"/>
    <mergeCell ref="C52:E53"/>
    <mergeCell ref="C57:E57"/>
    <mergeCell ref="G55:H55"/>
    <mergeCell ref="A57:B58"/>
    <mergeCell ref="E42:H42"/>
    <mergeCell ref="A41:H41"/>
    <mergeCell ref="A46:D46"/>
    <mergeCell ref="A47:D47"/>
    <mergeCell ref="A44:D44"/>
    <mergeCell ref="E44:H44"/>
    <mergeCell ref="E45:H45"/>
    <mergeCell ref="A48:H48"/>
    <mergeCell ref="E43:H43"/>
    <mergeCell ref="A43:D43"/>
    <mergeCell ref="A38:H38"/>
    <mergeCell ref="L149:M149"/>
    <mergeCell ref="L148:M148"/>
    <mergeCell ref="L147:M147"/>
    <mergeCell ref="L146:M146"/>
    <mergeCell ref="A86:B86"/>
    <mergeCell ref="C137:D137"/>
    <mergeCell ref="E137:F137"/>
    <mergeCell ref="G137:H137"/>
    <mergeCell ref="A118:E118"/>
    <mergeCell ref="A89:B89"/>
    <mergeCell ref="C89:H89"/>
    <mergeCell ref="A145:H145"/>
    <mergeCell ref="E142:E143"/>
    <mergeCell ref="A93:B93"/>
    <mergeCell ref="C91:H91"/>
    <mergeCell ref="A94:B94"/>
    <mergeCell ref="A95:B95"/>
    <mergeCell ref="G93:H102"/>
    <mergeCell ref="A96:B96"/>
    <mergeCell ref="F119:H119"/>
    <mergeCell ref="A119:E119"/>
    <mergeCell ref="E139:F139"/>
    <mergeCell ref="A91:B91"/>
    <mergeCell ref="A40:B40"/>
    <mergeCell ref="C40:H40"/>
    <mergeCell ref="F142:F143"/>
    <mergeCell ref="C132:D132"/>
    <mergeCell ref="E132:F132"/>
    <mergeCell ref="B142:B143"/>
    <mergeCell ref="A142:A143"/>
    <mergeCell ref="C162:C163"/>
    <mergeCell ref="G162:G163"/>
    <mergeCell ref="G139:H139"/>
    <mergeCell ref="A111:B111"/>
    <mergeCell ref="A114:B114"/>
    <mergeCell ref="C54:H54"/>
    <mergeCell ref="A64:C64"/>
    <mergeCell ref="A68:C68"/>
    <mergeCell ref="A69:C69"/>
    <mergeCell ref="D68:H68"/>
    <mergeCell ref="A65:C65"/>
    <mergeCell ref="G60:H60"/>
    <mergeCell ref="A78:B78"/>
    <mergeCell ref="D69:H69"/>
    <mergeCell ref="E46:H46"/>
    <mergeCell ref="E47:H47"/>
    <mergeCell ref="C58:H58"/>
    <mergeCell ref="A107:B107"/>
    <mergeCell ref="E107:F116"/>
    <mergeCell ref="G107:H116"/>
    <mergeCell ref="A108:B108"/>
    <mergeCell ref="A109:B109"/>
    <mergeCell ref="A110:B110"/>
    <mergeCell ref="A112:B112"/>
    <mergeCell ref="A113:B113"/>
    <mergeCell ref="A122:E122"/>
    <mergeCell ref="A138:B138"/>
    <mergeCell ref="E138:F138"/>
    <mergeCell ref="A127:E127"/>
    <mergeCell ref="G138:H138"/>
    <mergeCell ref="A134:B134"/>
    <mergeCell ref="C134:D134"/>
    <mergeCell ref="E134:F134"/>
    <mergeCell ref="G134:H134"/>
    <mergeCell ref="B181:H181"/>
    <mergeCell ref="B179:H179"/>
    <mergeCell ref="A168:B168"/>
    <mergeCell ref="A169:B169"/>
    <mergeCell ref="C139:D139"/>
    <mergeCell ref="A139:B139"/>
    <mergeCell ref="A92:B92"/>
    <mergeCell ref="E92:F92"/>
    <mergeCell ref="E93:F102"/>
    <mergeCell ref="A103:B103"/>
    <mergeCell ref="C103:H103"/>
    <mergeCell ref="A105:B105"/>
    <mergeCell ref="C105:H105"/>
    <mergeCell ref="A106:B106"/>
    <mergeCell ref="E106:F106"/>
    <mergeCell ref="G106:H106"/>
    <mergeCell ref="A97:B97"/>
    <mergeCell ref="A99:B99"/>
    <mergeCell ref="L150:M150"/>
    <mergeCell ref="L151:M151"/>
    <mergeCell ref="L152:M152"/>
    <mergeCell ref="A144:H144"/>
    <mergeCell ref="A153:H153"/>
    <mergeCell ref="L154:M154"/>
    <mergeCell ref="C154:H154"/>
    <mergeCell ref="B185:H185"/>
    <mergeCell ref="A116:B116"/>
    <mergeCell ref="C142:C143"/>
    <mergeCell ref="B162:B163"/>
    <mergeCell ref="B175:H175"/>
    <mergeCell ref="B183:H183"/>
    <mergeCell ref="C133:D133"/>
    <mergeCell ref="E133:F133"/>
    <mergeCell ref="G133:H133"/>
    <mergeCell ref="B173:H173"/>
    <mergeCell ref="B174:H174"/>
    <mergeCell ref="B176:H176"/>
    <mergeCell ref="F117:H117"/>
    <mergeCell ref="F122:H122"/>
    <mergeCell ref="A167:B167"/>
    <mergeCell ref="F123:H123"/>
    <mergeCell ref="F162:F163"/>
    <mergeCell ref="L160:M160"/>
    <mergeCell ref="A164:H164"/>
    <mergeCell ref="A165:H165"/>
    <mergeCell ref="A171:B171"/>
    <mergeCell ref="L171:M171"/>
    <mergeCell ref="L167:M167"/>
    <mergeCell ref="C171:H171"/>
    <mergeCell ref="C160:H160"/>
    <mergeCell ref="L155:M155"/>
    <mergeCell ref="L156:M156"/>
    <mergeCell ref="L157:M157"/>
    <mergeCell ref="L158:M158"/>
    <mergeCell ref="L159:M159"/>
  </mergeCells>
  <dataValidations disablePrompts="1" count="18">
    <dataValidation type="list" allowBlank="1" showInputMessage="1" showErrorMessage="1" sqref="E5:H5">
      <formula1>OFFSET($L$3,1,MATCH($E4,$L$3:$P$3,0)-1,10,1)</formula1>
    </dataValidation>
    <dataValidation type="list" allowBlank="1" showInputMessage="1" showErrorMessage="1" sqref="A17:B17">
      <formula1>"C.S. No,CTS No,Survey No,Plot No,Gut No,FP No,"</formula1>
    </dataValidation>
    <dataValidation type="list" allowBlank="1" showInputMessage="1" showErrorMessage="1" sqref="G20:H20">
      <formula1>$S$13:$W$13</formula1>
    </dataValidation>
    <dataValidation type="list" allowBlank="1" showInputMessage="1" showErrorMessage="1" sqref="E142:E143">
      <formula1>"Attached Loft area,Attached Otla area,Attached Mezzanine area"</formula1>
    </dataValidation>
    <dataValidation type="list" allowBlank="1" showInputMessage="1" showErrorMessage="1" sqref="G193:H193">
      <formula1>"Kunal Kadam,Pranita Mhatre,Shruti Fule,Pooja Kawale,Gaurav Panchal,Shruti Tathare, Dipti Gothawade,Saurav Panse,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8:H128">
      <formula1>OFFSET($S$117,1,MATCH($G20,$S$117:$W$117,0)-1,15,1)</formula1>
    </dataValidation>
    <dataValidation type="list" allowBlank="1" showInputMessage="1" showErrorMessage="1" sqref="B142:B143">
      <formula1>"Shop No. (Sale Plan),Sale / Rehab,Sale / MCGM"</formula1>
    </dataValidation>
    <dataValidation type="list" allowBlank="1" showInputMessage="1" showErrorMessage="1" sqref="B162:B163">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62:E163">
      <formula1>"Deck Area, Fungible area,Balcony Area,Chajja Area,Cornice Area,AP Area,WS Area"</formula1>
    </dataValidation>
    <dataValidation type="list" allowBlank="1" showInputMessage="1" showErrorMessage="1" sqref="H143 H163">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42 H162">
      <formula1>"Saleable area Loading :,Builder Saleable Area"</formula1>
    </dataValidation>
    <dataValidation type="list" allowBlank="1" showInputMessage="1" showErrorMessage="1" sqref="D142:D143">
      <formula1>"Carpet area,RERA Carpet area"</formula1>
    </dataValidation>
    <dataValidation type="list" allowBlank="1" showInputMessage="1" showErrorMessage="1" sqref="D162:D163">
      <formula1>"Carpet Area,Carpet + Encl Balcony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fitToHeight="0" orientation="portrait" r:id="rId2"/>
  <headerFooter>
    <oddHeader>&amp;C&amp;G</oddHeader>
    <oddFooter>&amp;L&amp;"Times New Roman,Bold"&amp;12Ref No: &amp;F&amp;C&amp;G&amp;R&amp;"Times New Roman,Bold"&amp;12&amp;P</oddFooter>
  </headerFooter>
  <rowBreaks count="4" manualBreakCount="4">
    <brk id="74" max="7" man="1"/>
    <brk id="197" max="16383" man="1"/>
    <brk id="239" max="7" man="1"/>
    <brk id="28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84" t="s">
        <v>104</v>
      </c>
      <c r="C3" s="284"/>
      <c r="D3" s="284"/>
      <c r="E3" s="284"/>
      <c r="F3" s="284"/>
      <c r="G3" s="284"/>
      <c r="H3" s="284"/>
    </row>
    <row r="4" spans="1:9" x14ac:dyDescent="0.25">
      <c r="A4" s="2"/>
      <c r="B4" s="3" t="s">
        <v>105</v>
      </c>
      <c r="C4" s="3" t="s">
        <v>106</v>
      </c>
      <c r="D4" s="3" t="s">
        <v>65</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3"/>
      <c r="C4" s="53" t="s">
        <v>11</v>
      </c>
      <c r="D4" s="54" t="s">
        <v>176</v>
      </c>
      <c r="E4" s="54" t="s">
        <v>186</v>
      </c>
      <c r="F4" s="54" t="s">
        <v>170</v>
      </c>
      <c r="G4" s="54" t="s">
        <v>191</v>
      </c>
      <c r="H4" s="54" t="s">
        <v>209</v>
      </c>
      <c r="J4" t="s">
        <v>191</v>
      </c>
      <c r="K4" t="s">
        <v>207</v>
      </c>
    </row>
    <row r="5" spans="2:11" x14ac:dyDescent="0.25">
      <c r="B5" s="53"/>
      <c r="C5" s="53"/>
      <c r="D5" s="54" t="s">
        <v>177</v>
      </c>
      <c r="E5" s="54" t="s">
        <v>184</v>
      </c>
      <c r="F5" s="54" t="s">
        <v>206</v>
      </c>
      <c r="G5" s="54" t="s">
        <v>192</v>
      </c>
      <c r="H5" s="54" t="s">
        <v>210</v>
      </c>
    </row>
    <row r="6" spans="2:11" x14ac:dyDescent="0.25">
      <c r="B6" s="53"/>
      <c r="C6" s="53"/>
      <c r="D6" s="54" t="s">
        <v>178</v>
      </c>
      <c r="E6" s="54" t="s">
        <v>185</v>
      </c>
      <c r="F6" s="54" t="s">
        <v>207</v>
      </c>
      <c r="G6" s="54" t="s">
        <v>193</v>
      </c>
      <c r="H6" s="54" t="s">
        <v>223</v>
      </c>
    </row>
    <row r="7" spans="2:11" x14ac:dyDescent="0.25">
      <c r="B7" s="53"/>
      <c r="C7" s="53"/>
      <c r="D7" s="54" t="s">
        <v>179</v>
      </c>
      <c r="E7" s="54" t="s">
        <v>187</v>
      </c>
      <c r="F7" s="54" t="s">
        <v>208</v>
      </c>
      <c r="G7" s="54" t="s">
        <v>194</v>
      </c>
      <c r="H7" s="54" t="s">
        <v>211</v>
      </c>
    </row>
    <row r="8" spans="2:11" x14ac:dyDescent="0.25">
      <c r="B8" s="53"/>
      <c r="C8" s="53"/>
      <c r="D8" s="54" t="s">
        <v>180</v>
      </c>
      <c r="E8" s="54" t="s">
        <v>188</v>
      </c>
      <c r="F8" s="54"/>
      <c r="G8" s="54" t="s">
        <v>195</v>
      </c>
      <c r="H8" s="54" t="s">
        <v>212</v>
      </c>
    </row>
    <row r="9" spans="2:11" x14ac:dyDescent="0.25">
      <c r="B9" s="53"/>
      <c r="C9" s="53"/>
      <c r="D9" s="54" t="s">
        <v>181</v>
      </c>
      <c r="E9" s="54" t="s">
        <v>186</v>
      </c>
      <c r="F9" s="54"/>
      <c r="G9" s="54" t="s">
        <v>196</v>
      </c>
      <c r="H9" s="54" t="s">
        <v>213</v>
      </c>
    </row>
    <row r="10" spans="2:11" x14ac:dyDescent="0.25">
      <c r="B10" s="53"/>
      <c r="C10" s="53"/>
      <c r="D10" s="54" t="s">
        <v>182</v>
      </c>
      <c r="E10" s="54" t="s">
        <v>189</v>
      </c>
      <c r="F10" s="54"/>
      <c r="G10" s="54" t="s">
        <v>197</v>
      </c>
      <c r="H10" s="54" t="s">
        <v>214</v>
      </c>
    </row>
    <row r="11" spans="2:11" x14ac:dyDescent="0.25">
      <c r="B11" s="53"/>
      <c r="C11" s="53"/>
      <c r="D11" s="54" t="s">
        <v>183</v>
      </c>
      <c r="E11" s="54" t="s">
        <v>190</v>
      </c>
      <c r="F11" s="54"/>
      <c r="G11" s="54" t="s">
        <v>198</v>
      </c>
      <c r="H11" s="54" t="s">
        <v>215</v>
      </c>
    </row>
    <row r="12" spans="2:11" x14ac:dyDescent="0.25">
      <c r="B12" s="53"/>
      <c r="C12" s="53"/>
      <c r="D12" s="54"/>
      <c r="E12" s="54"/>
      <c r="F12" s="54"/>
      <c r="G12" s="54" t="s">
        <v>199</v>
      </c>
      <c r="H12" s="54" t="s">
        <v>216</v>
      </c>
    </row>
    <row r="13" spans="2:11" x14ac:dyDescent="0.25">
      <c r="B13" s="53"/>
      <c r="C13" s="53"/>
      <c r="D13" s="54"/>
      <c r="E13" s="54"/>
      <c r="F13" s="54"/>
      <c r="G13" s="54" t="s">
        <v>200</v>
      </c>
      <c r="H13" s="54" t="s">
        <v>217</v>
      </c>
    </row>
    <row r="14" spans="2:11" x14ac:dyDescent="0.25">
      <c r="B14" s="53"/>
      <c r="C14" s="53"/>
      <c r="D14" s="54"/>
      <c r="E14" s="54"/>
      <c r="F14" s="54"/>
      <c r="G14" s="54" t="s">
        <v>201</v>
      </c>
      <c r="H14" s="54" t="s">
        <v>218</v>
      </c>
    </row>
    <row r="15" spans="2:11" x14ac:dyDescent="0.25">
      <c r="B15" s="53"/>
      <c r="C15" s="53"/>
      <c r="D15" s="54"/>
      <c r="E15" s="54"/>
      <c r="F15" s="54"/>
      <c r="G15" s="54" t="s">
        <v>202</v>
      </c>
      <c r="H15" s="54" t="s">
        <v>219</v>
      </c>
    </row>
    <row r="16" spans="2:11" x14ac:dyDescent="0.25">
      <c r="B16" s="53"/>
      <c r="C16" s="53"/>
      <c r="D16" s="54"/>
      <c r="E16" s="54"/>
      <c r="F16" s="54"/>
      <c r="G16" s="54" t="s">
        <v>203</v>
      </c>
      <c r="H16" s="54" t="s">
        <v>220</v>
      </c>
    </row>
    <row r="17" spans="2:8" x14ac:dyDescent="0.25">
      <c r="B17" s="53"/>
      <c r="C17" s="53"/>
      <c r="D17" s="54"/>
      <c r="E17" s="54"/>
      <c r="F17" s="54"/>
      <c r="G17" s="54" t="s">
        <v>204</v>
      </c>
      <c r="H17" s="54" t="s">
        <v>221</v>
      </c>
    </row>
    <row r="18" spans="2:8" x14ac:dyDescent="0.25">
      <c r="B18" s="53"/>
      <c r="C18" s="53"/>
      <c r="D18" s="54"/>
      <c r="E18" s="54"/>
      <c r="F18" s="54"/>
      <c r="G18" s="54" t="s">
        <v>205</v>
      </c>
      <c r="H18" s="54" t="s">
        <v>222</v>
      </c>
    </row>
    <row r="24" spans="2:8" x14ac:dyDescent="0.25">
      <c r="C24" t="s">
        <v>167</v>
      </c>
    </row>
    <row r="25" spans="2:8" x14ac:dyDescent="0.25">
      <c r="C25" t="s">
        <v>224</v>
      </c>
    </row>
    <row r="26" spans="2:8" x14ac:dyDescent="0.25">
      <c r="C26" t="s">
        <v>225</v>
      </c>
    </row>
    <row r="27" spans="2:8" x14ac:dyDescent="0.25">
      <c r="C27" t="s">
        <v>226</v>
      </c>
    </row>
    <row r="28" spans="2:8" x14ac:dyDescent="0.25">
      <c r="C28" t="s">
        <v>227</v>
      </c>
    </row>
    <row r="29" spans="2:8" x14ac:dyDescent="0.25">
      <c r="C29" t="s">
        <v>228</v>
      </c>
    </row>
    <row r="30" spans="2:8" x14ac:dyDescent="0.25">
      <c r="C30" t="s">
        <v>167</v>
      </c>
    </row>
    <row r="33" spans="3:11" x14ac:dyDescent="0.25">
      <c r="J33">
        <v>1</v>
      </c>
      <c r="K33">
        <v>2</v>
      </c>
    </row>
    <row r="34" spans="3:11" x14ac:dyDescent="0.25">
      <c r="C34" s="55" t="s">
        <v>232</v>
      </c>
      <c r="D34" s="54" t="s">
        <v>230</v>
      </c>
      <c r="E34" s="54" t="s">
        <v>235</v>
      </c>
      <c r="F34" s="54" t="s">
        <v>233</v>
      </c>
      <c r="G34" s="54" t="s">
        <v>234</v>
      </c>
      <c r="H34" s="54" t="s">
        <v>236</v>
      </c>
      <c r="J34" t="s">
        <v>191</v>
      </c>
      <c r="K34" t="s">
        <v>207</v>
      </c>
    </row>
    <row r="35" spans="3:11" x14ac:dyDescent="0.25">
      <c r="C35" s="53" t="s">
        <v>231</v>
      </c>
      <c r="D35" s="54" t="s">
        <v>168</v>
      </c>
      <c r="E35" s="54" t="s">
        <v>240</v>
      </c>
      <c r="F35" s="54" t="s">
        <v>242</v>
      </c>
      <c r="G35" s="54" t="s">
        <v>244</v>
      </c>
      <c r="H35" s="54"/>
    </row>
    <row r="36" spans="3:11" x14ac:dyDescent="0.25">
      <c r="C36" s="53"/>
      <c r="D36" s="54" t="s">
        <v>237</v>
      </c>
      <c r="E36" s="54" t="s">
        <v>241</v>
      </c>
      <c r="F36" s="54" t="s">
        <v>243</v>
      </c>
      <c r="G36" s="54" t="s">
        <v>245</v>
      </c>
      <c r="H36" s="54"/>
    </row>
    <row r="37" spans="3:11" x14ac:dyDescent="0.25">
      <c r="C37" s="53"/>
      <c r="D37" s="54" t="s">
        <v>238</v>
      </c>
      <c r="E37" s="54"/>
      <c r="F37" s="54"/>
      <c r="G37" s="54" t="s">
        <v>246</v>
      </c>
      <c r="H37" s="54"/>
    </row>
    <row r="38" spans="3:11" x14ac:dyDescent="0.25">
      <c r="C38" s="53"/>
      <c r="D38" s="54" t="s">
        <v>239</v>
      </c>
      <c r="E38" s="54"/>
      <c r="F38" s="54"/>
      <c r="G38" s="54" t="s">
        <v>246</v>
      </c>
      <c r="H38" s="54"/>
    </row>
    <row r="39" spans="3:11" x14ac:dyDescent="0.25">
      <c r="C39" s="53"/>
      <c r="D39" s="54"/>
      <c r="E39" s="54"/>
      <c r="F39" s="54"/>
      <c r="G39" s="54" t="s">
        <v>247</v>
      </c>
      <c r="H39" s="54"/>
    </row>
    <row r="40" spans="3:11" x14ac:dyDescent="0.25">
      <c r="C40" s="53"/>
      <c r="D40" s="54"/>
      <c r="E40" s="54"/>
      <c r="F40" s="54"/>
      <c r="G40" s="54" t="s">
        <v>248</v>
      </c>
      <c r="H40" s="54"/>
    </row>
    <row r="41" spans="3:11" x14ac:dyDescent="0.25">
      <c r="C41" s="53"/>
      <c r="D41" s="54"/>
      <c r="E41" s="54"/>
      <c r="F41" s="54"/>
      <c r="G41" s="54"/>
      <c r="H41" s="54"/>
    </row>
    <row r="43" spans="3:11" x14ac:dyDescent="0.25">
      <c r="C43" t="s">
        <v>249</v>
      </c>
    </row>
    <row r="44" spans="3:11" x14ac:dyDescent="0.25">
      <c r="C44" t="s">
        <v>170</v>
      </c>
      <c r="D44" t="s">
        <v>250</v>
      </c>
    </row>
    <row r="45" spans="3:11" x14ac:dyDescent="0.25">
      <c r="D45" t="s">
        <v>251</v>
      </c>
    </row>
    <row r="46" spans="3:11" x14ac:dyDescent="0.25">
      <c r="D46" t="s">
        <v>252</v>
      </c>
    </row>
    <row r="47" spans="3:11" x14ac:dyDescent="0.25">
      <c r="D47" t="s">
        <v>253</v>
      </c>
    </row>
    <row r="48" spans="3:11" x14ac:dyDescent="0.25">
      <c r="D48" t="s">
        <v>254</v>
      </c>
    </row>
    <row r="49" spans="3:4" x14ac:dyDescent="0.25">
      <c r="C49" t="s">
        <v>176</v>
      </c>
      <c r="D49" t="s">
        <v>255</v>
      </c>
    </row>
    <row r="50" spans="3:4" x14ac:dyDescent="0.25">
      <c r="D50" t="s">
        <v>256</v>
      </c>
    </row>
    <row r="51" spans="3:4" x14ac:dyDescent="0.25">
      <c r="D51" t="s">
        <v>257</v>
      </c>
    </row>
    <row r="52" spans="3:4" x14ac:dyDescent="0.25">
      <c r="D52" t="s">
        <v>260</v>
      </c>
    </row>
    <row r="53" spans="3:4" x14ac:dyDescent="0.25">
      <c r="D53" t="s">
        <v>258</v>
      </c>
    </row>
    <row r="54" spans="3:4" x14ac:dyDescent="0.25">
      <c r="D54" t="s">
        <v>259</v>
      </c>
    </row>
    <row r="55" spans="3:4" x14ac:dyDescent="0.25">
      <c r="D55" t="s">
        <v>261</v>
      </c>
    </row>
    <row r="56" spans="3:4" x14ac:dyDescent="0.25">
      <c r="D56" t="s">
        <v>262</v>
      </c>
    </row>
    <row r="57" spans="3:4" x14ac:dyDescent="0.25">
      <c r="D57" t="s">
        <v>263</v>
      </c>
    </row>
    <row r="58" spans="3:4" x14ac:dyDescent="0.25">
      <c r="D58" t="s">
        <v>265</v>
      </c>
    </row>
    <row r="59" spans="3:4" x14ac:dyDescent="0.25">
      <c r="D59" t="s">
        <v>274</v>
      </c>
    </row>
    <row r="60" spans="3:4" x14ac:dyDescent="0.25">
      <c r="C60" t="s">
        <v>191</v>
      </c>
      <c r="D60" t="s">
        <v>266</v>
      </c>
    </row>
    <row r="61" spans="3:4" x14ac:dyDescent="0.25">
      <c r="D61" t="s">
        <v>264</v>
      </c>
    </row>
    <row r="62" spans="3:4" x14ac:dyDescent="0.25">
      <c r="D62" t="s">
        <v>254</v>
      </c>
    </row>
    <row r="63" spans="3:4" x14ac:dyDescent="0.25">
      <c r="D63" t="s">
        <v>267</v>
      </c>
    </row>
    <row r="64" spans="3:4" x14ac:dyDescent="0.25">
      <c r="D64" t="s">
        <v>268</v>
      </c>
    </row>
    <row r="65" spans="3:4" x14ac:dyDescent="0.25">
      <c r="D65" t="s">
        <v>269</v>
      </c>
    </row>
    <row r="66" spans="3:4" x14ac:dyDescent="0.25">
      <c r="D66" t="s">
        <v>270</v>
      </c>
    </row>
    <row r="67" spans="3:4" x14ac:dyDescent="0.25">
      <c r="C67" t="s">
        <v>186</v>
      </c>
      <c r="D67" t="s">
        <v>271</v>
      </c>
    </row>
    <row r="68" spans="3:4" x14ac:dyDescent="0.25">
      <c r="D68" t="s">
        <v>272</v>
      </c>
    </row>
    <row r="69" spans="3:4" x14ac:dyDescent="0.25">
      <c r="D69" t="s">
        <v>273</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54"/>
  <sheetViews>
    <sheetView topLeftCell="A29" zoomScaleNormal="100" workbookViewId="0">
      <selection activeCell="C56" sqref="C56"/>
    </sheetView>
  </sheetViews>
  <sheetFormatPr defaultRowHeight="15" x14ac:dyDescent="0.25"/>
  <cols>
    <col min="2" max="2" width="3" bestFit="1" customWidth="1"/>
    <col min="3" max="3" width="155.28515625" customWidth="1"/>
  </cols>
  <sheetData>
    <row r="2" spans="2:3" ht="15" customHeight="1" x14ac:dyDescent="0.25">
      <c r="B2" s="56">
        <v>1</v>
      </c>
      <c r="C2" s="58" t="s">
        <v>279</v>
      </c>
    </row>
    <row r="3" spans="2:3" x14ac:dyDescent="0.25">
      <c r="B3" s="56">
        <v>2</v>
      </c>
      <c r="C3" s="57" t="s">
        <v>280</v>
      </c>
    </row>
    <row r="4" spans="2:3" x14ac:dyDescent="0.25">
      <c r="B4" s="56">
        <v>3</v>
      </c>
      <c r="C4" s="56" t="s">
        <v>281</v>
      </c>
    </row>
    <row r="5" spans="2:3" x14ac:dyDescent="0.25">
      <c r="B5" s="56">
        <v>4</v>
      </c>
      <c r="C5" s="57" t="s">
        <v>282</v>
      </c>
    </row>
    <row r="6" spans="2:3" x14ac:dyDescent="0.25">
      <c r="B6" s="56">
        <v>5</v>
      </c>
      <c r="C6" s="56" t="s">
        <v>283</v>
      </c>
    </row>
    <row r="7" spans="2:3" ht="30" x14ac:dyDescent="0.25">
      <c r="B7" s="56">
        <v>6</v>
      </c>
      <c r="C7" s="57" t="s">
        <v>284</v>
      </c>
    </row>
    <row r="8" spans="2:3" ht="75" x14ac:dyDescent="0.25">
      <c r="B8" s="56">
        <v>7</v>
      </c>
      <c r="C8" s="57" t="s">
        <v>285</v>
      </c>
    </row>
    <row r="9" spans="2:3" x14ac:dyDescent="0.25">
      <c r="B9" s="56">
        <v>8</v>
      </c>
      <c r="C9" s="56" t="s">
        <v>286</v>
      </c>
    </row>
    <row r="10" spans="2:3" x14ac:dyDescent="0.25">
      <c r="B10" s="56">
        <v>9</v>
      </c>
      <c r="C10" s="56" t="s">
        <v>287</v>
      </c>
    </row>
    <row r="11" spans="2:3" x14ac:dyDescent="0.25">
      <c r="B11" s="56">
        <v>10</v>
      </c>
      <c r="C11" s="56" t="s">
        <v>288</v>
      </c>
    </row>
    <row r="12" spans="2:3" x14ac:dyDescent="0.25">
      <c r="B12" s="56">
        <v>11</v>
      </c>
      <c r="C12" s="56" t="s">
        <v>289</v>
      </c>
    </row>
    <row r="13" spans="2:3" x14ac:dyDescent="0.25">
      <c r="B13" s="56">
        <v>12</v>
      </c>
      <c r="C13" s="56" t="s">
        <v>290</v>
      </c>
    </row>
    <row r="14" spans="2:3" x14ac:dyDescent="0.25">
      <c r="B14" s="56">
        <v>13</v>
      </c>
      <c r="C14" s="56" t="s">
        <v>291</v>
      </c>
    </row>
    <row r="15" spans="2:3" x14ac:dyDescent="0.25">
      <c r="B15" s="56">
        <v>14</v>
      </c>
      <c r="C15" s="56" t="s">
        <v>281</v>
      </c>
    </row>
    <row r="16" spans="2:3" x14ac:dyDescent="0.25">
      <c r="B16" s="56">
        <v>15</v>
      </c>
      <c r="C16" s="56" t="s">
        <v>293</v>
      </c>
    </row>
    <row r="17" spans="2:3" x14ac:dyDescent="0.25">
      <c r="B17" s="76">
        <v>16</v>
      </c>
      <c r="C17" s="62" t="s">
        <v>294</v>
      </c>
    </row>
    <row r="18" spans="2:3" x14ac:dyDescent="0.25">
      <c r="B18" s="61">
        <v>17</v>
      </c>
      <c r="C18" s="62" t="s">
        <v>295</v>
      </c>
    </row>
    <row r="19" spans="2:3" x14ac:dyDescent="0.25">
      <c r="B19" s="60">
        <v>18</v>
      </c>
      <c r="C19" s="56" t="s">
        <v>296</v>
      </c>
    </row>
    <row r="20" spans="2:3" x14ac:dyDescent="0.25">
      <c r="B20" s="61">
        <v>19</v>
      </c>
      <c r="C20" s="56" t="s">
        <v>332</v>
      </c>
    </row>
    <row r="21" spans="2:3" x14ac:dyDescent="0.25">
      <c r="B21" s="56">
        <v>20</v>
      </c>
      <c r="C21" s="56" t="s">
        <v>297</v>
      </c>
    </row>
    <row r="22" spans="2:3" x14ac:dyDescent="0.25">
      <c r="B22" s="61">
        <v>21</v>
      </c>
      <c r="C22" s="56" t="s">
        <v>296</v>
      </c>
    </row>
    <row r="23" spans="2:3" s="71" customFormat="1" ht="29.25" customHeight="1" x14ac:dyDescent="0.25">
      <c r="B23" s="70">
        <v>22</v>
      </c>
      <c r="C23" s="58" t="s">
        <v>324</v>
      </c>
    </row>
    <row r="24" spans="2:3" s="71" customFormat="1" ht="30.75" customHeight="1" x14ac:dyDescent="0.25">
      <c r="B24" s="72">
        <v>23</v>
      </c>
      <c r="C24" s="58" t="s">
        <v>325</v>
      </c>
    </row>
    <row r="25" spans="2:3" x14ac:dyDescent="0.25">
      <c r="B25" s="56">
        <v>24</v>
      </c>
      <c r="C25" s="56" t="s">
        <v>328</v>
      </c>
    </row>
    <row r="26" spans="2:3" x14ac:dyDescent="0.25">
      <c r="B26" s="61">
        <v>25</v>
      </c>
      <c r="C26" s="56" t="s">
        <v>326</v>
      </c>
    </row>
    <row r="27" spans="2:3" x14ac:dyDescent="0.25">
      <c r="B27" s="72">
        <v>26</v>
      </c>
      <c r="C27" s="56" t="s">
        <v>327</v>
      </c>
    </row>
    <row r="28" spans="2:3" x14ac:dyDescent="0.25">
      <c r="B28" s="61">
        <v>27</v>
      </c>
      <c r="C28" s="56" t="s">
        <v>329</v>
      </c>
    </row>
    <row r="29" spans="2:3" ht="60" x14ac:dyDescent="0.25">
      <c r="B29" s="75">
        <v>28</v>
      </c>
      <c r="C29" s="57" t="s">
        <v>330</v>
      </c>
    </row>
    <row r="30" spans="2:3" x14ac:dyDescent="0.25">
      <c r="B30" s="72">
        <v>29</v>
      </c>
      <c r="C30" s="56" t="s">
        <v>331</v>
      </c>
    </row>
    <row r="31" spans="2:3" ht="30" x14ac:dyDescent="0.25">
      <c r="B31" s="72">
        <v>30</v>
      </c>
      <c r="C31" s="57" t="s">
        <v>333</v>
      </c>
    </row>
    <row r="32" spans="2:3" x14ac:dyDescent="0.25">
      <c r="B32" s="72">
        <v>31</v>
      </c>
      <c r="C32" s="56" t="s">
        <v>334</v>
      </c>
    </row>
    <row r="33" spans="2:4" x14ac:dyDescent="0.25">
      <c r="B33" s="72">
        <v>32</v>
      </c>
      <c r="C33" s="56" t="s">
        <v>335</v>
      </c>
    </row>
    <row r="34" spans="2:4" ht="36.75" customHeight="1" x14ac:dyDescent="0.25">
      <c r="B34" s="72">
        <v>33</v>
      </c>
      <c r="C34" s="62" t="s">
        <v>336</v>
      </c>
    </row>
    <row r="35" spans="2:4" x14ac:dyDescent="0.25">
      <c r="B35" s="70">
        <v>34</v>
      </c>
      <c r="C35" s="56" t="s">
        <v>344</v>
      </c>
    </row>
    <row r="36" spans="2:4" ht="60" x14ac:dyDescent="0.25">
      <c r="B36" s="70">
        <v>35</v>
      </c>
      <c r="C36" s="57" t="s">
        <v>346</v>
      </c>
    </row>
    <row r="37" spans="2:4" x14ac:dyDescent="0.25">
      <c r="B37" s="56">
        <v>36</v>
      </c>
      <c r="C37" s="57" t="s">
        <v>357</v>
      </c>
    </row>
    <row r="38" spans="2:4" x14ac:dyDescent="0.25">
      <c r="B38" s="56">
        <f t="shared" ref="B38:B44" si="0">B37+1</f>
        <v>37</v>
      </c>
      <c r="C38" s="56" t="s">
        <v>353</v>
      </c>
    </row>
    <row r="39" spans="2:4" x14ac:dyDescent="0.25">
      <c r="B39" s="56">
        <f t="shared" si="0"/>
        <v>38</v>
      </c>
      <c r="C39" s="56" t="s">
        <v>354</v>
      </c>
    </row>
    <row r="40" spans="2:4" x14ac:dyDescent="0.25">
      <c r="B40" s="56">
        <f t="shared" si="0"/>
        <v>39</v>
      </c>
      <c r="C40" s="56" t="s">
        <v>355</v>
      </c>
    </row>
    <row r="41" spans="2:4" x14ac:dyDescent="0.25">
      <c r="B41" s="56">
        <f t="shared" si="0"/>
        <v>40</v>
      </c>
      <c r="C41" s="56" t="s">
        <v>356</v>
      </c>
    </row>
    <row r="42" spans="2:4" ht="30.75" thickBot="1" x14ac:dyDescent="0.3">
      <c r="B42" s="79">
        <f t="shared" si="0"/>
        <v>41</v>
      </c>
      <c r="C42" s="80" t="s">
        <v>358</v>
      </c>
    </row>
    <row r="43" spans="2:4" ht="30" x14ac:dyDescent="0.25">
      <c r="B43" s="83">
        <f t="shared" si="0"/>
        <v>42</v>
      </c>
      <c r="C43" s="88" t="s">
        <v>363</v>
      </c>
      <c r="D43" t="s">
        <v>364</v>
      </c>
    </row>
    <row r="44" spans="2:4" ht="15.75" thickBot="1" x14ac:dyDescent="0.3">
      <c r="B44" s="85">
        <f t="shared" si="0"/>
        <v>43</v>
      </c>
      <c r="C44" s="87" t="s">
        <v>359</v>
      </c>
    </row>
    <row r="45" spans="2:4" ht="15.75" thickBot="1" x14ac:dyDescent="0.3">
      <c r="B45" s="81">
        <f t="shared" ref="B45:B54" si="1">B44+1</f>
        <v>44</v>
      </c>
      <c r="C45" s="82" t="s">
        <v>360</v>
      </c>
    </row>
    <row r="46" spans="2:4" ht="30" x14ac:dyDescent="0.25">
      <c r="B46" s="83">
        <f t="shared" si="1"/>
        <v>45</v>
      </c>
      <c r="C46" s="84" t="s">
        <v>361</v>
      </c>
    </row>
    <row r="47" spans="2:4" ht="15.75" thickBot="1" x14ac:dyDescent="0.3">
      <c r="B47" s="85">
        <f t="shared" si="1"/>
        <v>46</v>
      </c>
      <c r="C47" s="86" t="s">
        <v>362</v>
      </c>
    </row>
    <row r="48" spans="2:4" x14ac:dyDescent="0.25">
      <c r="B48" s="89">
        <f t="shared" si="1"/>
        <v>47</v>
      </c>
      <c r="C48" s="90" t="s">
        <v>365</v>
      </c>
    </row>
    <row r="49" spans="2:4" x14ac:dyDescent="0.25">
      <c r="B49" s="89">
        <f t="shared" si="1"/>
        <v>48</v>
      </c>
      <c r="C49" s="90" t="s">
        <v>366</v>
      </c>
    </row>
    <row r="50" spans="2:4" x14ac:dyDescent="0.25">
      <c r="B50" s="89">
        <f t="shared" si="1"/>
        <v>49</v>
      </c>
      <c r="C50" s="90" t="s">
        <v>368</v>
      </c>
      <c r="D50" t="s">
        <v>367</v>
      </c>
    </row>
    <row r="51" spans="2:4" ht="30" x14ac:dyDescent="0.25">
      <c r="B51" s="91">
        <f t="shared" si="1"/>
        <v>50</v>
      </c>
      <c r="C51" s="92" t="s">
        <v>369</v>
      </c>
    </row>
    <row r="52" spans="2:4" x14ac:dyDescent="0.25">
      <c r="B52" s="91">
        <f t="shared" si="1"/>
        <v>51</v>
      </c>
      <c r="C52" s="93" t="s">
        <v>372</v>
      </c>
      <c r="D52" t="s">
        <v>373</v>
      </c>
    </row>
    <row r="53" spans="2:4" x14ac:dyDescent="0.25">
      <c r="B53" s="91">
        <f t="shared" si="1"/>
        <v>52</v>
      </c>
      <c r="C53" s="93" t="s">
        <v>375</v>
      </c>
      <c r="D53" t="s">
        <v>376</v>
      </c>
    </row>
    <row r="54" spans="2:4" x14ac:dyDescent="0.25">
      <c r="B54" s="91">
        <f t="shared" si="1"/>
        <v>53</v>
      </c>
      <c r="C54" s="56" t="s">
        <v>377</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53"/>
    <col min="2" max="2" width="12.28515625" style="53" customWidth="1"/>
    <col min="3" max="16384" width="9.140625" style="53"/>
  </cols>
  <sheetData>
    <row r="2" spans="1:12" x14ac:dyDescent="0.25">
      <c r="B2" s="64" t="s">
        <v>298</v>
      </c>
      <c r="C2" s="285"/>
      <c r="D2" s="285"/>
    </row>
    <row r="3" spans="1:12" x14ac:dyDescent="0.25">
      <c r="D3" s="65"/>
      <c r="E3" s="65"/>
      <c r="F3" s="65"/>
      <c r="G3" s="65"/>
      <c r="H3" s="65"/>
      <c r="I3" s="65"/>
    </row>
    <row r="4" spans="1:12" x14ac:dyDescent="0.25">
      <c r="A4" s="64" t="s">
        <v>65</v>
      </c>
      <c r="B4" s="66" t="s">
        <v>299</v>
      </c>
      <c r="C4" s="286" t="s">
        <v>300</v>
      </c>
      <c r="D4" s="286"/>
      <c r="E4" s="286"/>
      <c r="F4" s="66"/>
      <c r="G4" s="287" t="s">
        <v>301</v>
      </c>
      <c r="H4" s="287"/>
      <c r="I4" s="287"/>
      <c r="J4" s="288" t="s">
        <v>302</v>
      </c>
      <c r="K4" s="288"/>
      <c r="L4" s="288"/>
    </row>
    <row r="5" spans="1:12" x14ac:dyDescent="0.25">
      <c r="A5" s="64"/>
      <c r="B5" s="66"/>
      <c r="C5" s="66" t="s">
        <v>303</v>
      </c>
      <c r="D5" s="66" t="s">
        <v>304</v>
      </c>
      <c r="E5" s="66" t="s">
        <v>305</v>
      </c>
      <c r="F5" s="66"/>
      <c r="G5" s="66" t="s">
        <v>303</v>
      </c>
      <c r="H5" s="66" t="s">
        <v>304</v>
      </c>
      <c r="I5" s="66" t="s">
        <v>305</v>
      </c>
      <c r="J5" s="66" t="s">
        <v>303</v>
      </c>
      <c r="K5" s="66" t="s">
        <v>304</v>
      </c>
      <c r="L5" s="66" t="s">
        <v>305</v>
      </c>
    </row>
    <row r="6" spans="1:12" x14ac:dyDescent="0.25">
      <c r="B6" s="54" t="s">
        <v>306</v>
      </c>
      <c r="C6" s="54"/>
      <c r="D6" s="54"/>
      <c r="E6" s="54">
        <f>C6*D6</f>
        <v>0</v>
      </c>
      <c r="F6" s="54" t="s">
        <v>323</v>
      </c>
      <c r="G6" s="54"/>
      <c r="H6" s="54"/>
      <c r="I6" s="54">
        <f>G6*H6</f>
        <v>0</v>
      </c>
      <c r="J6" s="54"/>
      <c r="K6" s="54"/>
      <c r="L6" s="54">
        <f>J6*K6</f>
        <v>0</v>
      </c>
    </row>
    <row r="7" spans="1:12" x14ac:dyDescent="0.25">
      <c r="B7" s="54"/>
      <c r="C7" s="54"/>
      <c r="D7" s="54"/>
      <c r="E7" s="54">
        <f t="shared" ref="E7:E41" si="0">C7*D7</f>
        <v>0</v>
      </c>
      <c r="F7" s="54" t="s">
        <v>323</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307</v>
      </c>
      <c r="G9" s="54"/>
      <c r="H9" s="54"/>
      <c r="I9" s="54">
        <f t="shared" si="1"/>
        <v>0</v>
      </c>
      <c r="J9" s="54"/>
      <c r="K9" s="54"/>
      <c r="L9" s="54">
        <f t="shared" si="2"/>
        <v>0</v>
      </c>
    </row>
    <row r="10" spans="1:12" x14ac:dyDescent="0.25">
      <c r="B10" s="54" t="s">
        <v>308</v>
      </c>
      <c r="C10" s="54"/>
      <c r="D10" s="54"/>
      <c r="E10" s="54">
        <f t="shared" si="0"/>
        <v>0</v>
      </c>
      <c r="F10" s="54" t="s">
        <v>307</v>
      </c>
      <c r="G10" s="54"/>
      <c r="H10" s="54"/>
      <c r="I10" s="54">
        <f t="shared" si="1"/>
        <v>0</v>
      </c>
      <c r="J10" s="54"/>
      <c r="K10" s="54"/>
      <c r="L10" s="54">
        <f t="shared" si="2"/>
        <v>0</v>
      </c>
    </row>
    <row r="11" spans="1:12" x14ac:dyDescent="0.25">
      <c r="B11" s="54"/>
      <c r="C11" s="54"/>
      <c r="D11" s="54"/>
      <c r="E11" s="54">
        <f t="shared" si="0"/>
        <v>0</v>
      </c>
      <c r="F11" s="54" t="s">
        <v>309</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310</v>
      </c>
      <c r="C14" s="54"/>
      <c r="D14" s="54"/>
      <c r="E14" s="54">
        <f t="shared" si="0"/>
        <v>0</v>
      </c>
      <c r="F14" s="54" t="s">
        <v>307</v>
      </c>
      <c r="G14" s="54"/>
      <c r="H14" s="54"/>
      <c r="I14" s="54">
        <f t="shared" si="1"/>
        <v>0</v>
      </c>
      <c r="J14" s="54"/>
      <c r="K14" s="54"/>
      <c r="L14" s="54">
        <f t="shared" si="2"/>
        <v>0</v>
      </c>
    </row>
    <row r="15" spans="1:12" x14ac:dyDescent="0.25">
      <c r="B15" s="54"/>
      <c r="C15" s="54"/>
      <c r="D15" s="54"/>
      <c r="E15" s="54">
        <f t="shared" si="0"/>
        <v>0</v>
      </c>
      <c r="F15" s="54" t="s">
        <v>309</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311</v>
      </c>
      <c r="C18" s="54"/>
      <c r="D18" s="54"/>
      <c r="E18" s="54">
        <f t="shared" si="0"/>
        <v>0</v>
      </c>
      <c r="F18" s="54" t="s">
        <v>307</v>
      </c>
      <c r="G18" s="54"/>
      <c r="H18" s="54"/>
      <c r="I18" s="54">
        <f t="shared" si="1"/>
        <v>0</v>
      </c>
      <c r="J18" s="54"/>
      <c r="K18" s="54"/>
      <c r="L18" s="54">
        <f t="shared" si="2"/>
        <v>0</v>
      </c>
    </row>
    <row r="19" spans="2:12" x14ac:dyDescent="0.25">
      <c r="B19" s="54"/>
      <c r="C19" s="54"/>
      <c r="D19" s="54"/>
      <c r="E19" s="54">
        <f t="shared" si="0"/>
        <v>0</v>
      </c>
      <c r="F19" s="54" t="s">
        <v>309</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312</v>
      </c>
      <c r="C21" s="54"/>
      <c r="D21" s="54"/>
      <c r="E21" s="54">
        <f t="shared" si="0"/>
        <v>0</v>
      </c>
      <c r="F21" s="54" t="s">
        <v>307</v>
      </c>
      <c r="G21" s="54"/>
      <c r="H21" s="54"/>
      <c r="I21" s="54">
        <f t="shared" si="1"/>
        <v>0</v>
      </c>
      <c r="J21" s="54"/>
      <c r="K21" s="54"/>
      <c r="L21" s="54">
        <f t="shared" si="2"/>
        <v>0</v>
      </c>
    </row>
    <row r="22" spans="2:12" x14ac:dyDescent="0.25">
      <c r="B22" s="54"/>
      <c r="C22" s="54"/>
      <c r="D22" s="54"/>
      <c r="E22" s="54">
        <f t="shared" si="0"/>
        <v>0</v>
      </c>
      <c r="F22" s="54" t="s">
        <v>309</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313</v>
      </c>
      <c r="C24" s="54"/>
      <c r="D24" s="54"/>
      <c r="E24" s="54">
        <f t="shared" si="0"/>
        <v>0</v>
      </c>
      <c r="F24" s="54" t="s">
        <v>314</v>
      </c>
      <c r="G24" s="54"/>
      <c r="H24" s="54"/>
      <c r="I24" s="54">
        <f t="shared" si="1"/>
        <v>0</v>
      </c>
      <c r="J24" s="54"/>
      <c r="K24" s="54"/>
      <c r="L24" s="54">
        <f t="shared" si="2"/>
        <v>0</v>
      </c>
    </row>
    <row r="25" spans="2:12" x14ac:dyDescent="0.25">
      <c r="B25" s="54"/>
      <c r="C25" s="54"/>
      <c r="D25" s="54"/>
      <c r="E25" s="54">
        <f>C25*D25</f>
        <v>0</v>
      </c>
      <c r="F25" s="54" t="s">
        <v>314</v>
      </c>
      <c r="G25" s="54"/>
      <c r="H25" s="54"/>
      <c r="I25" s="54">
        <f>G25*H25</f>
        <v>0</v>
      </c>
      <c r="J25" s="54"/>
      <c r="K25" s="54"/>
      <c r="L25" s="54">
        <f>J25*K25</f>
        <v>0</v>
      </c>
    </row>
    <row r="26" spans="2:12" x14ac:dyDescent="0.25">
      <c r="B26" s="54"/>
      <c r="C26" s="54"/>
      <c r="D26" s="54"/>
      <c r="E26" s="54">
        <f>C26*D26</f>
        <v>0</v>
      </c>
      <c r="F26" s="54" t="s">
        <v>314</v>
      </c>
      <c r="G26" s="54"/>
      <c r="H26" s="54"/>
      <c r="I26" s="54">
        <f>G26*H26</f>
        <v>0</v>
      </c>
      <c r="J26" s="54"/>
      <c r="K26" s="54"/>
      <c r="L26" s="54">
        <f>J26*K26</f>
        <v>0</v>
      </c>
    </row>
    <row r="27" spans="2:12" x14ac:dyDescent="0.25">
      <c r="B27" s="54"/>
      <c r="C27" s="54"/>
      <c r="D27" s="54"/>
      <c r="E27" s="54">
        <f>C27*D27</f>
        <v>0</v>
      </c>
      <c r="F27" s="54" t="s">
        <v>314</v>
      </c>
      <c r="G27" s="54"/>
      <c r="H27" s="54"/>
      <c r="I27" s="54">
        <f>G27*H27</f>
        <v>0</v>
      </c>
      <c r="J27" s="54"/>
      <c r="K27" s="54"/>
      <c r="L27" s="54">
        <f>J27*K27</f>
        <v>0</v>
      </c>
    </row>
    <row r="28" spans="2:12" x14ac:dyDescent="0.25">
      <c r="B28" s="54" t="s">
        <v>315</v>
      </c>
      <c r="C28" s="54"/>
      <c r="D28" s="54"/>
      <c r="E28" s="54">
        <f t="shared" si="0"/>
        <v>0</v>
      </c>
      <c r="F28" s="54" t="s">
        <v>314</v>
      </c>
      <c r="G28" s="54"/>
      <c r="H28" s="54"/>
      <c r="I28" s="54">
        <f t="shared" si="1"/>
        <v>0</v>
      </c>
      <c r="J28" s="54"/>
      <c r="K28" s="54"/>
      <c r="L28" s="54">
        <f t="shared" si="2"/>
        <v>0</v>
      </c>
    </row>
    <row r="29" spans="2:12" x14ac:dyDescent="0.25">
      <c r="B29" s="54" t="s">
        <v>316</v>
      </c>
      <c r="C29" s="54"/>
      <c r="D29" s="54"/>
      <c r="E29" s="54">
        <f t="shared" si="0"/>
        <v>0</v>
      </c>
      <c r="F29" s="54" t="s">
        <v>314</v>
      </c>
      <c r="G29" s="54"/>
      <c r="H29" s="54"/>
      <c r="I29" s="54">
        <f t="shared" si="1"/>
        <v>0</v>
      </c>
      <c r="J29" s="54"/>
      <c r="K29" s="54"/>
      <c r="L29" s="54">
        <f t="shared" si="2"/>
        <v>0</v>
      </c>
    </row>
    <row r="30" spans="2:12" x14ac:dyDescent="0.25">
      <c r="B30" s="54" t="s">
        <v>320</v>
      </c>
      <c r="C30" s="54"/>
      <c r="D30" s="54"/>
      <c r="E30" s="54">
        <f t="shared" si="0"/>
        <v>0</v>
      </c>
      <c r="F30" s="54"/>
      <c r="G30" s="54"/>
      <c r="H30" s="54"/>
      <c r="I30" s="54">
        <f t="shared" si="1"/>
        <v>0</v>
      </c>
      <c r="J30" s="54"/>
      <c r="K30" s="54"/>
      <c r="L30" s="54">
        <f t="shared" si="2"/>
        <v>0</v>
      </c>
    </row>
    <row r="31" spans="2:12" x14ac:dyDescent="0.25">
      <c r="B31" s="54"/>
      <c r="C31" s="54"/>
      <c r="D31" s="54"/>
      <c r="E31" s="54">
        <f>C31*D31</f>
        <v>0</v>
      </c>
      <c r="F31" s="54"/>
      <c r="G31" s="54"/>
      <c r="H31" s="54"/>
      <c r="I31" s="54">
        <f>G31*H31</f>
        <v>0</v>
      </c>
      <c r="J31" s="54"/>
      <c r="K31" s="54"/>
      <c r="L31" s="54">
        <f>J31*K31</f>
        <v>0</v>
      </c>
    </row>
    <row r="32" spans="2:12" x14ac:dyDescent="0.25">
      <c r="B32" s="54"/>
      <c r="C32" s="54"/>
      <c r="D32" s="54"/>
      <c r="E32" s="54">
        <f>C32*D32</f>
        <v>0</v>
      </c>
      <c r="F32" s="54"/>
      <c r="G32" s="54"/>
      <c r="H32" s="54"/>
      <c r="I32" s="54">
        <f>G32*H32</f>
        <v>0</v>
      </c>
      <c r="J32" s="54"/>
      <c r="K32" s="54"/>
      <c r="L32" s="54">
        <f>J32*K32</f>
        <v>0</v>
      </c>
    </row>
    <row r="33" spans="2:12" x14ac:dyDescent="0.25">
      <c r="B33" s="54" t="s">
        <v>317</v>
      </c>
      <c r="C33" s="54"/>
      <c r="D33" s="54"/>
      <c r="E33" s="54">
        <f t="shared" si="0"/>
        <v>0</v>
      </c>
      <c r="F33" s="54"/>
      <c r="G33" s="54"/>
      <c r="H33" s="54"/>
      <c r="I33" s="54">
        <f t="shared" si="1"/>
        <v>0</v>
      </c>
      <c r="J33" s="54"/>
      <c r="K33" s="54"/>
      <c r="L33" s="54">
        <f t="shared" si="2"/>
        <v>0</v>
      </c>
    </row>
    <row r="34" spans="2:12" x14ac:dyDescent="0.25">
      <c r="B34" s="54" t="s">
        <v>321</v>
      </c>
      <c r="C34" s="54"/>
      <c r="D34" s="54"/>
      <c r="E34" s="54">
        <f t="shared" si="0"/>
        <v>0</v>
      </c>
      <c r="F34" s="54"/>
      <c r="G34" s="54"/>
      <c r="H34" s="54"/>
      <c r="I34" s="54">
        <f t="shared" si="1"/>
        <v>0</v>
      </c>
      <c r="J34" s="54"/>
      <c r="K34" s="54"/>
      <c r="L34" s="54">
        <f t="shared" si="2"/>
        <v>0</v>
      </c>
    </row>
    <row r="35" spans="2:12" x14ac:dyDescent="0.25">
      <c r="B35" s="54" t="s">
        <v>318</v>
      </c>
      <c r="C35" s="54"/>
      <c r="D35" s="54"/>
      <c r="E35" s="54">
        <f t="shared" si="0"/>
        <v>0</v>
      </c>
      <c r="F35" s="54"/>
      <c r="G35" s="54"/>
      <c r="H35" s="54"/>
      <c r="I35" s="54">
        <f t="shared" si="1"/>
        <v>0</v>
      </c>
      <c r="J35" s="54"/>
      <c r="K35" s="54"/>
      <c r="L35" s="54">
        <f t="shared" si="2"/>
        <v>0</v>
      </c>
    </row>
    <row r="36" spans="2:12" x14ac:dyDescent="0.25">
      <c r="B36" s="54" t="s">
        <v>319</v>
      </c>
      <c r="C36" s="54"/>
      <c r="D36" s="54"/>
      <c r="E36" s="54">
        <f t="shared" si="0"/>
        <v>0</v>
      </c>
      <c r="F36" s="54"/>
      <c r="G36" s="54"/>
      <c r="H36" s="54"/>
      <c r="I36" s="54">
        <f t="shared" ref="I36:I41" si="3">G36*H36</f>
        <v>0</v>
      </c>
      <c r="J36" s="54"/>
      <c r="K36" s="54"/>
      <c r="L36" s="54">
        <f t="shared" ref="L36:L41" si="4">J36*K36</f>
        <v>0</v>
      </c>
    </row>
    <row r="37" spans="2:12" x14ac:dyDescent="0.25">
      <c r="B37" s="54"/>
      <c r="C37" s="54"/>
      <c r="D37" s="54"/>
      <c r="E37" s="54">
        <f>C37*D37</f>
        <v>0</v>
      </c>
      <c r="F37" s="54"/>
      <c r="G37" s="54"/>
      <c r="H37" s="54"/>
      <c r="I37" s="54">
        <f t="shared" si="3"/>
        <v>0</v>
      </c>
      <c r="J37" s="54"/>
      <c r="K37" s="54"/>
      <c r="L37" s="54">
        <f t="shared" si="4"/>
        <v>0</v>
      </c>
    </row>
    <row r="38" spans="2:12" x14ac:dyDescent="0.25">
      <c r="B38" s="54" t="s">
        <v>322</v>
      </c>
      <c r="C38" s="54"/>
      <c r="D38" s="54"/>
      <c r="E38" s="54">
        <f>C38*D38</f>
        <v>0</v>
      </c>
      <c r="F38" s="54"/>
      <c r="G38" s="54"/>
      <c r="H38" s="54"/>
      <c r="I38" s="54">
        <f t="shared" si="3"/>
        <v>0</v>
      </c>
      <c r="J38" s="54"/>
      <c r="K38" s="54"/>
      <c r="L38" s="54">
        <f t="shared" si="4"/>
        <v>0</v>
      </c>
    </row>
    <row r="39" spans="2:12" x14ac:dyDescent="0.25">
      <c r="B39" s="54"/>
      <c r="C39" s="54"/>
      <c r="D39" s="54"/>
      <c r="E39" s="54">
        <f t="shared" si="0"/>
        <v>0</v>
      </c>
      <c r="F39" s="54"/>
      <c r="G39" s="54"/>
      <c r="H39" s="54"/>
      <c r="I39" s="54">
        <f t="shared" si="3"/>
        <v>0</v>
      </c>
      <c r="J39" s="54"/>
      <c r="K39" s="54"/>
      <c r="L39" s="54">
        <f t="shared" si="4"/>
        <v>0</v>
      </c>
    </row>
    <row r="40" spans="2:12" x14ac:dyDescent="0.25">
      <c r="B40" s="54"/>
      <c r="C40" s="54"/>
      <c r="D40" s="54"/>
      <c r="E40" s="54">
        <f t="shared" si="0"/>
        <v>0</v>
      </c>
      <c r="F40" s="54"/>
      <c r="G40" s="54"/>
      <c r="H40" s="54"/>
      <c r="I40" s="54">
        <f t="shared" si="3"/>
        <v>0</v>
      </c>
      <c r="J40" s="54"/>
      <c r="K40" s="54"/>
      <c r="L40" s="54">
        <f t="shared" si="4"/>
        <v>0</v>
      </c>
    </row>
    <row r="41" spans="2:12" x14ac:dyDescent="0.25">
      <c r="B41" s="54"/>
      <c r="C41" s="54"/>
      <c r="D41" s="54"/>
      <c r="E41" s="54">
        <f t="shared" si="0"/>
        <v>0</v>
      </c>
      <c r="F41" s="54"/>
      <c r="G41" s="54"/>
      <c r="H41" s="54"/>
      <c r="I41" s="54">
        <f t="shared" si="3"/>
        <v>0</v>
      </c>
      <c r="J41" s="54"/>
      <c r="K41" s="54"/>
      <c r="L41" s="54">
        <f t="shared" si="4"/>
        <v>0</v>
      </c>
    </row>
    <row r="42" spans="2:12" x14ac:dyDescent="0.25">
      <c r="B42" s="54" t="s">
        <v>148</v>
      </c>
      <c r="C42" s="54"/>
      <c r="D42" s="54">
        <f>E42*10.764</f>
        <v>0</v>
      </c>
      <c r="E42" s="69">
        <f>SUM(E6:E41)</f>
        <v>0</v>
      </c>
      <c r="F42" s="54"/>
      <c r="G42" s="54"/>
      <c r="H42" s="54">
        <f>I42*10.764</f>
        <v>0</v>
      </c>
      <c r="I42" s="68">
        <f>SUM(I6:I41)</f>
        <v>0</v>
      </c>
      <c r="J42" s="54"/>
      <c r="K42" s="54">
        <f>L42*10.764</f>
        <v>0</v>
      </c>
      <c r="L42" s="67">
        <f>SUM(L6:L41)</f>
        <v>0</v>
      </c>
    </row>
    <row r="44" spans="2:12" x14ac:dyDescent="0.25">
      <c r="D44" s="53">
        <f>D42+H42</f>
        <v>0</v>
      </c>
      <c r="E44" s="5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2025-05-30T13:01:34Z</cp:lastPrinted>
  <dcterms:created xsi:type="dcterms:W3CDTF">2019-07-16T09:29:46Z</dcterms:created>
  <dcterms:modified xsi:type="dcterms:W3CDTF">2025-10-03T12:23:47Z</dcterms:modified>
</cp:coreProperties>
</file>