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Aug 2025\Correction\"/>
    </mc:Choice>
  </mc:AlternateContent>
  <bookViews>
    <workbookView xWindow="0" yWindow="0" windowWidth="20490" windowHeight="6855" tabRatio="725"/>
  </bookViews>
  <sheets>
    <sheet name="Report" sheetId="1" r:id="rId1"/>
    <sheet name="valuation" sheetId="5" r:id="rId2"/>
    <sheet name="Note" sheetId="4" r:id="rId3"/>
  </sheets>
  <definedNames>
    <definedName name="_xlnm.Print_Area" localSheetId="0">Report!$A$1:$H$434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4" i="1" l="1"/>
  <c r="A292" i="1" l="1"/>
  <c r="A293" i="1" s="1"/>
  <c r="I202" i="1"/>
  <c r="I204" i="1"/>
  <c r="I206" i="1"/>
  <c r="I205" i="1"/>
  <c r="K196" i="1"/>
  <c r="D214" i="1"/>
  <c r="F214" i="1" s="1"/>
  <c r="D213" i="1"/>
  <c r="F213" i="1" s="1"/>
  <c r="D212" i="1"/>
  <c r="F212" i="1" s="1"/>
  <c r="D211" i="1"/>
  <c r="F211" i="1" s="1"/>
  <c r="D207" i="1"/>
  <c r="F207" i="1" s="1"/>
  <c r="D206" i="1"/>
  <c r="F206" i="1" s="1"/>
  <c r="D205" i="1"/>
  <c r="F205" i="1" s="1"/>
  <c r="D204" i="1"/>
  <c r="F204" i="1" s="1"/>
  <c r="D203" i="1"/>
  <c r="F203" i="1" s="1"/>
  <c r="D202" i="1"/>
  <c r="F202" i="1" s="1"/>
  <c r="G209" i="1"/>
  <c r="I201" i="1"/>
  <c r="G202" i="1"/>
  <c r="C101" i="1"/>
  <c r="J112" i="1"/>
  <c r="J111" i="1"/>
  <c r="J110" i="1"/>
  <c r="J109" i="1"/>
  <c r="C108" i="1"/>
  <c r="G52" i="1"/>
  <c r="C52" i="1"/>
  <c r="D234" i="1"/>
  <c r="D228" i="1"/>
  <c r="D223" i="1"/>
  <c r="O209" i="1"/>
  <c r="P202" i="1"/>
  <c r="H102" i="1"/>
  <c r="O202" i="1"/>
  <c r="P209" i="1"/>
  <c r="G160" i="1" l="1"/>
  <c r="E160" i="1"/>
  <c r="C160" i="1"/>
  <c r="O210" i="1"/>
  <c r="N209" i="1"/>
  <c r="P210" i="1"/>
  <c r="P211" i="1" s="1"/>
  <c r="P212" i="1" s="1"/>
  <c r="P213" i="1" s="1"/>
  <c r="P214" i="1" s="1"/>
  <c r="O203" i="1"/>
  <c r="N202" i="1"/>
  <c r="P203" i="1"/>
  <c r="P204" i="1" s="1"/>
  <c r="P205" i="1" s="1"/>
  <c r="P206" i="1" s="1"/>
  <c r="P207" i="1" s="1"/>
  <c r="D114" i="1"/>
  <c r="D113" i="1"/>
  <c r="D111" i="1"/>
  <c r="D109" i="1"/>
  <c r="J107" i="1"/>
  <c r="J108" i="1" s="1"/>
  <c r="J113" i="1" s="1"/>
  <c r="J114" i="1" s="1"/>
  <c r="C106" i="1" s="1"/>
  <c r="D107" i="1"/>
  <c r="J105" i="1"/>
  <c r="D112" i="1"/>
  <c r="D110" i="1"/>
  <c r="D108" i="1"/>
  <c r="J106" i="1"/>
  <c r="C105" i="1" s="1"/>
  <c r="J104" i="1"/>
  <c r="C99" i="1"/>
  <c r="I220" i="1"/>
  <c r="I231" i="1"/>
  <c r="D231" i="1"/>
  <c r="F231" i="1" s="1"/>
  <c r="P231" i="1"/>
  <c r="O231" i="1"/>
  <c r="D235" i="1"/>
  <c r="F235" i="1" s="1"/>
  <c r="F234" i="1"/>
  <c r="D233" i="1"/>
  <c r="F233" i="1" s="1"/>
  <c r="G231" i="1"/>
  <c r="D229" i="1"/>
  <c r="D227" i="1"/>
  <c r="F223" i="1"/>
  <c r="I223" i="1"/>
  <c r="D222" i="1"/>
  <c r="F222" i="1" s="1"/>
  <c r="D224" i="1"/>
  <c r="F224" i="1" s="1"/>
  <c r="I224" i="1"/>
  <c r="I222" i="1"/>
  <c r="D221" i="1"/>
  <c r="G221" i="1"/>
  <c r="G222" i="1" s="1"/>
  <c r="G223" i="1" s="1"/>
  <c r="G224" i="1" s="1"/>
  <c r="G53" i="1"/>
  <c r="C53" i="1"/>
  <c r="I180" i="1"/>
  <c r="I195" i="1"/>
  <c r="D195" i="1"/>
  <c r="D193" i="1"/>
  <c r="D192" i="1"/>
  <c r="D191" i="1"/>
  <c r="F191" i="1" s="1"/>
  <c r="D188" i="1"/>
  <c r="F188" i="1" s="1"/>
  <c r="D187" i="1"/>
  <c r="F187" i="1" s="1"/>
  <c r="D186" i="1"/>
  <c r="F186" i="1" s="1"/>
  <c r="G186" i="1"/>
  <c r="G187" i="1" s="1"/>
  <c r="G188" i="1" s="1"/>
  <c r="G189" i="1" s="1"/>
  <c r="D184" i="1"/>
  <c r="D183" i="1"/>
  <c r="D182" i="1"/>
  <c r="D181" i="1"/>
  <c r="D179" i="1"/>
  <c r="F179" i="1" s="1"/>
  <c r="D178" i="1"/>
  <c r="F178" i="1" s="1"/>
  <c r="D177" i="1"/>
  <c r="F177" i="1" s="1"/>
  <c r="D176" i="1"/>
  <c r="G176" i="1"/>
  <c r="G177" i="1" s="1"/>
  <c r="G178" i="1" s="1"/>
  <c r="G179" i="1" s="1"/>
  <c r="C122" i="1"/>
  <c r="D254" i="1"/>
  <c r="D253" i="1"/>
  <c r="D245" i="1"/>
  <c r="D246" i="1"/>
  <c r="D247" i="1"/>
  <c r="D244" i="1"/>
  <c r="D250" i="1"/>
  <c r="D249" i="1"/>
  <c r="D243" i="1"/>
  <c r="D242" i="1"/>
  <c r="D262" i="1"/>
  <c r="O176" i="1"/>
  <c r="P232" i="1"/>
  <c r="P176" i="1"/>
  <c r="O232" i="1"/>
  <c r="O221" i="1"/>
  <c r="P186" i="1"/>
  <c r="P221" i="1"/>
  <c r="O186" i="1"/>
  <c r="O211" i="1" l="1"/>
  <c r="N210" i="1"/>
  <c r="O204" i="1"/>
  <c r="N203" i="1"/>
  <c r="E105" i="1"/>
  <c r="D106" i="1"/>
  <c r="G105" i="1"/>
  <c r="D105" i="1"/>
  <c r="N231" i="1"/>
  <c r="F221" i="1"/>
  <c r="E161" i="1"/>
  <c r="C161" i="1"/>
  <c r="E159" i="1"/>
  <c r="C159" i="1"/>
  <c r="P233" i="1"/>
  <c r="P234" i="1" s="1"/>
  <c r="P235" i="1" s="1"/>
  <c r="N232" i="1"/>
  <c r="O233" i="1"/>
  <c r="P222" i="1"/>
  <c r="P223" i="1" s="1"/>
  <c r="P224" i="1" s="1"/>
  <c r="N221" i="1"/>
  <c r="O222" i="1"/>
  <c r="F176" i="1"/>
  <c r="P187" i="1"/>
  <c r="P188" i="1" s="1"/>
  <c r="P189" i="1" s="1"/>
  <c r="N186" i="1"/>
  <c r="O187" i="1"/>
  <c r="P177" i="1"/>
  <c r="P178" i="1" s="1"/>
  <c r="P179" i="1" s="1"/>
  <c r="N176" i="1"/>
  <c r="O177" i="1"/>
  <c r="C162" i="1"/>
  <c r="E162" i="1"/>
  <c r="D263" i="1"/>
  <c r="O212" i="1" l="1"/>
  <c r="N211" i="1"/>
  <c r="O205" i="1"/>
  <c r="N204" i="1"/>
  <c r="I101" i="1"/>
  <c r="C103" i="1" s="1"/>
  <c r="O234" i="1"/>
  <c r="N233" i="1"/>
  <c r="O223" i="1"/>
  <c r="N222" i="1"/>
  <c r="O188" i="1"/>
  <c r="N187" i="1"/>
  <c r="N177" i="1"/>
  <c r="O178" i="1"/>
  <c r="D272" i="1"/>
  <c r="F272" i="1" s="1"/>
  <c r="I272" i="1" s="1"/>
  <c r="D271" i="1"/>
  <c r="F271" i="1" s="1"/>
  <c r="D270" i="1"/>
  <c r="F270" i="1" s="1"/>
  <c r="G269" i="1"/>
  <c r="D269" i="1"/>
  <c r="F269" i="1" s="1"/>
  <c r="D266" i="1"/>
  <c r="D267" i="1"/>
  <c r="F267" i="1" s="1"/>
  <c r="D265" i="1"/>
  <c r="D264" i="1"/>
  <c r="F262" i="1"/>
  <c r="P262" i="1"/>
  <c r="P270" i="1"/>
  <c r="O262" i="1"/>
  <c r="O269" i="1"/>
  <c r="P269" i="1"/>
  <c r="O270" i="1"/>
  <c r="N212" i="1" l="1"/>
  <c r="O213" i="1"/>
  <c r="N205" i="1"/>
  <c r="O206" i="1"/>
  <c r="N234" i="1"/>
  <c r="O235" i="1"/>
  <c r="N235" i="1" s="1"/>
  <c r="N223" i="1"/>
  <c r="O224" i="1"/>
  <c r="N224" i="1" s="1"/>
  <c r="N188" i="1"/>
  <c r="O189" i="1"/>
  <c r="N189" i="1" s="1"/>
  <c r="N178" i="1"/>
  <c r="O179" i="1"/>
  <c r="N179" i="1" s="1"/>
  <c r="C163" i="1"/>
  <c r="C164" i="1" s="1"/>
  <c r="E163" i="1"/>
  <c r="N269" i="1"/>
  <c r="O271" i="1"/>
  <c r="N270" i="1"/>
  <c r="P271" i="1"/>
  <c r="P272" i="1" s="1"/>
  <c r="N262" i="1"/>
  <c r="C136" i="1"/>
  <c r="N213" i="1" l="1"/>
  <c r="O214" i="1"/>
  <c r="N214" i="1" s="1"/>
  <c r="O207" i="1"/>
  <c r="N207" i="1" s="1"/>
  <c r="N206" i="1"/>
  <c r="N271" i="1"/>
  <c r="O272" i="1"/>
  <c r="E3" i="1"/>
  <c r="N272" i="1" l="1"/>
  <c r="C97" i="1"/>
  <c r="F229" i="1" l="1"/>
  <c r="F228" i="1"/>
  <c r="F227" i="1"/>
  <c r="G226" i="1"/>
  <c r="G227" i="1" s="1"/>
  <c r="G228" i="1" s="1"/>
  <c r="G229" i="1" s="1"/>
  <c r="O226" i="1"/>
  <c r="P226" i="1"/>
  <c r="G161" i="1" l="1"/>
  <c r="P227" i="1"/>
  <c r="P228" i="1" s="1"/>
  <c r="P229" i="1" s="1"/>
  <c r="O227" i="1"/>
  <c r="N226" i="1"/>
  <c r="F195" i="1"/>
  <c r="F193" i="1"/>
  <c r="F192" i="1"/>
  <c r="G191" i="1"/>
  <c r="G192" i="1" s="1"/>
  <c r="G193" i="1" s="1"/>
  <c r="G195" i="1" s="1"/>
  <c r="F183" i="1"/>
  <c r="F181" i="1"/>
  <c r="F184" i="1"/>
  <c r="G181" i="1"/>
  <c r="G182" i="1" s="1"/>
  <c r="G183" i="1" s="1"/>
  <c r="G184" i="1" s="1"/>
  <c r="O191" i="1"/>
  <c r="P191" i="1"/>
  <c r="O181" i="1"/>
  <c r="P181" i="1"/>
  <c r="F182" i="1" l="1"/>
  <c r="G159" i="1" s="1"/>
  <c r="O228" i="1"/>
  <c r="N227" i="1"/>
  <c r="N191" i="1"/>
  <c r="O192" i="1"/>
  <c r="P192" i="1"/>
  <c r="P193" i="1" s="1"/>
  <c r="P195" i="1" s="1"/>
  <c r="N181" i="1"/>
  <c r="O182" i="1"/>
  <c r="P182" i="1"/>
  <c r="P183" i="1" s="1"/>
  <c r="P184" i="1" s="1"/>
  <c r="O229" i="1" l="1"/>
  <c r="N229" i="1" s="1"/>
  <c r="N228" i="1"/>
  <c r="N192" i="1"/>
  <c r="O193" i="1"/>
  <c r="N182" i="1"/>
  <c r="O183" i="1"/>
  <c r="C129" i="1"/>
  <c r="J140" i="1"/>
  <c r="J139" i="1"/>
  <c r="J138" i="1"/>
  <c r="F265" i="1"/>
  <c r="I265" i="1" s="1"/>
  <c r="F264" i="1"/>
  <c r="F266" i="1"/>
  <c r="G262" i="1"/>
  <c r="F254" i="1"/>
  <c r="F253" i="1"/>
  <c r="F250" i="1"/>
  <c r="F249" i="1"/>
  <c r="G249" i="1"/>
  <c r="G250" i="1" s="1"/>
  <c r="G251" i="1" s="1"/>
  <c r="G252" i="1" s="1"/>
  <c r="G253" i="1" s="1"/>
  <c r="G254" i="1" s="1"/>
  <c r="O249" i="1"/>
  <c r="P249" i="1"/>
  <c r="O263" i="1"/>
  <c r="P263" i="1"/>
  <c r="F263" i="1" l="1"/>
  <c r="N193" i="1"/>
  <c r="O195" i="1"/>
  <c r="N195" i="1" s="1"/>
  <c r="N183" i="1"/>
  <c r="O184" i="1"/>
  <c r="N263" i="1"/>
  <c r="O264" i="1"/>
  <c r="P264" i="1"/>
  <c r="P265" i="1" s="1"/>
  <c r="P266" i="1" s="1"/>
  <c r="P267" i="1" s="1"/>
  <c r="P250" i="1"/>
  <c r="P251" i="1" s="1"/>
  <c r="P252" i="1" s="1"/>
  <c r="P253" i="1" s="1"/>
  <c r="P254" i="1" s="1"/>
  <c r="O250" i="1"/>
  <c r="N249" i="1"/>
  <c r="F243" i="1"/>
  <c r="F244" i="1"/>
  <c r="F245" i="1"/>
  <c r="F246" i="1"/>
  <c r="F247" i="1"/>
  <c r="I247" i="1" s="1"/>
  <c r="F242" i="1"/>
  <c r="G162" i="1" l="1"/>
  <c r="I263" i="1"/>
  <c r="I264" i="1" s="1"/>
  <c r="G163" i="1"/>
  <c r="E164" i="1"/>
  <c r="N184" i="1"/>
  <c r="N264" i="1"/>
  <c r="O265" i="1"/>
  <c r="O251" i="1"/>
  <c r="N250" i="1"/>
  <c r="G164" i="1" l="1"/>
  <c r="N265" i="1"/>
  <c r="O266" i="1"/>
  <c r="O267" i="1" s="1"/>
  <c r="N267" i="1" s="1"/>
  <c r="O252" i="1"/>
  <c r="N251" i="1"/>
  <c r="B275" i="1"/>
  <c r="O242" i="1"/>
  <c r="N266" i="1" l="1"/>
  <c r="O253" i="1"/>
  <c r="N252" i="1"/>
  <c r="N253" i="1" l="1"/>
  <c r="O254" i="1"/>
  <c r="N254" i="1" s="1"/>
  <c r="F11" i="5"/>
  <c r="G11" i="5" s="1"/>
  <c r="F10" i="5"/>
  <c r="G10" i="5" s="1"/>
  <c r="F9" i="5"/>
  <c r="G9" i="5" s="1"/>
  <c r="F8" i="5"/>
  <c r="G8" i="5" s="1"/>
  <c r="F7" i="5"/>
  <c r="G7" i="5" s="1"/>
  <c r="F6" i="5"/>
  <c r="G6" i="5" s="1"/>
  <c r="F5" i="5"/>
  <c r="G5" i="5" s="1"/>
  <c r="G12" i="5" s="1"/>
  <c r="D306" i="1"/>
  <c r="A275" i="1"/>
  <c r="G242" i="1"/>
  <c r="F156" i="1"/>
  <c r="J126" i="1"/>
  <c r="J125" i="1"/>
  <c r="J124" i="1"/>
  <c r="C115" i="1"/>
  <c r="D83" i="1"/>
  <c r="E41" i="1"/>
  <c r="E42" i="1" s="1"/>
  <c r="E25" i="1"/>
  <c r="E23" i="1"/>
  <c r="C14" i="1"/>
  <c r="E7" i="1"/>
  <c r="P242" i="1"/>
  <c r="H98" i="1"/>
  <c r="H116" i="1"/>
  <c r="A277" i="1" l="1"/>
  <c r="A278" i="1" s="1"/>
  <c r="A279" i="1" s="1"/>
  <c r="D121" i="1"/>
  <c r="J119" i="1"/>
  <c r="D128" i="1"/>
  <c r="D126" i="1"/>
  <c r="D124" i="1"/>
  <c r="D122" i="1"/>
  <c r="J120" i="1"/>
  <c r="C119" i="1" s="1"/>
  <c r="D119" i="1" s="1"/>
  <c r="J118" i="1"/>
  <c r="J121" i="1"/>
  <c r="J122" i="1" s="1"/>
  <c r="J127" i="1" s="1"/>
  <c r="D127" i="1"/>
  <c r="D125" i="1"/>
  <c r="D123" i="1"/>
  <c r="N242" i="1"/>
  <c r="O243" i="1"/>
  <c r="P243" i="1"/>
  <c r="P244" i="1" s="1"/>
  <c r="P245" i="1" s="1"/>
  <c r="P246" i="1" s="1"/>
  <c r="P247" i="1" s="1"/>
  <c r="J123" i="1" l="1"/>
  <c r="J128" i="1" s="1"/>
  <c r="C120" i="1" s="1"/>
  <c r="I97" i="1"/>
  <c r="N243" i="1"/>
  <c r="O244" i="1"/>
  <c r="H130" i="1"/>
  <c r="E119" i="1" l="1"/>
  <c r="I115" i="1" s="1"/>
  <c r="C117" i="1" s="1"/>
  <c r="D120" i="1"/>
  <c r="G119" i="1"/>
  <c r="D95" i="1" s="1"/>
  <c r="F96" i="1" s="1"/>
  <c r="J133" i="1"/>
  <c r="D136" i="1"/>
  <c r="D142" i="1"/>
  <c r="J135" i="1"/>
  <c r="J136" i="1" s="1"/>
  <c r="J141" i="1" s="1"/>
  <c r="J134" i="1"/>
  <c r="C133" i="1" s="1"/>
  <c r="D133" i="1" s="1"/>
  <c r="J132" i="1"/>
  <c r="D141" i="1"/>
  <c r="D139" i="1"/>
  <c r="D137" i="1"/>
  <c r="D135" i="1"/>
  <c r="D140" i="1"/>
  <c r="D138" i="1"/>
  <c r="N244" i="1"/>
  <c r="O245" i="1"/>
  <c r="D96" i="1" l="1"/>
  <c r="J137" i="1"/>
  <c r="J142" i="1" s="1"/>
  <c r="C134" i="1" s="1"/>
  <c r="N245" i="1"/>
  <c r="O246" i="1"/>
  <c r="E133" i="1" l="1"/>
  <c r="I129" i="1" s="1"/>
  <c r="C131" i="1" s="1"/>
  <c r="D134" i="1"/>
  <c r="G133" i="1"/>
  <c r="N246" i="1"/>
  <c r="O247" i="1"/>
  <c r="N247" i="1" s="1"/>
</calcChain>
</file>

<file path=xl/sharedStrings.xml><?xml version="1.0" encoding="utf-8"?>
<sst xmlns="http://schemas.openxmlformats.org/spreadsheetml/2006/main" count="533" uniqueCount="312">
  <si>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</si>
  <si>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</si>
  <si>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</si>
  <si>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</si>
  <si>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</si>
  <si>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</si>
  <si>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</si>
  <si>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</si>
  <si>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</si>
  <si>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</si>
  <si>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</si>
  <si>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</si>
  <si>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</si>
  <si>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</si>
  <si>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</si>
  <si>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</si>
  <si>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</si>
  <si>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</si>
  <si>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</si>
  <si>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</si>
  <si>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</si>
  <si>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</si>
  <si>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</si>
  <si>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</si>
  <si>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</si>
  <si>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</si>
  <si>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</si>
  <si>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</si>
  <si>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</si>
  <si>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</si>
  <si>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</si>
  <si>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</si>
  <si>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</si>
  <si>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</si>
  <si>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</si>
  <si>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</si>
  <si>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</si>
  <si>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</si>
  <si>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</si>
  <si>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</si>
  <si>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</si>
  <si>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</si>
  <si>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</si>
  <si>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</si>
  <si>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</si>
  <si>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</si>
  <si>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</si>
  <si>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</si>
  <si>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</si>
  <si>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</si>
  <si>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</si>
  <si>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</si>
  <si>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</si>
  <si>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</si>
  <si>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</si>
  <si>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</si>
  <si>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</si>
  <si>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</si>
  <si>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</si>
  <si>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</si>
  <si>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</si>
  <si>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</si>
  <si>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</si>
  <si>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</si>
  <si>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</si>
  <si>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</si>
  <si>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</si>
  <si>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</si>
  <si>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</si>
  <si>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</si>
  <si>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</si>
  <si>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</si>
  <si>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</si>
  <si>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</si>
  <si>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</si>
  <si>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</si>
  <si>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</si>
  <si>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</si>
  <si>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</si>
  <si>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</si>
  <si>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</si>
  <si>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</si>
  <si>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</si>
  <si>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</si>
  <si>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</si>
  <si>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</si>
  <si>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</si>
  <si>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</si>
  <si>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</si>
  <si>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</si>
  <si>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</si>
  <si>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</si>
  <si>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</si>
  <si>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</si>
  <si>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</si>
  <si>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</si>
  <si>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</si>
  <si>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</si>
  <si>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</si>
  <si>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</si>
  <si>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</si>
  <si>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</si>
  <si>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</si>
  <si>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</si>
  <si>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</si>
  <si>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</si>
  <si>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</si>
  <si>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</si>
  <si>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</si>
  <si>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</si>
  <si>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</si>
  <si>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</si>
  <si>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</si>
  <si>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</si>
  <si>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</si>
  <si>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</si>
  <si>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</si>
  <si>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</si>
  <si>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</si>
  <si>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</si>
  <si>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</si>
  <si>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</si>
  <si>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</si>
  <si>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</si>
  <si>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</si>
  <si>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</si>
  <si>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</si>
  <si>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</si>
  <si>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</si>
  <si>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</si>
  <si>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</si>
  <si>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</si>
  <si>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</si>
  <si>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</si>
  <si>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</si>
  <si>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</si>
  <si>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</si>
  <si>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</si>
  <si>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</si>
  <si>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</si>
  <si>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</si>
  <si>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</si>
  <si>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</si>
  <si>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</si>
  <si>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</si>
  <si>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</si>
  <si>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</si>
  <si>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</si>
  <si>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</si>
  <si>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</si>
  <si>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</si>
  <si>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</si>
  <si>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</si>
  <si>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</si>
  <si>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</si>
  <si>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</si>
  <si>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Building No. 04</t>
  </si>
  <si>
    <t>Ground Floor for Parking</t>
  </si>
  <si>
    <t>Basement Floor for Parking</t>
  </si>
  <si>
    <t>Top Podium/ Stilt Floor for Parking</t>
  </si>
  <si>
    <t>3BHK</t>
  </si>
  <si>
    <t>2BHK</t>
  </si>
  <si>
    <t>Refuge Area</t>
  </si>
  <si>
    <t>Building No. 05</t>
  </si>
  <si>
    <t>Axis Sanpada</t>
  </si>
  <si>
    <t>M/s.Runwal Constructions</t>
  </si>
  <si>
    <t>The Sanctuary</t>
  </si>
  <si>
    <t>8793148369/9819388488</t>
  </si>
  <si>
    <t>Approved Plans, CC.</t>
  </si>
  <si>
    <t>544, 544/1</t>
  </si>
  <si>
    <t>CTS No</t>
  </si>
  <si>
    <t>Nahur</t>
  </si>
  <si>
    <t>LBS Marg</t>
  </si>
  <si>
    <t>Kurla</t>
  </si>
  <si>
    <t>Runawal Heights</t>
  </si>
  <si>
    <t>Residential</t>
  </si>
  <si>
    <t>Building</t>
  </si>
  <si>
    <t xml:space="preserve">CHE/ES/5881/T/337(NEW) </t>
  </si>
  <si>
    <t xml:space="preserve">CHE/ES/5937/T/337/(NEW) </t>
  </si>
  <si>
    <t>Commencement Certificate No.
(Building No.4)</t>
  </si>
  <si>
    <t>Commencement Certificate No.
(Building No.5)</t>
  </si>
  <si>
    <t>60 Years After Completion</t>
  </si>
  <si>
    <t>We considered Gross carpet area = Net carpet.</t>
  </si>
  <si>
    <t>8,00,000/-</t>
  </si>
  <si>
    <t>2.4 KM from Mulund
Railway Station</t>
  </si>
  <si>
    <t>Approved Floor plan No. (Building No.5)</t>
  </si>
  <si>
    <t>Approved Floor plan No. (Building No.4)</t>
  </si>
  <si>
    <t>Mulund west</t>
  </si>
  <si>
    <t>Mumbai</t>
  </si>
  <si>
    <t>Building No.4</t>
  </si>
  <si>
    <t>Building No.5</t>
  </si>
  <si>
    <t>Building No.1</t>
  </si>
  <si>
    <t>Stilt Floor for Parking</t>
  </si>
  <si>
    <t>Building No.3</t>
  </si>
  <si>
    <t>Building No. 01</t>
  </si>
  <si>
    <t>Building No. 03</t>
  </si>
  <si>
    <t>CE/4815/BPES/AT</t>
  </si>
  <si>
    <t>Approved Floor plan No. (Building No.1)</t>
  </si>
  <si>
    <t>Approved Floor plan No. (Building No.3)</t>
  </si>
  <si>
    <t>CE/4817/BPES/AT</t>
  </si>
  <si>
    <t>Commencement Certificate No.
(Building No.1)</t>
  </si>
  <si>
    <t>Commencement Certificate No.
(Building No.3)</t>
  </si>
  <si>
    <t>25/02/2008.</t>
  </si>
  <si>
    <t>Valid Up to: Building no.1 = Lower Podium + Upper Podium + Stilt + 1st to 24th Floor</t>
  </si>
  <si>
    <t>Valid Up to:Building no.3 = Lower Podium + Upper Podium + Stilt + 1st to 23rd Floor</t>
  </si>
  <si>
    <t>Please provide revised CC of Building No.1 &amp; 4.</t>
  </si>
  <si>
    <t>2.5BHK</t>
  </si>
  <si>
    <t>CE/4815/BPES/AT/FCC/1/Amend</t>
  </si>
  <si>
    <t>Valid Up to: C.C. is re endorsed up to 24th upper floor as per amended plan approved on 12.01.2022 subject to taking all sorts of precautions during monsoon.</t>
  </si>
  <si>
    <t>CE/4817/BPES/AT/FCC/1/Amend</t>
  </si>
  <si>
    <t>Valid Up to: Full C.C is granted up to 24th habitable floor as per approved plans dated 12.0 1.2022 subject to taking all sorts of precautions during monsoon.</t>
  </si>
  <si>
    <t>We have updated approved plans (on 25/11/2021)</t>
  </si>
  <si>
    <t>We have updated CC (on 19/09/2022).</t>
  </si>
  <si>
    <t>Latitude, Longitude</t>
  </si>
  <si>
    <t>Location Link</t>
  </si>
  <si>
    <t>https://goo.gl/maps/RyusGspTGCpsjEmb9</t>
  </si>
  <si>
    <t>19.1732205,72.9386663</t>
  </si>
  <si>
    <t>On Site, we meet Mr.Shreyas bhangale 8591881414.</t>
  </si>
  <si>
    <t>Site Meet Person - Contact Details ( Name &amp; Contact No.)</t>
  </si>
  <si>
    <t>Office No. 1031, Wing J, Akshar Business Park, Plot No. 03 Sector 25, Near APMC Market, 
Vashi, Navi Mumbai, Maharashtra 400703 TEL: 022-46090378/79/8
E mail : vsjcapf@gmail.com. Web site : www.vsjadon.com</t>
  </si>
  <si>
    <t>Nainesh Tambe</t>
  </si>
  <si>
    <t>CHE/ES/5881/T/337(NEW)/FCC/5/Amend</t>
  </si>
  <si>
    <t>Valid Up to: Full C.C. is granted as per approved amended plan dated 14.01.2022 subject to timely renewal of B.G, SWM
NOC, Workmen’s compensation policy and taking all sorts of precautions during construction and for air pollution.</t>
  </si>
  <si>
    <t>full cc 46th floor</t>
  </si>
  <si>
    <t>5th, 12th, 19th, 26th, 33rd &amp; 40th floor (Part Refuge Area)</t>
  </si>
  <si>
    <t>Upper Ground/ 1st Podium Floor for Parking</t>
  </si>
  <si>
    <t>2nd Podium floor for Parking</t>
  </si>
  <si>
    <t>We have updated revised approved floor plan &amp; C.C for Building No.5 (on 18/01/2024).</t>
  </si>
  <si>
    <t>1st to 4th, 6th to 11th, 13th to 18th, 20th to 25th, 27th to 32nd, 34th to 39th, 41st to 46th Floor for Residential</t>
  </si>
  <si>
    <t>15500 to 16000 &amp; FR 23/01/2024 Trupti</t>
  </si>
  <si>
    <t>Floor Rise Rate Per Sq.ft from 20th Floor</t>
  </si>
  <si>
    <t xml:space="preserve"> Recommended Rates/Other Charges of the Property have been revised on 23/01/2024.
</t>
  </si>
  <si>
    <t>Building no.5 = 1B + G + 2P + Stilt Floor + 1st to 46th Floor</t>
  </si>
  <si>
    <t>We have updated revised approved floor plan &amp; C.C for Building No.4 (on 24/01/2024).</t>
  </si>
  <si>
    <t>Layout:</t>
  </si>
  <si>
    <t>1st &amp; 2nd Podium Floor for Parking</t>
  </si>
  <si>
    <t>Building no.4 = 1B + G + 2P + Stilt Floor + 1st to 46th Floor</t>
  </si>
  <si>
    <t>CHE/ES/5937/T/337(NEW)/FCC/5/Amend</t>
  </si>
  <si>
    <t>Valid Up to: Full C.C. is re- endorsed as per approved amended plan dated 14.03.2024 subject to timely renewal of B.G, SWM NOC, Workmen’s compensation policy and taking all sorts of precautions during construction and for air pollution.</t>
  </si>
  <si>
    <t>We have updated latest CC for Bldg No.5 from MCGM site (On 14/10/2024).</t>
  </si>
  <si>
    <t>O. Certificate No.: 
(Building No. 1)</t>
  </si>
  <si>
    <t>CE/ES/4815/BPES/AT</t>
  </si>
  <si>
    <t>Layout Approval No
(Building No.1)</t>
  </si>
  <si>
    <t>Layout Approval No
(Building No.3)</t>
  </si>
  <si>
    <t xml:space="preserve">CHE/ES/5881/T/337(NEW) 
</t>
  </si>
  <si>
    <t>Layout Approval No
(Building No.4)</t>
  </si>
  <si>
    <t>Layout Approval No
(Building No.5)</t>
  </si>
  <si>
    <t>Ground Floor for Entrance Lobby, Society Office, Meter Room &amp; Parking</t>
  </si>
  <si>
    <t>2nd &amp; 3rd Floor For Residential</t>
  </si>
  <si>
    <t>4th, 5th, 7th to 12th, 14th to 19th &amp; 21st to 24th Floor</t>
  </si>
  <si>
    <t>6th &amp; 13th floor (Part Refuge Area)</t>
  </si>
  <si>
    <t>20th floor (Part Refuge Area)</t>
  </si>
  <si>
    <t>1RK</t>
  </si>
  <si>
    <t>1st / Stilt Floor</t>
  </si>
  <si>
    <t>-</t>
  </si>
  <si>
    <t>O. Certificate No.: 
(Building No. 3)</t>
  </si>
  <si>
    <t>2nd to 5th, 7th to 12th, 14th to 19th &amp; 21st to 24th</t>
  </si>
  <si>
    <t>Nalla located at North direction of project The Sanctuary.</t>
  </si>
  <si>
    <t>As per Plan</t>
  </si>
  <si>
    <t>Nalla / CTS No. 545</t>
  </si>
  <si>
    <t>ADJ CTS 546</t>
  </si>
  <si>
    <t>36.60 MT Wide DP Road</t>
  </si>
  <si>
    <t>ADJ CTS 547</t>
  </si>
  <si>
    <t>Building no.1 &amp; 3 = 1B + G/St + 2P + 1st to 24th Floor</t>
  </si>
  <si>
    <t>Ground Floor for Entrance Lobby, Society Office, Meter Room, Mail Box Room &amp; Parking</t>
  </si>
  <si>
    <t>CE/4815/BPES/AT/OCC/1/New</t>
  </si>
  <si>
    <t>CE/4817/BPES/AT/OCC/1/New</t>
  </si>
  <si>
    <t>Mr Ronak : 9165642034 &amp; Ankush : 9137613885</t>
  </si>
  <si>
    <t>Gaurav Panchal</t>
  </si>
  <si>
    <t>Building no.1, 2, 3, 4 &amp; 5</t>
  </si>
  <si>
    <t>Layout Approval No
(Building No. 2)</t>
  </si>
  <si>
    <t>P-6112/2020/(C.T.S. No. 544 And Other)/T Ward/NAHUR - T/337/5/Amend</t>
  </si>
  <si>
    <t>Approved Floor plan No. (Building No.2)</t>
  </si>
  <si>
    <t>05 Building</t>
  </si>
  <si>
    <t>Commencement Certificate No.
(Building No.2)</t>
  </si>
  <si>
    <t>P-6112/2020/(C.T.S. No. 544 And Other)/TWard/NAHUR - T/FCC/6/ Amend</t>
  </si>
  <si>
    <t>Further C.C. is granted upto 41st floor by restricting C.C. of 42nd to 46th floors for handing over of built up amenity as per amended approved plan dated 15.10.2024 subject to timely renewal of B.G, SWM NOC, Workmen’s compensation policy and taking all sorts of precautions during construction and for air pollution.</t>
  </si>
  <si>
    <t>P-6112/2020/(C.T.S. No. 544 And Other)/TWard/NAHUR - T/FCC/7/ Amend</t>
  </si>
  <si>
    <t>Further C.C. is extended from 42nd floor to 44th part upper floor ( for flat no 05 only) as per approved amended plans dated 15.10.2024 by restricting C.C. of flat no. 1 to 4 &amp; 6 on 44th floor, entire 45th and 46th upper floors for handing over of built up amenity with amenity plot subject to timely renewal of B.G, SWM NOC, Workmen’s compensation policy and taking all sorts of precautions during construction and for air pollution</t>
  </si>
  <si>
    <t>P-6112/2020/(C.T.S. No. 544 And Other)/T Ward/NAHUR - T/FCC/8 /Amend</t>
  </si>
  <si>
    <t>Building no.1 = 1B + G/St + 2P + 1st to 24th Floor
Building no. 2 = 1B + Gr + 2P + St / Pod + 1st to 46th Floor
Building no.3 = 1B + G/St + 2P + 1st to 24th Floor
Building no.4 = 1B + G + 2P + Stilt Floor + 1st to 46th Floor
Building no.5 = 1B + G + 2P + Stilt Floor + 1st to 46th Floor</t>
  </si>
  <si>
    <t>Building no.2 = 1B + G + 2P + Stilt Floor + 1st to 46th Floor</t>
  </si>
  <si>
    <t>Building No. 02</t>
  </si>
  <si>
    <t>Building No.2</t>
  </si>
  <si>
    <t>Ground Floor for Entrance Lobby, Society Office, Meter Room  &amp; Parking</t>
  </si>
  <si>
    <t>Flats - 972</t>
  </si>
  <si>
    <t>Grand Total</t>
  </si>
  <si>
    <t>Mr. Ankush (sales) 9137613885 &amp;
Mr Ronak : 9165642034</t>
  </si>
  <si>
    <t>Same</t>
  </si>
  <si>
    <t>We have referred revised CC &amp; approved plan from MCGM site. (On 25/08/2025)</t>
  </si>
  <si>
    <t xml:space="preserve">Airport Noc
</t>
  </si>
  <si>
    <t xml:space="preserve">Environmental Clearance Certificate
</t>
  </si>
  <si>
    <t>SIA/MH/MIS/261261/2022</t>
  </si>
  <si>
    <t>Building No. 1 &amp; 3 = G + 2P + St + 1st to 23rd Floor
Building No. 2 &amp; 5 = B+ G + 2P + St + 1st to 46th Floor
Building No. 4 = B + G + 2P + St + 1st to 19th Floor</t>
  </si>
  <si>
    <t>SNCR/WEST/B/121120/515841</t>
  </si>
  <si>
    <t>Site Elevation in mtr (AMSL) = 33.64m
Top Elevation in mtr (AMSL) = 283.55m</t>
  </si>
  <si>
    <t>We have referred EC &amp; Airport Noc from MCGM site. (On 25/08/2025)</t>
  </si>
  <si>
    <t>Building No. 1 &amp; 3 = All work completed. OC Received.
 Building No. 2, 4 &amp; 5 = Construction work is in process at the time of Visit. Internal photos was not allowed.</t>
  </si>
  <si>
    <t>Building No. 1, 2, 3, 4, 5 = P51800012621
Building No.4 = P51800025926
Building no.5 = P51800029440
Building No. 2 = P51800032538</t>
  </si>
  <si>
    <t>Dated
Valid Upto 
Date</t>
  </si>
  <si>
    <t>14/07/2025
02/11/2025</t>
  </si>
  <si>
    <t>Further C.C. is granted upto 46th upper floors as per approved amended plan dtd. 15.10.2024, subject to handing over of built up amenity within 6 months from 29.05.2025 or prior to the application for part / full OC for building no.2 , whichever is earlier, in the subject layout, timely renewal of B.G., SWM NOC, Workmen’s compensation policy and taking all sorts of precautions during construction along with precautionary measures for air pollution.</t>
  </si>
  <si>
    <t>Approved upto : Part Basement for Pump Room + G + 2P + 1st to 24th Floor</t>
  </si>
  <si>
    <t xml:space="preserve">CE/4815/BPES/AT/OCC/1/New
</t>
  </si>
  <si>
    <t xml:space="preserve">CE/4817/BPES/AT/OCC/1/New
</t>
  </si>
  <si>
    <t>As per RERA - 31/03/2027 (Building No.2)
 31/12/2025 (Building No.4) 
 31/03/2026 (Building No. 5)</t>
  </si>
  <si>
    <t>Runwal Heights</t>
  </si>
  <si>
    <t>Building No. 2, 4 &amp; 5 is registered twice in two different RERA numbers.</t>
  </si>
  <si>
    <t>We have added Building No. 2 and referred revised CC &amp; approved plan from MCGM site. (On 25/08/2025)</t>
  </si>
  <si>
    <t>We have updated OC and  OC plans for Bldg No. 1 &amp; 3 From MCGM site (On 24/03/2025).</t>
  </si>
  <si>
    <t>16000 to 17000 by bhargav on 04/09/2025.</t>
  </si>
  <si>
    <t>Recommended Rates/Other Charges of the Property have been revised on 04/09/2025.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</si>
</sst>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_(* #,##0_);_(* \(#,##0\);_(* &quot;-&quot;??_);_(@_)"/>
    <numFmt numFmtId="167" formatCode="dd\/mm\/yyyy"/>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
      <b/>
      <sz val="12"/>
      <color rgb="FFFF0000"/>
      <name val="Times New Roman"/>
      <family val="1"/>
    </font>
    <font>
      <sz val="8"/>
      <name val="Calibri"/>
      <family val="2"/>
    </font>
    <font>
      <sz val="12"/>
      <color rgb="FFFFFF00"/>
      <name val="Times New Roman"/>
      <family val="1"/>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0" fontId="24" fillId="0" borderId="0" applyNumberFormat="0" applyFill="0" applyBorder="0" applyAlignment="0" applyProtection="0"/>
  </cellStyleXfs>
  <cellXfs count="226">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vertical="top" wrapText="1"/>
      <protection locked="0"/>
    </xf>
    <xf numFmtId="0" fontId="17"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7" fillId="0" borderId="13" xfId="0" applyFont="1" applyBorder="1" applyProtection="1">
      <protection hidden="1"/>
    </xf>
    <xf numFmtId="0" fontId="7" fillId="0" borderId="11" xfId="1" applyFont="1" applyBorder="1" applyProtection="1">
      <protection hidden="1"/>
    </xf>
    <xf numFmtId="0" fontId="17" fillId="0" borderId="14"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23" fillId="0" borderId="0" xfId="1" applyFont="1"/>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9" fontId="12" fillId="2" borderId="7" xfId="1" applyNumberFormat="1" applyFont="1" applyFill="1" applyBorder="1" applyAlignment="1" applyProtection="1">
      <alignment horizontal="center" vertical="center" wrapText="1"/>
      <protection hidden="1"/>
    </xf>
    <xf numFmtId="0" fontId="25" fillId="0" borderId="0" xfId="1" applyFont="1"/>
    <xf numFmtId="0" fontId="12" fillId="0" borderId="3" xfId="1" applyFont="1" applyBorder="1" applyAlignment="1" applyProtection="1">
      <alignment horizontal="center" wrapText="1"/>
      <protection locked="0"/>
    </xf>
    <xf numFmtId="9" fontId="12" fillId="2" borderId="3" xfId="1" applyNumberFormat="1" applyFont="1" applyFill="1" applyBorder="1" applyAlignment="1" applyProtection="1">
      <alignment horizontal="center" vertical="center" wrapText="1"/>
      <protection hidden="1"/>
    </xf>
    <xf numFmtId="0" fontId="12" fillId="4" borderId="1" xfId="1" applyFont="1" applyFill="1" applyBorder="1" applyAlignment="1" applyProtection="1">
      <alignment horizontal="left" vertical="top"/>
      <protection locked="0"/>
    </xf>
    <xf numFmtId="0" fontId="12" fillId="5" borderId="0" xfId="1" applyFont="1" applyFill="1"/>
    <xf numFmtId="0" fontId="12" fillId="0" borderId="1" xfId="1" applyFont="1" applyBorder="1" applyAlignment="1" applyProtection="1">
      <alignment horizontal="left" vertical="top"/>
      <protection locked="0"/>
    </xf>
    <xf numFmtId="0" fontId="12" fillId="4" borderId="1" xfId="1" applyFont="1" applyFill="1" applyBorder="1" applyAlignment="1" applyProtection="1">
      <alignment vertical="top"/>
      <protection locked="0"/>
    </xf>
    <xf numFmtId="0" fontId="12" fillId="4" borderId="1" xfId="1" applyFont="1" applyFill="1" applyBorder="1" applyAlignment="1" applyProtection="1">
      <alignment vertical="top" wrapText="1"/>
      <protection locked="0"/>
    </xf>
    <xf numFmtId="0" fontId="27" fillId="0" borderId="0" xfId="1" applyFont="1"/>
    <xf numFmtId="0" fontId="13" fillId="0" borderId="1"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wrapText="1"/>
      <protection locked="0"/>
    </xf>
    <xf numFmtId="0" fontId="7" fillId="0" borderId="0" xfId="1" applyFont="1" applyAlignment="1" applyProtection="1">
      <alignment vertical="center"/>
      <protection hidden="1"/>
    </xf>
    <xf numFmtId="0" fontId="7" fillId="0" borderId="13" xfId="1" applyFont="1" applyBorder="1" applyAlignment="1" applyProtection="1">
      <alignment vertical="center"/>
      <protection hidden="1"/>
    </xf>
    <xf numFmtId="0" fontId="7" fillId="0" borderId="0" xfId="1" applyFont="1" applyAlignment="1">
      <alignment vertical="center"/>
    </xf>
    <xf numFmtId="1" fontId="8"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9" xfId="1" applyNumberFormat="1" applyFont="1" applyBorder="1" applyAlignment="1" applyProtection="1">
      <alignment horizontal="center" vertical="center" wrapText="1"/>
      <protection locked="0"/>
    </xf>
    <xf numFmtId="1" fontId="6" fillId="0" borderId="28"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2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0" fontId="13" fillId="0" borderId="1"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protection locked="0"/>
    </xf>
    <xf numFmtId="167" fontId="13" fillId="0" borderId="1" xfId="1" applyNumberFormat="1" applyFont="1" applyFill="1" applyBorder="1" applyAlignment="1" applyProtection="1">
      <alignment horizontal="left" vertical="top" wrapText="1"/>
      <protection locked="0"/>
    </xf>
    <xf numFmtId="0" fontId="13" fillId="0" borderId="9" xfId="1" applyFont="1" applyFill="1" applyBorder="1" applyAlignment="1" applyProtection="1">
      <alignment horizontal="left" vertical="top" wrapText="1"/>
      <protection locked="0"/>
    </xf>
    <xf numFmtId="0" fontId="13" fillId="0" borderId="24" xfId="1" applyFont="1" applyFill="1" applyBorder="1" applyAlignment="1" applyProtection="1">
      <alignment horizontal="left" vertical="top" wrapText="1"/>
      <protection locked="0"/>
    </xf>
    <xf numFmtId="0" fontId="13" fillId="0" borderId="10" xfId="1" applyFont="1" applyFill="1" applyBorder="1" applyAlignment="1" applyProtection="1">
      <alignment horizontal="left" vertical="top" wrapText="1"/>
      <protection locked="0"/>
    </xf>
    <xf numFmtId="167" fontId="13" fillId="0" borderId="9" xfId="1" applyNumberFormat="1" applyFont="1" applyFill="1" applyBorder="1" applyAlignment="1" applyProtection="1">
      <alignment horizontal="left" vertical="top" wrapText="1"/>
      <protection locked="0"/>
    </xf>
    <xf numFmtId="167" fontId="13" fillId="0" borderId="10" xfId="1" applyNumberFormat="1" applyFont="1" applyFill="1" applyBorder="1" applyAlignment="1" applyProtection="1">
      <alignment horizontal="left" vertical="top" wrapText="1"/>
      <protection locked="0"/>
    </xf>
    <xf numFmtId="0" fontId="13" fillId="0" borderId="20" xfId="1" applyFont="1" applyFill="1" applyBorder="1" applyAlignment="1" applyProtection="1">
      <alignment horizontal="left" vertical="top" wrapText="1"/>
      <protection locked="0"/>
    </xf>
    <xf numFmtId="0" fontId="13" fillId="0" borderId="21" xfId="1" applyFont="1" applyFill="1" applyBorder="1" applyAlignment="1" applyProtection="1">
      <alignment horizontal="left" vertical="top" wrapText="1"/>
      <protection locked="0"/>
    </xf>
    <xf numFmtId="0" fontId="13" fillId="0" borderId="22" xfId="1" applyFont="1" applyFill="1" applyBorder="1" applyAlignment="1" applyProtection="1">
      <alignment horizontal="left" vertical="top" wrapText="1"/>
      <protection locked="0"/>
    </xf>
    <xf numFmtId="0" fontId="13" fillId="0" borderId="23" xfId="1" applyFont="1" applyFill="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0" fontId="8" fillId="3" borderId="1" xfId="1" applyFont="1" applyFill="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0" fontId="12" fillId="0" borderId="0" xfId="1" applyFont="1" applyAlignment="1" applyProtection="1">
      <alignment horizontal="left" vertical="top"/>
      <protection locked="0"/>
    </xf>
    <xf numFmtId="0" fontId="12" fillId="0" borderId="28" xfId="1" applyFont="1" applyBorder="1" applyAlignment="1" applyProtection="1">
      <alignment horizontal="left" vertical="top"/>
      <protection locked="0"/>
    </xf>
    <xf numFmtId="0" fontId="13" fillId="0" borderId="25"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0" fillId="0" borderId="16"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4" borderId="1" xfId="1" applyFont="1" applyFill="1" applyBorder="1" applyAlignment="1" applyProtection="1">
      <alignment horizontal="left" vertical="top" wrapText="1"/>
      <protection locked="0"/>
    </xf>
    <xf numFmtId="167" fontId="12" fillId="4" borderId="1" xfId="1" applyNumberFormat="1" applyFont="1" applyFill="1" applyBorder="1" applyAlignment="1" applyProtection="1">
      <alignment horizontal="left" vertical="top" wrapText="1"/>
      <protection locked="0"/>
    </xf>
    <xf numFmtId="0" fontId="12" fillId="4" borderId="1" xfId="1" applyFont="1" applyFill="1" applyBorder="1" applyAlignment="1" applyProtection="1">
      <alignment horizontal="left" vertical="top"/>
      <protection locked="0"/>
    </xf>
    <xf numFmtId="14" fontId="12" fillId="4" borderId="1" xfId="1" applyNumberFormat="1" applyFont="1"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167" fontId="12" fillId="0" borderId="1" xfId="1" applyNumberFormat="1" applyFont="1" applyBorder="1" applyAlignment="1" applyProtection="1">
      <alignment horizontal="left" vertical="top" wrapText="1"/>
      <protection locked="0"/>
    </xf>
    <xf numFmtId="14" fontId="12" fillId="2" borderId="1" xfId="1" applyNumberFormat="1" applyFont="1" applyFill="1" applyBorder="1" applyAlignment="1" applyProtection="1">
      <alignment horizontal="lef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7" fillId="0" borderId="1" xfId="1" applyFont="1" applyBorder="1" applyAlignment="1" applyProtection="1">
      <alignment horizontal="left"/>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27"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4" borderId="20" xfId="1" applyFont="1" applyFill="1" applyBorder="1" applyAlignment="1" applyProtection="1">
      <alignment horizontal="left" vertical="top" wrapText="1"/>
      <protection locked="0"/>
    </xf>
    <xf numFmtId="0" fontId="12" fillId="4" borderId="21" xfId="1" applyFont="1" applyFill="1" applyBorder="1" applyAlignment="1" applyProtection="1">
      <alignment horizontal="left" vertical="top" wrapText="1"/>
      <protection locked="0"/>
    </xf>
    <xf numFmtId="0" fontId="12" fillId="4" borderId="9" xfId="1" applyFont="1" applyFill="1" applyBorder="1" applyAlignment="1" applyProtection="1">
      <alignment horizontal="left" vertical="top" wrapText="1"/>
      <protection locked="0"/>
    </xf>
    <xf numFmtId="0" fontId="12" fillId="4" borderId="24" xfId="1" applyFont="1" applyFill="1" applyBorder="1" applyAlignment="1" applyProtection="1">
      <alignment horizontal="left" vertical="top" wrapText="1"/>
      <protection locked="0"/>
    </xf>
    <xf numFmtId="0" fontId="12" fillId="4" borderId="10" xfId="1" applyFont="1" applyFill="1" applyBorder="1" applyAlignment="1" applyProtection="1">
      <alignment horizontal="left" vertical="top" wrapText="1"/>
      <protection locked="0"/>
    </xf>
    <xf numFmtId="0" fontId="13" fillId="0" borderId="9" xfId="1" applyFont="1" applyFill="1" applyBorder="1" applyAlignment="1" applyProtection="1">
      <alignment horizontal="center" vertical="top" wrapText="1"/>
      <protection locked="0"/>
    </xf>
    <xf numFmtId="0" fontId="13" fillId="0" borderId="24" xfId="1" applyFont="1" applyFill="1" applyBorder="1" applyAlignment="1" applyProtection="1">
      <alignment horizontal="center" vertical="top" wrapText="1"/>
      <protection locked="0"/>
    </xf>
    <xf numFmtId="0" fontId="13" fillId="0" borderId="10" xfId="1"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67"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167"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7"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6" fillId="0" borderId="24" xfId="1" applyNumberFormat="1" applyFont="1" applyBorder="1" applyAlignment="1" applyProtection="1">
      <alignment horizontal="center" vertical="center" wrapText="1"/>
      <protection locked="0"/>
    </xf>
    <xf numFmtId="0" fontId="12" fillId="2" borderId="9"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2" fillId="0" borderId="30"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13" fillId="0" borderId="3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13" fillId="0" borderId="37"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19" xfId="1" applyFont="1" applyBorder="1" applyAlignment="1" applyProtection="1">
      <alignment horizontal="center" vertical="top"/>
      <protection locked="0"/>
    </xf>
    <xf numFmtId="9" fontId="12" fillId="2" borderId="3" xfId="1" applyNumberFormat="1" applyFont="1" applyFill="1" applyBorder="1" applyAlignment="1" applyProtection="1">
      <alignment horizontal="center" vertical="center" wrapText="1"/>
      <protection hidden="1"/>
    </xf>
    <xf numFmtId="9" fontId="12" fillId="2" borderId="31" xfId="1" applyNumberFormat="1" applyFont="1" applyFill="1" applyBorder="1" applyAlignment="1" applyProtection="1">
      <alignment horizontal="center" vertical="center" wrapText="1"/>
      <protection hidden="1"/>
    </xf>
    <xf numFmtId="0" fontId="13" fillId="0" borderId="7" xfId="1" applyFont="1" applyBorder="1" applyAlignment="1" applyProtection="1">
      <alignment horizontal="center" vertical="center" wrapText="1"/>
      <protection locked="0"/>
    </xf>
    <xf numFmtId="9" fontId="13" fillId="0" borderId="7" xfId="1" applyNumberFormat="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24" fillId="0" borderId="1" xfId="9" applyBorder="1" applyAlignment="1" applyProtection="1">
      <alignment horizontal="left"/>
      <protection locked="0"/>
    </xf>
    <xf numFmtId="0" fontId="13" fillId="0" borderId="6"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protection locked="0"/>
    </xf>
    <xf numFmtId="167" fontId="12" fillId="5" borderId="1" xfId="1" applyNumberFormat="1" applyFont="1"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8"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372</xdr:row>
      <xdr:rowOff>95250</xdr:rowOff>
    </xdr:from>
    <xdr:to>
      <xdr:col>6</xdr:col>
      <xdr:colOff>189360</xdr:colOff>
      <xdr:row>386</xdr:row>
      <xdr:rowOff>123825</xdr:rowOff>
    </xdr:to>
    <xdr:pic>
      <xdr:nvPicPr>
        <xdr:cNvPr id="29" name="Picture 28">
          <a:extLst>
            <a:ext uri="{FF2B5EF4-FFF2-40B4-BE49-F238E27FC236}">
              <a16:creationId xmlns="" xmlns:a16="http://schemas.microsoft.com/office/drawing/2014/main" id="{00000000-0008-0000-0000-00001D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28775" y="72875775"/>
          <a:ext cx="3456435" cy="2828925"/>
        </a:xfrm>
        <a:prstGeom prst="rect">
          <a:avLst/>
        </a:prstGeom>
        <a:ln>
          <a:solidFill>
            <a:schemeClr val="tx1"/>
          </a:solidFill>
        </a:ln>
      </xdr:spPr>
    </xdr:pic>
    <xdr:clientData/>
  </xdr:twoCellAnchor>
  <xdr:twoCellAnchor editAs="oneCell">
    <xdr:from>
      <xdr:col>11</xdr:col>
      <xdr:colOff>285574</xdr:colOff>
      <xdr:row>335</xdr:row>
      <xdr:rowOff>72740</xdr:rowOff>
    </xdr:from>
    <xdr:to>
      <xdr:col>16</xdr:col>
      <xdr:colOff>359199</xdr:colOff>
      <xdr:row>346</xdr:row>
      <xdr:rowOff>67389</xdr:rowOff>
    </xdr:to>
    <xdr:pic>
      <xdr:nvPicPr>
        <xdr:cNvPr id="12" name="Picture 11">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429574" y="64282446"/>
          <a:ext cx="1575213" cy="2213414"/>
        </a:xfrm>
        <a:prstGeom prst="rect">
          <a:avLst/>
        </a:prstGeom>
        <a:ln>
          <a:solidFill>
            <a:schemeClr val="tx1"/>
          </a:solidFill>
        </a:ln>
      </xdr:spPr>
    </xdr:pic>
    <xdr:clientData/>
  </xdr:twoCellAnchor>
  <xdr:twoCellAnchor editAs="oneCell">
    <xdr:from>
      <xdr:col>8</xdr:col>
      <xdr:colOff>576729</xdr:colOff>
      <xdr:row>305</xdr:row>
      <xdr:rowOff>103468</xdr:rowOff>
    </xdr:from>
    <xdr:to>
      <xdr:col>10</xdr:col>
      <xdr:colOff>653435</xdr:colOff>
      <xdr:row>319</xdr:row>
      <xdr:rowOff>125917</xdr:rowOff>
    </xdr:to>
    <xdr:pic>
      <xdr:nvPicPr>
        <xdr:cNvPr id="14" name="Picture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087347" y="58273203"/>
          <a:ext cx="2004117" cy="2835127"/>
        </a:xfrm>
        <a:prstGeom prst="rect">
          <a:avLst/>
        </a:prstGeom>
        <a:ln>
          <a:solidFill>
            <a:schemeClr val="tx1"/>
          </a:solidFill>
        </a:ln>
      </xdr:spPr>
    </xdr:pic>
    <xdr:clientData/>
  </xdr:twoCellAnchor>
  <xdr:twoCellAnchor editAs="oneCell">
    <xdr:from>
      <xdr:col>11</xdr:col>
      <xdr:colOff>92788</xdr:colOff>
      <xdr:row>320</xdr:row>
      <xdr:rowOff>91279</xdr:rowOff>
    </xdr:from>
    <xdr:to>
      <xdr:col>16</xdr:col>
      <xdr:colOff>551240</xdr:colOff>
      <xdr:row>334</xdr:row>
      <xdr:rowOff>107379</xdr:rowOff>
    </xdr:to>
    <xdr:pic>
      <xdr:nvPicPr>
        <xdr:cNvPr id="15" name="Picture 14">
          <a:extLst>
            <a:ext uri="{FF2B5EF4-FFF2-40B4-BE49-F238E27FC236}">
              <a16:creationId xmlns="" xmlns:a16="http://schemas.microsoft.com/office/drawing/2014/main" id="{00000000-0008-0000-0000-00000F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236788" y="61275397"/>
          <a:ext cx="1960040" cy="2839982"/>
        </a:xfrm>
        <a:prstGeom prst="rect">
          <a:avLst/>
        </a:prstGeom>
        <a:ln>
          <a:solidFill>
            <a:schemeClr val="tx1"/>
          </a:solidFill>
        </a:ln>
      </xdr:spPr>
    </xdr:pic>
    <xdr:clientData/>
  </xdr:twoCellAnchor>
  <xdr:twoCellAnchor editAs="oneCell">
    <xdr:from>
      <xdr:col>11</xdr:col>
      <xdr:colOff>92789</xdr:colOff>
      <xdr:row>305</xdr:row>
      <xdr:rowOff>103468</xdr:rowOff>
    </xdr:from>
    <xdr:to>
      <xdr:col>16</xdr:col>
      <xdr:colOff>551241</xdr:colOff>
      <xdr:row>319</xdr:row>
      <xdr:rowOff>125917</xdr:rowOff>
    </xdr:to>
    <xdr:pic>
      <xdr:nvPicPr>
        <xdr:cNvPr id="16" name="Picture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236789" y="58273203"/>
          <a:ext cx="1960040" cy="2835127"/>
        </a:xfrm>
        <a:prstGeom prst="rect">
          <a:avLst/>
        </a:prstGeom>
        <a:ln>
          <a:solidFill>
            <a:schemeClr val="tx1"/>
          </a:solidFill>
        </a:ln>
      </xdr:spPr>
    </xdr:pic>
    <xdr:clientData/>
  </xdr:twoCellAnchor>
  <xdr:twoCellAnchor editAs="oneCell">
    <xdr:from>
      <xdr:col>17</xdr:col>
      <xdr:colOff>91448</xdr:colOff>
      <xdr:row>305</xdr:row>
      <xdr:rowOff>103468</xdr:rowOff>
    </xdr:from>
    <xdr:to>
      <xdr:col>20</xdr:col>
      <xdr:colOff>291417</xdr:colOff>
      <xdr:row>319</xdr:row>
      <xdr:rowOff>125917</xdr:rowOff>
    </xdr:to>
    <xdr:pic>
      <xdr:nvPicPr>
        <xdr:cNvPr id="17" name="Picture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342154" y="58273203"/>
          <a:ext cx="2015322" cy="2835127"/>
        </a:xfrm>
        <a:prstGeom prst="rect">
          <a:avLst/>
        </a:prstGeom>
        <a:ln>
          <a:solidFill>
            <a:schemeClr val="tx1"/>
          </a:solidFill>
        </a:ln>
      </xdr:spPr>
    </xdr:pic>
    <xdr:clientData/>
  </xdr:twoCellAnchor>
  <xdr:twoCellAnchor editAs="oneCell">
    <xdr:from>
      <xdr:col>8</xdr:col>
      <xdr:colOff>576729</xdr:colOff>
      <xdr:row>320</xdr:row>
      <xdr:rowOff>91906</xdr:rowOff>
    </xdr:from>
    <xdr:to>
      <xdr:col>10</xdr:col>
      <xdr:colOff>653435</xdr:colOff>
      <xdr:row>334</xdr:row>
      <xdr:rowOff>108006</xdr:rowOff>
    </xdr:to>
    <xdr:pic>
      <xdr:nvPicPr>
        <xdr:cNvPr id="18" name="Picture 17">
          <a:extLst>
            <a:ext uri="{FF2B5EF4-FFF2-40B4-BE49-F238E27FC236}">
              <a16:creationId xmlns="" xmlns:a16="http://schemas.microsoft.com/office/drawing/2014/main" id="{00000000-0008-0000-0000-00001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087347" y="61276024"/>
          <a:ext cx="2004117" cy="2839982"/>
        </a:xfrm>
        <a:prstGeom prst="rect">
          <a:avLst/>
        </a:prstGeom>
        <a:ln>
          <a:solidFill>
            <a:schemeClr val="tx1"/>
          </a:solidFill>
        </a:ln>
      </xdr:spPr>
    </xdr:pic>
    <xdr:clientData/>
  </xdr:twoCellAnchor>
  <xdr:twoCellAnchor editAs="oneCell">
    <xdr:from>
      <xdr:col>17</xdr:col>
      <xdr:colOff>91446</xdr:colOff>
      <xdr:row>320</xdr:row>
      <xdr:rowOff>91279</xdr:rowOff>
    </xdr:from>
    <xdr:to>
      <xdr:col>20</xdr:col>
      <xdr:colOff>282729</xdr:colOff>
      <xdr:row>334</xdr:row>
      <xdr:rowOff>107379</xdr:rowOff>
    </xdr:to>
    <xdr:pic>
      <xdr:nvPicPr>
        <xdr:cNvPr id="19" name="Picture 18">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342152" y="61275397"/>
          <a:ext cx="2006636" cy="2839982"/>
        </a:xfrm>
        <a:prstGeom prst="rect">
          <a:avLst/>
        </a:prstGeom>
        <a:ln>
          <a:solidFill>
            <a:schemeClr val="tx1"/>
          </a:solidFill>
        </a:ln>
      </xdr:spPr>
    </xdr:pic>
    <xdr:clientData/>
  </xdr:twoCellAnchor>
  <xdr:twoCellAnchor editAs="oneCell">
    <xdr:from>
      <xdr:col>8</xdr:col>
      <xdr:colOff>95250</xdr:colOff>
      <xdr:row>77</xdr:row>
      <xdr:rowOff>19051</xdr:rowOff>
    </xdr:from>
    <xdr:to>
      <xdr:col>12</xdr:col>
      <xdr:colOff>361500</xdr:colOff>
      <xdr:row>84</xdr:row>
      <xdr:rowOff>34179</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600825" y="27632026"/>
          <a:ext cx="3600000" cy="1415303"/>
        </a:xfrm>
        <a:prstGeom prst="rect">
          <a:avLst/>
        </a:prstGeom>
        <a:ln>
          <a:solidFill>
            <a:schemeClr val="tx1"/>
          </a:solidFill>
        </a:ln>
      </xdr:spPr>
    </xdr:pic>
    <xdr:clientData/>
  </xdr:twoCellAnchor>
  <xdr:twoCellAnchor editAs="oneCell">
    <xdr:from>
      <xdr:col>8</xdr:col>
      <xdr:colOff>1057275</xdr:colOff>
      <xdr:row>172</xdr:row>
      <xdr:rowOff>28575</xdr:rowOff>
    </xdr:from>
    <xdr:to>
      <xdr:col>17</xdr:col>
      <xdr:colOff>48145</xdr:colOff>
      <xdr:row>188</xdr:row>
      <xdr:rowOff>190969</xdr:rowOff>
    </xdr:to>
    <xdr:pic>
      <xdr:nvPicPr>
        <xdr:cNvPr id="8" name="Picture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0"/>
        <a:stretch>
          <a:fillRect/>
        </a:stretch>
      </xdr:blipFill>
      <xdr:spPr>
        <a:xfrm>
          <a:off x="7562850" y="37357050"/>
          <a:ext cx="3724795" cy="3362794"/>
        </a:xfrm>
        <a:prstGeom prst="rect">
          <a:avLst/>
        </a:prstGeom>
      </xdr:spPr>
    </xdr:pic>
    <xdr:clientData/>
  </xdr:twoCellAnchor>
  <xdr:twoCellAnchor editAs="oneCell">
    <xdr:from>
      <xdr:col>8</xdr:col>
      <xdr:colOff>95250</xdr:colOff>
      <xdr:row>79</xdr:row>
      <xdr:rowOff>714375</xdr:rowOff>
    </xdr:from>
    <xdr:to>
      <xdr:col>12</xdr:col>
      <xdr:colOff>361500</xdr:colOff>
      <xdr:row>84</xdr:row>
      <xdr:rowOff>593631</xdr:rowOff>
    </xdr:to>
    <xdr:pic>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600825" y="29136975"/>
          <a:ext cx="3600000" cy="1393731"/>
        </a:xfrm>
        <a:prstGeom prst="rect">
          <a:avLst/>
        </a:prstGeom>
        <a:ln>
          <a:solidFill>
            <a:schemeClr val="tx1"/>
          </a:solidFill>
        </a:ln>
      </xdr:spPr>
    </xdr:pic>
    <xdr:clientData/>
  </xdr:twoCellAnchor>
  <xdr:twoCellAnchor editAs="oneCell">
    <xdr:from>
      <xdr:col>8</xdr:col>
      <xdr:colOff>762000</xdr:colOff>
      <xdr:row>40</xdr:row>
      <xdr:rowOff>180975</xdr:rowOff>
    </xdr:from>
    <xdr:to>
      <xdr:col>16</xdr:col>
      <xdr:colOff>152891</xdr:colOff>
      <xdr:row>45</xdr:row>
      <xdr:rowOff>343062</xdr:rowOff>
    </xdr:to>
    <xdr:pic>
      <xdr:nvPicPr>
        <xdr:cNvPr id="26" name="Picture 25">
          <a:extLst>
            <a:ext uri="{FF2B5EF4-FFF2-40B4-BE49-F238E27FC236}">
              <a16:creationId xmlns="" xmlns:a16="http://schemas.microsoft.com/office/drawing/2014/main" id="{00000000-0008-0000-0000-00001A000000}"/>
            </a:ext>
          </a:extLst>
        </xdr:cNvPr>
        <xdr:cNvPicPr>
          <a:picLocks noChangeAspect="1"/>
        </xdr:cNvPicPr>
      </xdr:nvPicPr>
      <xdr:blipFill>
        <a:blip xmlns:r="http://schemas.openxmlformats.org/officeDocument/2006/relationships" r:embed="rId12"/>
        <a:stretch>
          <a:fillRect/>
        </a:stretch>
      </xdr:blipFill>
      <xdr:spPr>
        <a:xfrm>
          <a:off x="7267575" y="9896475"/>
          <a:ext cx="3515216" cy="1162212"/>
        </a:xfrm>
        <a:prstGeom prst="rect">
          <a:avLst/>
        </a:prstGeom>
      </xdr:spPr>
    </xdr:pic>
    <xdr:clientData/>
  </xdr:twoCellAnchor>
  <xdr:twoCellAnchor>
    <xdr:from>
      <xdr:col>0</xdr:col>
      <xdr:colOff>419100</xdr:colOff>
      <xdr:row>349</xdr:row>
      <xdr:rowOff>81188</xdr:rowOff>
    </xdr:from>
    <xdr:to>
      <xdr:col>7</xdr:col>
      <xdr:colOff>142200</xdr:colOff>
      <xdr:row>371</xdr:row>
      <xdr:rowOff>14700</xdr:rowOff>
    </xdr:to>
    <xdr:grpSp>
      <xdr:nvGrpSpPr>
        <xdr:cNvPr id="49" name="Group 48">
          <a:extLst>
            <a:ext uri="{FF2B5EF4-FFF2-40B4-BE49-F238E27FC236}">
              <a16:creationId xmlns="" xmlns:a16="http://schemas.microsoft.com/office/drawing/2014/main" id="{00000000-0008-0000-0000-000031000000}"/>
            </a:ext>
          </a:extLst>
        </xdr:cNvPr>
        <xdr:cNvGrpSpPr/>
      </xdr:nvGrpSpPr>
      <xdr:grpSpPr>
        <a:xfrm>
          <a:off x="419100" y="82701038"/>
          <a:ext cx="5400000" cy="4334062"/>
          <a:chOff x="190048" y="1944792"/>
          <a:chExt cx="6477904" cy="5237422"/>
        </a:xfrm>
      </xdr:grpSpPr>
      <xdr:pic>
        <xdr:nvPicPr>
          <xdr:cNvPr id="50" name="Picture 49">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13"/>
          <a:stretch>
            <a:fillRect/>
          </a:stretch>
        </xdr:blipFill>
        <xdr:spPr>
          <a:xfrm>
            <a:off x="190048" y="1961785"/>
            <a:ext cx="6477904" cy="5220429"/>
          </a:xfrm>
          <a:prstGeom prst="rect">
            <a:avLst/>
          </a:prstGeom>
          <a:ln>
            <a:solidFill>
              <a:schemeClr val="tx1"/>
            </a:solidFill>
          </a:ln>
        </xdr:spPr>
      </xdr:pic>
      <xdr:sp macro="" textlink="">
        <xdr:nvSpPr>
          <xdr:cNvPr id="51" name="Rectangle 50">
            <a:extLst>
              <a:ext uri="{FF2B5EF4-FFF2-40B4-BE49-F238E27FC236}">
                <a16:creationId xmlns="" xmlns:a16="http://schemas.microsoft.com/office/drawing/2014/main" id="{00000000-0008-0000-0000-000033000000}"/>
              </a:ext>
            </a:extLst>
          </xdr:cNvPr>
          <xdr:cNvSpPr/>
        </xdr:nvSpPr>
        <xdr:spPr>
          <a:xfrm>
            <a:off x="3263153" y="2832847"/>
            <a:ext cx="1308847" cy="116541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2" name="Rectangle 51">
            <a:extLst>
              <a:ext uri="{FF2B5EF4-FFF2-40B4-BE49-F238E27FC236}">
                <a16:creationId xmlns="" xmlns:a16="http://schemas.microsoft.com/office/drawing/2014/main" id="{00000000-0008-0000-0000-000034000000}"/>
              </a:ext>
            </a:extLst>
          </xdr:cNvPr>
          <xdr:cNvSpPr/>
        </xdr:nvSpPr>
        <xdr:spPr>
          <a:xfrm>
            <a:off x="3415552" y="5110624"/>
            <a:ext cx="1308847" cy="1165412"/>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3" name="Rectangle 52">
            <a:extLst>
              <a:ext uri="{FF2B5EF4-FFF2-40B4-BE49-F238E27FC236}">
                <a16:creationId xmlns="" xmlns:a16="http://schemas.microsoft.com/office/drawing/2014/main" id="{00000000-0008-0000-0000-000035000000}"/>
              </a:ext>
            </a:extLst>
          </xdr:cNvPr>
          <xdr:cNvSpPr/>
        </xdr:nvSpPr>
        <xdr:spPr>
          <a:xfrm>
            <a:off x="1472000" y="4697507"/>
            <a:ext cx="1584966" cy="157853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4" name="Rectangle 53">
            <a:extLst>
              <a:ext uri="{FF2B5EF4-FFF2-40B4-BE49-F238E27FC236}">
                <a16:creationId xmlns="" xmlns:a16="http://schemas.microsoft.com/office/drawing/2014/main" id="{00000000-0008-0000-0000-000036000000}"/>
              </a:ext>
            </a:extLst>
          </xdr:cNvPr>
          <xdr:cNvSpPr/>
        </xdr:nvSpPr>
        <xdr:spPr>
          <a:xfrm>
            <a:off x="1458553" y="2746940"/>
            <a:ext cx="1308847" cy="141268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TextBox 12">
            <a:extLst>
              <a:ext uri="{FF2B5EF4-FFF2-40B4-BE49-F238E27FC236}">
                <a16:creationId xmlns="" xmlns:a16="http://schemas.microsoft.com/office/drawing/2014/main" id="{00000000-0008-0000-0000-000037000000}"/>
              </a:ext>
            </a:extLst>
          </xdr:cNvPr>
          <xdr:cNvSpPr txBox="1"/>
        </xdr:nvSpPr>
        <xdr:spPr>
          <a:xfrm>
            <a:off x="3203274" y="3996342"/>
            <a:ext cx="1488736" cy="4521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a:t>
            </a:r>
            <a:endParaRPr lang="en-IN" b="1">
              <a:solidFill>
                <a:srgbClr val="FF0000"/>
              </a:solidFill>
            </a:endParaRPr>
          </a:p>
        </xdr:txBody>
      </xdr:sp>
      <xdr:sp macro="" textlink="">
        <xdr:nvSpPr>
          <xdr:cNvPr id="56" name="TextBox 13">
            <a:extLst>
              <a:ext uri="{FF2B5EF4-FFF2-40B4-BE49-F238E27FC236}">
                <a16:creationId xmlns="" xmlns:a16="http://schemas.microsoft.com/office/drawing/2014/main" id="{00000000-0008-0000-0000-000038000000}"/>
              </a:ext>
            </a:extLst>
          </xdr:cNvPr>
          <xdr:cNvSpPr txBox="1"/>
        </xdr:nvSpPr>
        <xdr:spPr>
          <a:xfrm>
            <a:off x="3263151" y="4759222"/>
            <a:ext cx="1474564" cy="4521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57" name="TextBox 14">
            <a:extLst>
              <a:ext uri="{FF2B5EF4-FFF2-40B4-BE49-F238E27FC236}">
                <a16:creationId xmlns="" xmlns:a16="http://schemas.microsoft.com/office/drawing/2014/main" id="{00000000-0008-0000-0000-000039000000}"/>
              </a:ext>
            </a:extLst>
          </xdr:cNvPr>
          <xdr:cNvSpPr txBox="1"/>
        </xdr:nvSpPr>
        <xdr:spPr>
          <a:xfrm>
            <a:off x="1683232" y="4328175"/>
            <a:ext cx="1420522" cy="4521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a:t>
            </a:r>
            <a:endParaRPr lang="en-IN" b="1">
              <a:solidFill>
                <a:srgbClr val="FF0000"/>
              </a:solidFill>
            </a:endParaRPr>
          </a:p>
        </xdr:txBody>
      </xdr:sp>
      <xdr:sp macro="" textlink="">
        <xdr:nvSpPr>
          <xdr:cNvPr id="58" name="TextBox 15">
            <a:extLst>
              <a:ext uri="{FF2B5EF4-FFF2-40B4-BE49-F238E27FC236}">
                <a16:creationId xmlns="" xmlns:a16="http://schemas.microsoft.com/office/drawing/2014/main" id="{00000000-0008-0000-0000-00003A000000}"/>
              </a:ext>
            </a:extLst>
          </xdr:cNvPr>
          <xdr:cNvSpPr txBox="1"/>
        </xdr:nvSpPr>
        <xdr:spPr>
          <a:xfrm>
            <a:off x="843579" y="2463515"/>
            <a:ext cx="1346072" cy="79267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5</a:t>
            </a:r>
            <a:endParaRPr lang="en-IN" b="1">
              <a:solidFill>
                <a:srgbClr val="FF0000"/>
              </a:solidFill>
            </a:endParaRPr>
          </a:p>
        </xdr:txBody>
      </xdr:sp>
      <xdr:cxnSp macro="">
        <xdr:nvCxnSpPr>
          <xdr:cNvPr id="59" name="Straight Connector 58">
            <a:extLst>
              <a:ext uri="{FF2B5EF4-FFF2-40B4-BE49-F238E27FC236}">
                <a16:creationId xmlns="" xmlns:a16="http://schemas.microsoft.com/office/drawing/2014/main" id="{00000000-0008-0000-0000-00003B000000}"/>
              </a:ext>
            </a:extLst>
          </xdr:cNvPr>
          <xdr:cNvCxnSpPr>
            <a:cxnSpLocks/>
          </xdr:cNvCxnSpPr>
        </xdr:nvCxnSpPr>
        <xdr:spPr>
          <a:xfrm>
            <a:off x="843579" y="2463515"/>
            <a:ext cx="5705086" cy="39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a:extLst>
              <a:ext uri="{FF2B5EF4-FFF2-40B4-BE49-F238E27FC236}">
                <a16:creationId xmlns="" xmlns:a16="http://schemas.microsoft.com/office/drawing/2014/main" id="{00000000-0008-0000-0000-00003C000000}"/>
              </a:ext>
            </a:extLst>
          </xdr:cNvPr>
          <xdr:cNvCxnSpPr>
            <a:cxnSpLocks/>
          </xdr:cNvCxnSpPr>
        </xdr:nvCxnSpPr>
        <xdr:spPr>
          <a:xfrm>
            <a:off x="590684" y="2309690"/>
            <a:ext cx="5705086" cy="39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TextBox 7">
            <a:extLst>
              <a:ext uri="{FF2B5EF4-FFF2-40B4-BE49-F238E27FC236}">
                <a16:creationId xmlns="" xmlns:a16="http://schemas.microsoft.com/office/drawing/2014/main" id="{00000000-0008-0000-0000-00003D000000}"/>
              </a:ext>
            </a:extLst>
          </xdr:cNvPr>
          <xdr:cNvSpPr txBox="1"/>
        </xdr:nvSpPr>
        <xdr:spPr>
          <a:xfrm>
            <a:off x="2124402" y="1944792"/>
            <a:ext cx="1139322" cy="45212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NALLA</a:t>
            </a:r>
            <a:endParaRPr lang="en-IN" b="1">
              <a:solidFill>
                <a:srgbClr val="FF0000"/>
              </a:solidFill>
            </a:endParaRPr>
          </a:p>
        </xdr:txBody>
      </xdr:sp>
    </xdr:grpSp>
    <xdr:clientData/>
  </xdr:twoCellAnchor>
  <xdr:twoCellAnchor editAs="oneCell">
    <xdr:from>
      <xdr:col>8</xdr:col>
      <xdr:colOff>466725</xdr:colOff>
      <xdr:row>49</xdr:row>
      <xdr:rowOff>352425</xdr:rowOff>
    </xdr:from>
    <xdr:to>
      <xdr:col>16</xdr:col>
      <xdr:colOff>448248</xdr:colOff>
      <xdr:row>53</xdr:row>
      <xdr:rowOff>189</xdr:rowOff>
    </xdr:to>
    <xdr:pic>
      <xdr:nvPicPr>
        <xdr:cNvPr id="28" name="Picture 27">
          <a:extLst>
            <a:ext uri="{FF2B5EF4-FFF2-40B4-BE49-F238E27FC236}">
              <a16:creationId xmlns="" xmlns:a16="http://schemas.microsoft.com/office/drawing/2014/main" id="{00000000-0008-0000-0000-00001C000000}"/>
            </a:ext>
          </a:extLst>
        </xdr:cNvPr>
        <xdr:cNvPicPr>
          <a:picLocks noChangeAspect="1"/>
        </xdr:cNvPicPr>
      </xdr:nvPicPr>
      <xdr:blipFill>
        <a:blip xmlns:r="http://schemas.openxmlformats.org/officeDocument/2006/relationships" r:embed="rId14"/>
        <a:stretch>
          <a:fillRect/>
        </a:stretch>
      </xdr:blipFill>
      <xdr:spPr>
        <a:xfrm>
          <a:off x="6972300" y="12915900"/>
          <a:ext cx="4105848" cy="1352739"/>
        </a:xfrm>
        <a:prstGeom prst="rect">
          <a:avLst/>
        </a:prstGeom>
      </xdr:spPr>
    </xdr:pic>
    <xdr:clientData/>
  </xdr:twoCellAnchor>
  <xdr:twoCellAnchor>
    <xdr:from>
      <xdr:col>8</xdr:col>
      <xdr:colOff>234950</xdr:colOff>
      <xdr:row>307</xdr:row>
      <xdr:rowOff>155575</xdr:rowOff>
    </xdr:from>
    <xdr:to>
      <xdr:col>19</xdr:col>
      <xdr:colOff>467233</xdr:colOff>
      <xdr:row>347</xdr:row>
      <xdr:rowOff>91551</xdr:rowOff>
    </xdr:to>
    <xdr:grpSp>
      <xdr:nvGrpSpPr>
        <xdr:cNvPr id="27" name="Group 26">
          <a:extLst>
            <a:ext uri="{FF2B5EF4-FFF2-40B4-BE49-F238E27FC236}">
              <a16:creationId xmlns="" xmlns:a16="http://schemas.microsoft.com/office/drawing/2014/main" id="{00000000-0008-0000-0000-00001B000000}"/>
            </a:ext>
          </a:extLst>
        </xdr:cNvPr>
        <xdr:cNvGrpSpPr/>
      </xdr:nvGrpSpPr>
      <xdr:grpSpPr>
        <a:xfrm>
          <a:off x="6740525" y="74383900"/>
          <a:ext cx="6185408" cy="7927451"/>
          <a:chOff x="177800" y="59893200"/>
          <a:chExt cx="6464808" cy="7803626"/>
        </a:xfrm>
      </xdr:grpSpPr>
      <xdr:pic>
        <xdr:nvPicPr>
          <xdr:cNvPr id="46" name="Picture 45">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584884" y="62715013"/>
            <a:ext cx="2057724" cy="2736000"/>
          </a:xfrm>
          <a:prstGeom prst="rect">
            <a:avLst/>
          </a:prstGeom>
          <a:ln>
            <a:solidFill>
              <a:schemeClr val="tx1"/>
            </a:solidFill>
          </a:ln>
        </xdr:spPr>
      </xdr:pic>
      <xdr:pic>
        <xdr:nvPicPr>
          <xdr:cNvPr id="47" name="Picture 46">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77800" y="59893200"/>
            <a:ext cx="2057724" cy="2736000"/>
          </a:xfrm>
          <a:prstGeom prst="rect">
            <a:avLst/>
          </a:prstGeom>
          <a:ln>
            <a:solidFill>
              <a:schemeClr val="tx1"/>
            </a:solidFill>
          </a:ln>
        </xdr:spPr>
      </xdr:pic>
      <xdr:pic>
        <xdr:nvPicPr>
          <xdr:cNvPr id="48" name="Picture 47">
            <a:extLst>
              <a:ext uri="{FF2B5EF4-FFF2-40B4-BE49-F238E27FC236}">
                <a16:creationId xmlns="" xmlns:a16="http://schemas.microsoft.com/office/drawing/2014/main" id="{00000000-0008-0000-0000-000030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584884" y="59893200"/>
            <a:ext cx="2057724" cy="2736000"/>
          </a:xfrm>
          <a:prstGeom prst="rect">
            <a:avLst/>
          </a:prstGeom>
          <a:ln>
            <a:solidFill>
              <a:schemeClr val="tx1"/>
            </a:solidFill>
          </a:ln>
        </xdr:spPr>
      </xdr:pic>
      <xdr:pic>
        <xdr:nvPicPr>
          <xdr:cNvPr id="62" name="Picture 61">
            <a:extLst>
              <a:ext uri="{FF2B5EF4-FFF2-40B4-BE49-F238E27FC236}">
                <a16:creationId xmlns="" xmlns:a16="http://schemas.microsoft.com/office/drawing/2014/main" id="{00000000-0008-0000-0000-00003E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995822" y="65536826"/>
            <a:ext cx="2865387" cy="2160000"/>
          </a:xfrm>
          <a:prstGeom prst="rect">
            <a:avLst/>
          </a:prstGeom>
          <a:ln>
            <a:solidFill>
              <a:schemeClr val="tx1"/>
            </a:solidFill>
          </a:ln>
        </xdr:spPr>
      </xdr:pic>
      <xdr:pic>
        <xdr:nvPicPr>
          <xdr:cNvPr id="63" name="Picture 62">
            <a:extLst>
              <a:ext uri="{FF2B5EF4-FFF2-40B4-BE49-F238E27FC236}">
                <a16:creationId xmlns="" xmlns:a16="http://schemas.microsoft.com/office/drawing/2014/main" id="{00000000-0008-0000-0000-00003F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989227" y="65536826"/>
            <a:ext cx="1624519" cy="2160000"/>
          </a:xfrm>
          <a:prstGeom prst="rect">
            <a:avLst/>
          </a:prstGeom>
          <a:ln>
            <a:solidFill>
              <a:schemeClr val="tx1"/>
            </a:solidFill>
          </a:ln>
        </xdr:spPr>
      </xdr:pic>
      <xdr:pic>
        <xdr:nvPicPr>
          <xdr:cNvPr id="64" name="Picture 63">
            <a:extLst>
              <a:ext uri="{FF2B5EF4-FFF2-40B4-BE49-F238E27FC236}">
                <a16:creationId xmlns="" xmlns:a16="http://schemas.microsoft.com/office/drawing/2014/main" id="{00000000-0008-0000-0000-000040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381342" y="59893200"/>
            <a:ext cx="2057724" cy="2736000"/>
          </a:xfrm>
          <a:prstGeom prst="rect">
            <a:avLst/>
          </a:prstGeom>
          <a:ln>
            <a:solidFill>
              <a:schemeClr val="tx1"/>
            </a:solidFill>
          </a:ln>
        </xdr:spPr>
      </xdr:pic>
      <xdr:pic>
        <xdr:nvPicPr>
          <xdr:cNvPr id="65" name="Picture 64">
            <a:extLst>
              <a:ext uri="{FF2B5EF4-FFF2-40B4-BE49-F238E27FC236}">
                <a16:creationId xmlns="" xmlns:a16="http://schemas.microsoft.com/office/drawing/2014/main" id="{00000000-0008-0000-0000-000041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77800" y="62715013"/>
            <a:ext cx="2057724" cy="2736000"/>
          </a:xfrm>
          <a:prstGeom prst="rect">
            <a:avLst/>
          </a:prstGeom>
          <a:ln>
            <a:solidFill>
              <a:schemeClr val="tx1"/>
            </a:solidFill>
          </a:ln>
        </xdr:spPr>
      </xdr:pic>
      <xdr:pic>
        <xdr:nvPicPr>
          <xdr:cNvPr id="66" name="Picture 65">
            <a:extLst>
              <a:ext uri="{FF2B5EF4-FFF2-40B4-BE49-F238E27FC236}">
                <a16:creationId xmlns="" xmlns:a16="http://schemas.microsoft.com/office/drawing/2014/main" id="{00000000-0008-0000-0000-000042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381342" y="62715013"/>
            <a:ext cx="2057724" cy="2736000"/>
          </a:xfrm>
          <a:prstGeom prst="rect">
            <a:avLst/>
          </a:prstGeom>
          <a:ln>
            <a:solidFill>
              <a:schemeClr val="tx1"/>
            </a:solidFill>
          </a:ln>
        </xdr:spPr>
      </xdr:pic>
    </xdr:grpSp>
    <xdr:clientData/>
  </xdr:twoCellAnchor>
  <xdr:twoCellAnchor>
    <xdr:from>
      <xdr:col>8</xdr:col>
      <xdr:colOff>28575</xdr:colOff>
      <xdr:row>304</xdr:row>
      <xdr:rowOff>133350</xdr:rowOff>
    </xdr:from>
    <xdr:to>
      <xdr:col>19</xdr:col>
      <xdr:colOff>352527</xdr:colOff>
      <xdr:row>339</xdr:row>
      <xdr:rowOff>100994</xdr:rowOff>
    </xdr:to>
    <xdr:grpSp>
      <xdr:nvGrpSpPr>
        <xdr:cNvPr id="39" name="Group 38">
          <a:extLst>
            <a:ext uri="{FF2B5EF4-FFF2-40B4-BE49-F238E27FC236}">
              <a16:creationId xmlns="" xmlns:a16="http://schemas.microsoft.com/office/drawing/2014/main" id="{3F08785E-6571-4D76-A199-911F13D3E310}"/>
            </a:ext>
          </a:extLst>
        </xdr:cNvPr>
        <xdr:cNvGrpSpPr/>
      </xdr:nvGrpSpPr>
      <xdr:grpSpPr>
        <a:xfrm>
          <a:off x="6534150" y="73761600"/>
          <a:ext cx="6277077" cy="6958994"/>
          <a:chOff x="265582" y="377638"/>
          <a:chExt cx="6277077" cy="6958994"/>
        </a:xfrm>
      </xdr:grpSpPr>
      <xdr:grpSp>
        <xdr:nvGrpSpPr>
          <xdr:cNvPr id="40" name="Group 39">
            <a:extLst>
              <a:ext uri="{FF2B5EF4-FFF2-40B4-BE49-F238E27FC236}">
                <a16:creationId xmlns="" xmlns:a16="http://schemas.microsoft.com/office/drawing/2014/main" id="{690414CA-98CF-4B42-B31E-4692F884B095}"/>
              </a:ext>
            </a:extLst>
          </xdr:cNvPr>
          <xdr:cNvGrpSpPr/>
        </xdr:nvGrpSpPr>
        <xdr:grpSpPr>
          <a:xfrm>
            <a:off x="265582" y="377638"/>
            <a:ext cx="6277077" cy="6958994"/>
            <a:chOff x="265582" y="377638"/>
            <a:chExt cx="6277077" cy="6958994"/>
          </a:xfrm>
        </xdr:grpSpPr>
        <xdr:pic>
          <xdr:nvPicPr>
            <xdr:cNvPr id="67" name="Picture 66">
              <a:extLst>
                <a:ext uri="{FF2B5EF4-FFF2-40B4-BE49-F238E27FC236}">
                  <a16:creationId xmlns="" xmlns:a16="http://schemas.microsoft.com/office/drawing/2014/main" id="{D432EFDC-C590-4246-95D3-A053EDC6661B}"/>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2998" y="377638"/>
              <a:ext cx="1895272" cy="2520000"/>
            </a:xfrm>
            <a:prstGeom prst="rect">
              <a:avLst/>
            </a:prstGeom>
            <a:ln>
              <a:solidFill>
                <a:schemeClr val="tx1"/>
              </a:solidFill>
            </a:ln>
          </xdr:spPr>
        </xdr:pic>
        <xdr:pic>
          <xdr:nvPicPr>
            <xdr:cNvPr id="68" name="Picture 67">
              <a:extLst>
                <a:ext uri="{FF2B5EF4-FFF2-40B4-BE49-F238E27FC236}">
                  <a16:creationId xmlns="" xmlns:a16="http://schemas.microsoft.com/office/drawing/2014/main" id="{B172D9B5-D228-44D2-A8C7-C196A7E24D9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481364" y="377638"/>
              <a:ext cx="1895272" cy="2520000"/>
            </a:xfrm>
            <a:prstGeom prst="rect">
              <a:avLst/>
            </a:prstGeom>
            <a:ln>
              <a:solidFill>
                <a:schemeClr val="tx1"/>
              </a:solidFill>
            </a:ln>
          </xdr:spPr>
        </xdr:pic>
        <xdr:pic>
          <xdr:nvPicPr>
            <xdr:cNvPr id="69" name="Picture 68">
              <a:extLst>
                <a:ext uri="{FF2B5EF4-FFF2-40B4-BE49-F238E27FC236}">
                  <a16:creationId xmlns="" xmlns:a16="http://schemas.microsoft.com/office/drawing/2014/main" id="{C6C71CE0-ECB8-447E-B92D-414CD399448C}"/>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61406" y="3065064"/>
              <a:ext cx="1624519" cy="2160000"/>
            </a:xfrm>
            <a:prstGeom prst="rect">
              <a:avLst/>
            </a:prstGeom>
            <a:ln>
              <a:solidFill>
                <a:schemeClr val="tx1"/>
              </a:solidFill>
            </a:ln>
          </xdr:spPr>
        </xdr:pic>
        <xdr:pic>
          <xdr:nvPicPr>
            <xdr:cNvPr id="70" name="Picture 69">
              <a:extLst>
                <a:ext uri="{FF2B5EF4-FFF2-40B4-BE49-F238E27FC236}">
                  <a16:creationId xmlns="" xmlns:a16="http://schemas.microsoft.com/office/drawing/2014/main" id="{810BD23F-D707-4D98-8819-5680AF143E74}"/>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619021" y="3065064"/>
              <a:ext cx="1624519" cy="2160000"/>
            </a:xfrm>
            <a:prstGeom prst="rect">
              <a:avLst/>
            </a:prstGeom>
            <a:ln>
              <a:solidFill>
                <a:schemeClr val="tx1"/>
              </a:solidFill>
            </a:ln>
          </xdr:spPr>
        </xdr:pic>
        <xdr:pic>
          <xdr:nvPicPr>
            <xdr:cNvPr id="71" name="Picture 70">
              <a:extLst>
                <a:ext uri="{FF2B5EF4-FFF2-40B4-BE49-F238E27FC236}">
                  <a16:creationId xmlns="" xmlns:a16="http://schemas.microsoft.com/office/drawing/2014/main" id="{3D106F89-5B42-4E7C-BB74-68676BCABA6F}"/>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509730" y="377638"/>
              <a:ext cx="1895272" cy="2520000"/>
            </a:xfrm>
            <a:prstGeom prst="rect">
              <a:avLst/>
            </a:prstGeom>
            <a:ln>
              <a:solidFill>
                <a:schemeClr val="tx1"/>
              </a:solidFill>
            </a:ln>
          </xdr:spPr>
        </xdr:pic>
        <xdr:pic>
          <xdr:nvPicPr>
            <xdr:cNvPr id="72" name="Picture 71">
              <a:extLst>
                <a:ext uri="{FF2B5EF4-FFF2-40B4-BE49-F238E27FC236}">
                  <a16:creationId xmlns="" xmlns:a16="http://schemas.microsoft.com/office/drawing/2014/main" id="{7DD05617-A486-4701-92D5-4BDB0A3BC803}"/>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65582" y="5356632"/>
              <a:ext cx="1489142" cy="1980000"/>
            </a:xfrm>
            <a:prstGeom prst="rect">
              <a:avLst/>
            </a:prstGeom>
            <a:ln>
              <a:solidFill>
                <a:schemeClr val="tx1"/>
              </a:solidFill>
            </a:ln>
          </xdr:spPr>
        </xdr:pic>
        <xdr:pic>
          <xdr:nvPicPr>
            <xdr:cNvPr id="73" name="Picture 72">
              <a:extLst>
                <a:ext uri="{FF2B5EF4-FFF2-40B4-BE49-F238E27FC236}">
                  <a16:creationId xmlns="" xmlns:a16="http://schemas.microsoft.com/office/drawing/2014/main" id="{77865CE2-BBB2-4887-8E97-E383CEB32408}"/>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4372075" y="3065064"/>
              <a:ext cx="1624519" cy="2160000"/>
            </a:xfrm>
            <a:prstGeom prst="rect">
              <a:avLst/>
            </a:prstGeom>
            <a:ln>
              <a:solidFill>
                <a:schemeClr val="tx1"/>
              </a:solidFill>
            </a:ln>
          </xdr:spPr>
        </xdr:pic>
        <xdr:pic>
          <xdr:nvPicPr>
            <xdr:cNvPr id="74" name="Picture 73">
              <a:extLst>
                <a:ext uri="{FF2B5EF4-FFF2-40B4-BE49-F238E27FC236}">
                  <a16:creationId xmlns="" xmlns:a16="http://schemas.microsoft.com/office/drawing/2014/main" id="{D67C0A27-043B-4208-BE17-433D9BB99518}"/>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874450" y="5356632"/>
              <a:ext cx="1489142" cy="1980000"/>
            </a:xfrm>
            <a:prstGeom prst="rect">
              <a:avLst/>
            </a:prstGeom>
            <a:ln>
              <a:solidFill>
                <a:schemeClr val="tx1"/>
              </a:solidFill>
            </a:ln>
          </xdr:spPr>
        </xdr:pic>
        <xdr:pic>
          <xdr:nvPicPr>
            <xdr:cNvPr id="75" name="Picture 74">
              <a:extLst>
                <a:ext uri="{FF2B5EF4-FFF2-40B4-BE49-F238E27FC236}">
                  <a16:creationId xmlns="" xmlns:a16="http://schemas.microsoft.com/office/drawing/2014/main" id="{4CDAFAEE-0B53-429B-B2F0-F86AFABB5BBB}"/>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3444649" y="5356632"/>
              <a:ext cx="1489142" cy="1980000"/>
            </a:xfrm>
            <a:prstGeom prst="rect">
              <a:avLst/>
            </a:prstGeom>
            <a:ln>
              <a:solidFill>
                <a:schemeClr val="tx1"/>
              </a:solidFill>
            </a:ln>
          </xdr:spPr>
        </xdr:pic>
        <xdr:pic>
          <xdr:nvPicPr>
            <xdr:cNvPr id="76" name="Picture 75">
              <a:extLst>
                <a:ext uri="{FF2B5EF4-FFF2-40B4-BE49-F238E27FC236}">
                  <a16:creationId xmlns="" xmlns:a16="http://schemas.microsoft.com/office/drawing/2014/main" id="{1DBFFD39-3AA0-4A25-B455-FD9E3F75767A}"/>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5053517" y="5356632"/>
              <a:ext cx="1489142" cy="1980000"/>
            </a:xfrm>
            <a:prstGeom prst="rect">
              <a:avLst/>
            </a:prstGeom>
            <a:ln>
              <a:solidFill>
                <a:schemeClr val="tx1"/>
              </a:solidFill>
            </a:ln>
          </xdr:spPr>
        </xdr:pic>
      </xdr:grpSp>
      <xdr:sp macro="" textlink="">
        <xdr:nvSpPr>
          <xdr:cNvPr id="41" name="TextBox 95">
            <a:extLst>
              <a:ext uri="{FF2B5EF4-FFF2-40B4-BE49-F238E27FC236}">
                <a16:creationId xmlns="" xmlns:a16="http://schemas.microsoft.com/office/drawing/2014/main" id="{07BC85E7-4D6E-427D-92BB-F8E4448D21F0}"/>
              </a:ext>
            </a:extLst>
          </xdr:cNvPr>
          <xdr:cNvSpPr txBox="1"/>
        </xdr:nvSpPr>
        <xdr:spPr>
          <a:xfrm>
            <a:off x="1312936" y="2409424"/>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42" name="TextBox 96">
            <a:extLst>
              <a:ext uri="{FF2B5EF4-FFF2-40B4-BE49-F238E27FC236}">
                <a16:creationId xmlns="" xmlns:a16="http://schemas.microsoft.com/office/drawing/2014/main" id="{DA10D609-AB2E-45AA-82FA-4D7502D7F08B}"/>
              </a:ext>
            </a:extLst>
          </xdr:cNvPr>
          <xdr:cNvSpPr txBox="1"/>
        </xdr:nvSpPr>
        <xdr:spPr>
          <a:xfrm>
            <a:off x="3111208" y="2457538"/>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sp macro="" textlink="">
        <xdr:nvSpPr>
          <xdr:cNvPr id="43" name="TextBox 97">
            <a:extLst>
              <a:ext uri="{FF2B5EF4-FFF2-40B4-BE49-F238E27FC236}">
                <a16:creationId xmlns="" xmlns:a16="http://schemas.microsoft.com/office/drawing/2014/main" id="{BAA57319-BF8C-448B-BFD4-835A8073A0E7}"/>
              </a:ext>
            </a:extLst>
          </xdr:cNvPr>
          <xdr:cNvSpPr txBox="1"/>
        </xdr:nvSpPr>
        <xdr:spPr>
          <a:xfrm>
            <a:off x="5187075" y="2511325"/>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3</a:t>
            </a:r>
            <a:endParaRPr lang="en-IN" b="1">
              <a:solidFill>
                <a:srgbClr val="FF0000"/>
              </a:solidFill>
            </a:endParaRPr>
          </a:p>
        </xdr:txBody>
      </xdr:sp>
      <xdr:sp macro="" textlink="">
        <xdr:nvSpPr>
          <xdr:cNvPr id="44" name="TextBox 98">
            <a:extLst>
              <a:ext uri="{FF2B5EF4-FFF2-40B4-BE49-F238E27FC236}">
                <a16:creationId xmlns="" xmlns:a16="http://schemas.microsoft.com/office/drawing/2014/main" id="{D1B2C0BF-FDB2-45E1-BC27-BF319ABB4526}"/>
              </a:ext>
            </a:extLst>
          </xdr:cNvPr>
          <xdr:cNvSpPr txBox="1"/>
        </xdr:nvSpPr>
        <xdr:spPr>
          <a:xfrm>
            <a:off x="1142692" y="3077319"/>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sp macro="" textlink="">
        <xdr:nvSpPr>
          <xdr:cNvPr id="45" name="TextBox 99">
            <a:extLst>
              <a:ext uri="{FF2B5EF4-FFF2-40B4-BE49-F238E27FC236}">
                <a16:creationId xmlns="" xmlns:a16="http://schemas.microsoft.com/office/drawing/2014/main" id="{E6D43F8F-5925-4FA2-BD8F-EDAB2E7B525B}"/>
              </a:ext>
            </a:extLst>
          </xdr:cNvPr>
          <xdr:cNvSpPr txBox="1"/>
        </xdr:nvSpPr>
        <xdr:spPr>
          <a:xfrm>
            <a:off x="3076563" y="4792872"/>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grpSp>
    <xdr:clientData/>
  </xdr:twoCellAnchor>
  <xdr:twoCellAnchor editAs="oneCell">
    <xdr:from>
      <xdr:col>8</xdr:col>
      <xdr:colOff>742950</xdr:colOff>
      <xdr:row>45</xdr:row>
      <xdr:rowOff>428625</xdr:rowOff>
    </xdr:from>
    <xdr:to>
      <xdr:col>16</xdr:col>
      <xdr:colOff>218625</xdr:colOff>
      <xdr:row>49</xdr:row>
      <xdr:rowOff>268430</xdr:rowOff>
    </xdr:to>
    <xdr:pic>
      <xdr:nvPicPr>
        <xdr:cNvPr id="2" name="Picture 1">
          <a:extLst>
            <a:ext uri="{FF2B5EF4-FFF2-40B4-BE49-F238E27FC236}">
              <a16:creationId xmlns="" xmlns:a16="http://schemas.microsoft.com/office/drawing/2014/main" id="{4279F3DE-CC1E-4295-AF8B-B365B99D0FE5}"/>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7248525" y="11144250"/>
          <a:ext cx="3600000" cy="1582880"/>
        </a:xfrm>
        <a:prstGeom prst="rect">
          <a:avLst/>
        </a:prstGeom>
      </xdr:spPr>
    </xdr:pic>
    <xdr:clientData/>
  </xdr:twoCellAnchor>
  <xdr:twoCellAnchor editAs="oneCell">
    <xdr:from>
      <xdr:col>8</xdr:col>
      <xdr:colOff>408214</xdr:colOff>
      <xdr:row>63</xdr:row>
      <xdr:rowOff>517072</xdr:rowOff>
    </xdr:from>
    <xdr:to>
      <xdr:col>22</xdr:col>
      <xdr:colOff>603911</xdr:colOff>
      <xdr:row>68</xdr:row>
      <xdr:rowOff>52038</xdr:rowOff>
    </xdr:to>
    <xdr:pic>
      <xdr:nvPicPr>
        <xdr:cNvPr id="3" name="Picture 2">
          <a:extLst>
            <a:ext uri="{FF2B5EF4-FFF2-40B4-BE49-F238E27FC236}">
              <a16:creationId xmlns="" xmlns:a16="http://schemas.microsoft.com/office/drawing/2014/main" id="{2655A704-5BDC-465F-B347-BAE32539BE7B}"/>
            </a:ext>
          </a:extLst>
        </xdr:cNvPr>
        <xdr:cNvPicPr>
          <a:picLocks noChangeAspect="1"/>
        </xdr:cNvPicPr>
      </xdr:nvPicPr>
      <xdr:blipFill>
        <a:blip xmlns:r="http://schemas.openxmlformats.org/officeDocument/2006/relationships" r:embed="rId34"/>
        <a:stretch>
          <a:fillRect/>
        </a:stretch>
      </xdr:blipFill>
      <xdr:spPr>
        <a:xfrm>
          <a:off x="6898821" y="17362715"/>
          <a:ext cx="7992590" cy="2362530"/>
        </a:xfrm>
        <a:prstGeom prst="rect">
          <a:avLst/>
        </a:prstGeom>
      </xdr:spPr>
    </xdr:pic>
    <xdr:clientData/>
  </xdr:twoCellAnchor>
  <xdr:twoCellAnchor editAs="oneCell">
    <xdr:from>
      <xdr:col>8</xdr:col>
      <xdr:colOff>771525</xdr:colOff>
      <xdr:row>156</xdr:row>
      <xdr:rowOff>133350</xdr:rowOff>
    </xdr:from>
    <xdr:to>
      <xdr:col>11</xdr:col>
      <xdr:colOff>238417</xdr:colOff>
      <xdr:row>163</xdr:row>
      <xdr:rowOff>124020</xdr:rowOff>
    </xdr:to>
    <xdr:pic>
      <xdr:nvPicPr>
        <xdr:cNvPr id="4" name="Picture 3">
          <a:extLst>
            <a:ext uri="{FF2B5EF4-FFF2-40B4-BE49-F238E27FC236}">
              <a16:creationId xmlns="" xmlns:a16="http://schemas.microsoft.com/office/drawing/2014/main" id="{08D8BDD1-CB93-4FE0-84F0-E88A16EBA9B2}"/>
            </a:ext>
          </a:extLst>
        </xdr:cNvPr>
        <xdr:cNvPicPr>
          <a:picLocks noChangeAspect="1"/>
        </xdr:cNvPicPr>
      </xdr:nvPicPr>
      <xdr:blipFill>
        <a:blip xmlns:r="http://schemas.openxmlformats.org/officeDocument/2006/relationships" r:embed="rId35"/>
        <a:stretch>
          <a:fillRect/>
        </a:stretch>
      </xdr:blipFill>
      <xdr:spPr>
        <a:xfrm>
          <a:off x="7277100" y="42548175"/>
          <a:ext cx="2095792" cy="1400370"/>
        </a:xfrm>
        <a:prstGeom prst="rect">
          <a:avLst/>
        </a:prstGeom>
      </xdr:spPr>
    </xdr:pic>
    <xdr:clientData/>
  </xdr:twoCellAnchor>
  <xdr:twoCellAnchor editAs="oneCell">
    <xdr:from>
      <xdr:col>8</xdr:col>
      <xdr:colOff>161925</xdr:colOff>
      <xdr:row>86</xdr:row>
      <xdr:rowOff>104775</xdr:rowOff>
    </xdr:from>
    <xdr:to>
      <xdr:col>10</xdr:col>
      <xdr:colOff>333667</xdr:colOff>
      <xdr:row>91</xdr:row>
      <xdr:rowOff>66870</xdr:rowOff>
    </xdr:to>
    <xdr:pic>
      <xdr:nvPicPr>
        <xdr:cNvPr id="5" name="Picture 4">
          <a:extLst>
            <a:ext uri="{FF2B5EF4-FFF2-40B4-BE49-F238E27FC236}">
              <a16:creationId xmlns="" xmlns:a16="http://schemas.microsoft.com/office/drawing/2014/main" id="{A3475E64-5630-4025-B26C-25599680BA73}"/>
            </a:ext>
          </a:extLst>
        </xdr:cNvPr>
        <xdr:cNvPicPr>
          <a:picLocks noChangeAspect="1"/>
        </xdr:cNvPicPr>
      </xdr:nvPicPr>
      <xdr:blipFill>
        <a:blip xmlns:r="http://schemas.openxmlformats.org/officeDocument/2006/relationships" r:embed="rId35"/>
        <a:stretch>
          <a:fillRect/>
        </a:stretch>
      </xdr:blipFill>
      <xdr:spPr>
        <a:xfrm>
          <a:off x="6667500" y="28841700"/>
          <a:ext cx="2095792" cy="1400370"/>
        </a:xfrm>
        <a:prstGeom prst="rect">
          <a:avLst/>
        </a:prstGeom>
      </xdr:spPr>
    </xdr:pic>
    <xdr:clientData/>
  </xdr:twoCellAnchor>
  <xdr:twoCellAnchor editAs="oneCell">
    <xdr:from>
      <xdr:col>8</xdr:col>
      <xdr:colOff>942975</xdr:colOff>
      <xdr:row>200</xdr:row>
      <xdr:rowOff>47625</xdr:rowOff>
    </xdr:from>
    <xdr:to>
      <xdr:col>24</xdr:col>
      <xdr:colOff>248809</xdr:colOff>
      <xdr:row>211</xdr:row>
      <xdr:rowOff>105118</xdr:rowOff>
    </xdr:to>
    <xdr:pic>
      <xdr:nvPicPr>
        <xdr:cNvPr id="6" name="Picture 5">
          <a:extLst>
            <a:ext uri="{FF2B5EF4-FFF2-40B4-BE49-F238E27FC236}">
              <a16:creationId xmlns="" xmlns:a16="http://schemas.microsoft.com/office/drawing/2014/main" id="{2C91C425-CA2B-4830-80F4-79560B9FCD18}"/>
            </a:ext>
          </a:extLst>
        </xdr:cNvPr>
        <xdr:cNvPicPr>
          <a:picLocks noChangeAspect="1"/>
        </xdr:cNvPicPr>
      </xdr:nvPicPr>
      <xdr:blipFill>
        <a:blip xmlns:r="http://schemas.openxmlformats.org/officeDocument/2006/relationships" r:embed="rId36"/>
        <a:stretch>
          <a:fillRect/>
        </a:stretch>
      </xdr:blipFill>
      <xdr:spPr>
        <a:xfrm>
          <a:off x="7448550" y="51682650"/>
          <a:ext cx="8306959" cy="2457793"/>
        </a:xfrm>
        <a:prstGeom prst="rect">
          <a:avLst/>
        </a:prstGeom>
      </xdr:spPr>
    </xdr:pic>
    <xdr:clientData/>
  </xdr:twoCellAnchor>
  <xdr:twoCellAnchor editAs="oneCell">
    <xdr:from>
      <xdr:col>8</xdr:col>
      <xdr:colOff>742950</xdr:colOff>
      <xdr:row>72</xdr:row>
      <xdr:rowOff>47626</xdr:rowOff>
    </xdr:from>
    <xdr:to>
      <xdr:col>12</xdr:col>
      <xdr:colOff>289200</xdr:colOff>
      <xdr:row>74</xdr:row>
      <xdr:rowOff>637399</xdr:rowOff>
    </xdr:to>
    <xdr:pic>
      <xdr:nvPicPr>
        <xdr:cNvPr id="13" name="Picture 12">
          <a:extLst>
            <a:ext uri="{FF2B5EF4-FFF2-40B4-BE49-F238E27FC236}">
              <a16:creationId xmlns="" xmlns:a16="http://schemas.microsoft.com/office/drawing/2014/main" id="{BAAECA99-279D-45CF-868A-AAE638E9DF1F}"/>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7248525" y="24050626"/>
          <a:ext cx="2880000" cy="2323323"/>
        </a:xfrm>
        <a:prstGeom prst="rect">
          <a:avLst/>
        </a:prstGeom>
      </xdr:spPr>
    </xdr:pic>
    <xdr:clientData/>
  </xdr:twoCellAnchor>
  <xdr:twoCellAnchor editAs="oneCell">
    <xdr:from>
      <xdr:col>8</xdr:col>
      <xdr:colOff>114300</xdr:colOff>
      <xdr:row>71</xdr:row>
      <xdr:rowOff>95250</xdr:rowOff>
    </xdr:from>
    <xdr:to>
      <xdr:col>12</xdr:col>
      <xdr:colOff>400555</xdr:colOff>
      <xdr:row>72</xdr:row>
      <xdr:rowOff>133410</xdr:rowOff>
    </xdr:to>
    <xdr:pic>
      <xdr:nvPicPr>
        <xdr:cNvPr id="20" name="Picture 19">
          <a:extLst>
            <a:ext uri="{FF2B5EF4-FFF2-40B4-BE49-F238E27FC236}">
              <a16:creationId xmlns="" xmlns:a16="http://schemas.microsoft.com/office/drawing/2014/main" id="{A91A87B8-158F-4443-BFA7-406A7F0A5953}"/>
            </a:ext>
          </a:extLst>
        </xdr:cNvPr>
        <xdr:cNvPicPr>
          <a:picLocks noChangeAspect="1"/>
        </xdr:cNvPicPr>
      </xdr:nvPicPr>
      <xdr:blipFill>
        <a:blip xmlns:r="http://schemas.openxmlformats.org/officeDocument/2006/relationships" r:embed="rId38"/>
        <a:stretch>
          <a:fillRect/>
        </a:stretch>
      </xdr:blipFill>
      <xdr:spPr>
        <a:xfrm>
          <a:off x="6619875" y="23707725"/>
          <a:ext cx="3620005" cy="428685"/>
        </a:xfrm>
        <a:prstGeom prst="rect">
          <a:avLst/>
        </a:prstGeom>
      </xdr:spPr>
    </xdr:pic>
    <xdr:clientData/>
  </xdr:twoCellAnchor>
  <xdr:twoCellAnchor editAs="oneCell">
    <xdr:from>
      <xdr:col>8</xdr:col>
      <xdr:colOff>66675</xdr:colOff>
      <xdr:row>74</xdr:row>
      <xdr:rowOff>571500</xdr:rowOff>
    </xdr:from>
    <xdr:to>
      <xdr:col>16</xdr:col>
      <xdr:colOff>262350</xdr:colOff>
      <xdr:row>78</xdr:row>
      <xdr:rowOff>186278</xdr:rowOff>
    </xdr:to>
    <xdr:pic>
      <xdr:nvPicPr>
        <xdr:cNvPr id="21" name="Picture 20">
          <a:extLst>
            <a:ext uri="{FF2B5EF4-FFF2-40B4-BE49-F238E27FC236}">
              <a16:creationId xmlns="" xmlns:a16="http://schemas.microsoft.com/office/drawing/2014/main" id="{7F3F4843-A6C5-4A13-AF77-AD8BD5FEC726}"/>
            </a:ext>
          </a:extLst>
        </xdr:cNvPr>
        <xdr:cNvPicPr>
          <a:picLocks noChangeAspect="1"/>
        </xdr:cNvPicPr>
      </xdr:nvPicPr>
      <xdr:blipFill>
        <a:blip xmlns:r="http://schemas.openxmlformats.org/officeDocument/2006/relationships" r:embed="rId39"/>
        <a:stretch>
          <a:fillRect/>
        </a:stretch>
      </xdr:blipFill>
      <xdr:spPr>
        <a:xfrm>
          <a:off x="6572250" y="26308050"/>
          <a:ext cx="4320000" cy="1462628"/>
        </a:xfrm>
        <a:prstGeom prst="rect">
          <a:avLst/>
        </a:prstGeom>
      </xdr:spPr>
    </xdr:pic>
    <xdr:clientData/>
  </xdr:twoCellAnchor>
  <xdr:twoCellAnchor>
    <xdr:from>
      <xdr:col>0</xdr:col>
      <xdr:colOff>171450</xdr:colOff>
      <xdr:row>306</xdr:row>
      <xdr:rowOff>161926</xdr:rowOff>
    </xdr:from>
    <xdr:to>
      <xdr:col>7</xdr:col>
      <xdr:colOff>657225</xdr:colOff>
      <xdr:row>347</xdr:row>
      <xdr:rowOff>9526</xdr:rowOff>
    </xdr:to>
    <xdr:grpSp>
      <xdr:nvGrpSpPr>
        <xdr:cNvPr id="77" name="Group 76">
          <a:extLst>
            <a:ext uri="{FF2B5EF4-FFF2-40B4-BE49-F238E27FC236}">
              <a16:creationId xmlns="" xmlns:a16="http://schemas.microsoft.com/office/drawing/2014/main" id="{772479F7-4F38-4CCE-B8E8-D32A4A897A57}"/>
            </a:ext>
          </a:extLst>
        </xdr:cNvPr>
        <xdr:cNvGrpSpPr/>
      </xdr:nvGrpSpPr>
      <xdr:grpSpPr>
        <a:xfrm>
          <a:off x="171450" y="74190226"/>
          <a:ext cx="6162675" cy="8039100"/>
          <a:chOff x="128867" y="179294"/>
          <a:chExt cx="6306704" cy="8766361"/>
        </a:xfrm>
      </xdr:grpSpPr>
      <xdr:pic>
        <xdr:nvPicPr>
          <xdr:cNvPr id="78" name="Picture 77">
            <a:extLst>
              <a:ext uri="{FF2B5EF4-FFF2-40B4-BE49-F238E27FC236}">
                <a16:creationId xmlns="" xmlns:a16="http://schemas.microsoft.com/office/drawing/2014/main" id="{8E86621B-5E07-4D93-BC97-DD5CD5A937E4}"/>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685800" y="198345"/>
            <a:ext cx="2520000" cy="3350653"/>
          </a:xfrm>
          <a:prstGeom prst="rect">
            <a:avLst/>
          </a:prstGeom>
          <a:ln>
            <a:solidFill>
              <a:schemeClr val="tx1"/>
            </a:solidFill>
          </a:ln>
        </xdr:spPr>
      </xdr:pic>
      <xdr:pic>
        <xdr:nvPicPr>
          <xdr:cNvPr id="79" name="Picture 78">
            <a:extLst>
              <a:ext uri="{FF2B5EF4-FFF2-40B4-BE49-F238E27FC236}">
                <a16:creationId xmlns="" xmlns:a16="http://schemas.microsoft.com/office/drawing/2014/main" id="{D26E8E2F-5B8A-43A2-867E-7FE36FB669F0}"/>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3429000" y="179294"/>
            <a:ext cx="2520000" cy="3350654"/>
          </a:xfrm>
          <a:prstGeom prst="rect">
            <a:avLst/>
          </a:prstGeom>
          <a:ln>
            <a:solidFill>
              <a:schemeClr val="tx1"/>
            </a:solidFill>
          </a:ln>
        </xdr:spPr>
      </xdr:pic>
      <xdr:pic>
        <xdr:nvPicPr>
          <xdr:cNvPr id="80" name="Picture 79">
            <a:extLst>
              <a:ext uri="{FF2B5EF4-FFF2-40B4-BE49-F238E27FC236}">
                <a16:creationId xmlns="" xmlns:a16="http://schemas.microsoft.com/office/drawing/2014/main" id="{EBD80904-7BA2-46E1-82F2-AC8C4CC4C9A4}"/>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62074" y="3749902"/>
            <a:ext cx="1980000" cy="2632656"/>
          </a:xfrm>
          <a:prstGeom prst="rect">
            <a:avLst/>
          </a:prstGeom>
          <a:ln>
            <a:solidFill>
              <a:schemeClr val="tx1"/>
            </a:solidFill>
          </a:ln>
        </xdr:spPr>
      </xdr:pic>
      <xdr:pic>
        <xdr:nvPicPr>
          <xdr:cNvPr id="81" name="Picture 80">
            <a:extLst>
              <a:ext uri="{FF2B5EF4-FFF2-40B4-BE49-F238E27FC236}">
                <a16:creationId xmlns="" xmlns:a16="http://schemas.microsoft.com/office/drawing/2014/main" id="{A10E9A27-B052-49FC-80A9-BB57F0EDA271}"/>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2313497" y="3749902"/>
            <a:ext cx="1980000" cy="2632656"/>
          </a:xfrm>
          <a:prstGeom prst="rect">
            <a:avLst/>
          </a:prstGeom>
          <a:ln>
            <a:solidFill>
              <a:schemeClr val="tx1"/>
            </a:solidFill>
          </a:ln>
        </xdr:spPr>
      </xdr:pic>
      <xdr:pic>
        <xdr:nvPicPr>
          <xdr:cNvPr id="82" name="Picture 81">
            <a:extLst>
              <a:ext uri="{FF2B5EF4-FFF2-40B4-BE49-F238E27FC236}">
                <a16:creationId xmlns="" xmlns:a16="http://schemas.microsoft.com/office/drawing/2014/main" id="{9DEEC4C1-B9AE-4A79-88AD-1134C2F373BD}"/>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4455571" y="3734543"/>
            <a:ext cx="1980000" cy="2632656"/>
          </a:xfrm>
          <a:prstGeom prst="rect">
            <a:avLst/>
          </a:prstGeom>
          <a:ln>
            <a:solidFill>
              <a:schemeClr val="tx1"/>
            </a:solidFill>
          </a:ln>
        </xdr:spPr>
      </xdr:pic>
      <xdr:pic>
        <xdr:nvPicPr>
          <xdr:cNvPr id="83" name="Picture 82">
            <a:extLst>
              <a:ext uri="{FF2B5EF4-FFF2-40B4-BE49-F238E27FC236}">
                <a16:creationId xmlns="" xmlns:a16="http://schemas.microsoft.com/office/drawing/2014/main" id="{92CDE249-1222-49DD-B8DD-5D476296703C}"/>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599287" y="6552331"/>
            <a:ext cx="1800000" cy="2393324"/>
          </a:xfrm>
          <a:prstGeom prst="rect">
            <a:avLst/>
          </a:prstGeom>
          <a:ln>
            <a:solidFill>
              <a:schemeClr val="tx1"/>
            </a:solidFill>
          </a:ln>
        </xdr:spPr>
      </xdr:pic>
      <xdr:pic>
        <xdr:nvPicPr>
          <xdr:cNvPr id="84" name="Picture 83">
            <a:extLst>
              <a:ext uri="{FF2B5EF4-FFF2-40B4-BE49-F238E27FC236}">
                <a16:creationId xmlns="" xmlns:a16="http://schemas.microsoft.com/office/drawing/2014/main" id="{A38BC697-ACB1-4B2E-AA50-265F59687622}"/>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2493497" y="6552331"/>
            <a:ext cx="1800000" cy="2393324"/>
          </a:xfrm>
          <a:prstGeom prst="rect">
            <a:avLst/>
          </a:prstGeom>
          <a:ln>
            <a:solidFill>
              <a:schemeClr val="tx1"/>
            </a:solidFill>
          </a:ln>
        </xdr:spPr>
      </xdr:pic>
      <xdr:pic>
        <xdr:nvPicPr>
          <xdr:cNvPr id="85" name="Picture 84">
            <a:extLst>
              <a:ext uri="{FF2B5EF4-FFF2-40B4-BE49-F238E27FC236}">
                <a16:creationId xmlns="" xmlns:a16="http://schemas.microsoft.com/office/drawing/2014/main" id="{333B3100-CBFF-4D16-B603-29BEFDAE23DC}"/>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4391897" y="6548640"/>
            <a:ext cx="1800000" cy="2393324"/>
          </a:xfrm>
          <a:prstGeom prst="rect">
            <a:avLst/>
          </a:prstGeom>
          <a:ln>
            <a:solidFill>
              <a:schemeClr val="tx1"/>
            </a:solidFill>
          </a:ln>
        </xdr:spPr>
      </xdr:pic>
      <xdr:sp macro="" textlink="">
        <xdr:nvSpPr>
          <xdr:cNvPr id="86" name="TextBox 23">
            <a:extLst>
              <a:ext uri="{FF2B5EF4-FFF2-40B4-BE49-F238E27FC236}">
                <a16:creationId xmlns="" xmlns:a16="http://schemas.microsoft.com/office/drawing/2014/main" id="{B87BB77A-D4F8-489B-B542-F6341CF421B4}"/>
              </a:ext>
            </a:extLst>
          </xdr:cNvPr>
          <xdr:cNvSpPr txBox="1"/>
        </xdr:nvSpPr>
        <xdr:spPr>
          <a:xfrm>
            <a:off x="735599" y="261423"/>
            <a:ext cx="1021119" cy="4079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87" name="TextBox 24">
            <a:extLst>
              <a:ext uri="{FF2B5EF4-FFF2-40B4-BE49-F238E27FC236}">
                <a16:creationId xmlns="" xmlns:a16="http://schemas.microsoft.com/office/drawing/2014/main" id="{F4EDBC1D-D846-4E33-98F8-81321BF3053C}"/>
              </a:ext>
            </a:extLst>
          </xdr:cNvPr>
          <xdr:cNvSpPr txBox="1"/>
        </xdr:nvSpPr>
        <xdr:spPr>
          <a:xfrm>
            <a:off x="3335832" y="443943"/>
            <a:ext cx="957667" cy="4079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sp macro="" textlink="">
        <xdr:nvSpPr>
          <xdr:cNvPr id="88" name="TextBox 25">
            <a:extLst>
              <a:ext uri="{FF2B5EF4-FFF2-40B4-BE49-F238E27FC236}">
                <a16:creationId xmlns="" xmlns:a16="http://schemas.microsoft.com/office/drawing/2014/main" id="{1107657E-AD0B-4C30-9D5B-55D2676D9C3B}"/>
              </a:ext>
            </a:extLst>
          </xdr:cNvPr>
          <xdr:cNvSpPr txBox="1"/>
        </xdr:nvSpPr>
        <xdr:spPr>
          <a:xfrm>
            <a:off x="1192885" y="3730440"/>
            <a:ext cx="1090203" cy="4079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sp macro="" textlink="">
        <xdr:nvSpPr>
          <xdr:cNvPr id="89" name="TextBox 26">
            <a:extLst>
              <a:ext uri="{FF2B5EF4-FFF2-40B4-BE49-F238E27FC236}">
                <a16:creationId xmlns="" xmlns:a16="http://schemas.microsoft.com/office/drawing/2014/main" id="{1D395BA6-E6ED-40A0-9549-8C4FEAC16F01}"/>
              </a:ext>
            </a:extLst>
          </xdr:cNvPr>
          <xdr:cNvSpPr txBox="1"/>
        </xdr:nvSpPr>
        <xdr:spPr>
          <a:xfrm>
            <a:off x="3384570" y="3904549"/>
            <a:ext cx="1001078" cy="4079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sp macro="" textlink="">
        <xdr:nvSpPr>
          <xdr:cNvPr id="90" name="TextBox 27">
            <a:extLst>
              <a:ext uri="{FF2B5EF4-FFF2-40B4-BE49-F238E27FC236}">
                <a16:creationId xmlns="" xmlns:a16="http://schemas.microsoft.com/office/drawing/2014/main" id="{CE6D81C0-2A71-4345-9045-7534F9D01B0B}"/>
              </a:ext>
            </a:extLst>
          </xdr:cNvPr>
          <xdr:cNvSpPr txBox="1"/>
        </xdr:nvSpPr>
        <xdr:spPr>
          <a:xfrm>
            <a:off x="128867" y="3946537"/>
            <a:ext cx="1004004" cy="4079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grpSp>
    <xdr:clientData/>
  </xdr:twoCellAnchor>
  <xdr:twoCellAnchor editAs="oneCell">
    <xdr:from>
      <xdr:col>1</xdr:col>
      <xdr:colOff>173459</xdr:colOff>
      <xdr:row>414</xdr:row>
      <xdr:rowOff>165295</xdr:rowOff>
    </xdr:from>
    <xdr:to>
      <xdr:col>6</xdr:col>
      <xdr:colOff>400291</xdr:colOff>
      <xdr:row>427</xdr:row>
      <xdr:rowOff>84970</xdr:rowOff>
    </xdr:to>
    <xdr:pic>
      <xdr:nvPicPr>
        <xdr:cNvPr id="91" name="Picture 90">
          <a:extLst>
            <a:ext uri="{FF2B5EF4-FFF2-40B4-BE49-F238E27FC236}">
              <a16:creationId xmlns="" xmlns:a16="http://schemas.microsoft.com/office/drawing/2014/main" id="{9F93B730-1DA4-483F-ADAE-89A54B08C4C9}"/>
            </a:ext>
          </a:extLst>
        </xdr:cNvPr>
        <xdr:cNvPicPr>
          <a:picLocks noChangeAspect="1"/>
        </xdr:cNvPicPr>
      </xdr:nvPicPr>
      <xdr:blipFill rotWithShape="1">
        <a:blip xmlns:r="http://schemas.openxmlformats.org/officeDocument/2006/relationships" r:embed="rId48" cstate="screen">
          <a:extLst>
            <a:ext uri="{28A0092B-C50C-407E-A947-70E740481C1C}">
              <a14:useLocalDpi xmlns:a14="http://schemas.microsoft.com/office/drawing/2010/main"/>
            </a:ext>
          </a:extLst>
        </a:blip>
        <a:srcRect/>
        <a:stretch/>
      </xdr:blipFill>
      <xdr:spPr>
        <a:xfrm>
          <a:off x="935459" y="98006095"/>
          <a:ext cx="4360682" cy="2520000"/>
        </a:xfrm>
        <a:prstGeom prst="rect">
          <a:avLst/>
        </a:prstGeom>
        <a:ln>
          <a:solidFill>
            <a:schemeClr val="tx1"/>
          </a:solidFill>
        </a:ln>
      </xdr:spPr>
    </xdr:pic>
    <xdr:clientData/>
  </xdr:twoCellAnchor>
  <xdr:twoCellAnchor>
    <xdr:from>
      <xdr:col>0</xdr:col>
      <xdr:colOff>685800</xdr:colOff>
      <xdr:row>393</xdr:row>
      <xdr:rowOff>133350</xdr:rowOff>
    </xdr:from>
    <xdr:to>
      <xdr:col>6</xdr:col>
      <xdr:colOff>695232</xdr:colOff>
      <xdr:row>413</xdr:row>
      <xdr:rowOff>121557</xdr:rowOff>
    </xdr:to>
    <xdr:grpSp>
      <xdr:nvGrpSpPr>
        <xdr:cNvPr id="92" name="Group 91">
          <a:extLst>
            <a:ext uri="{FF2B5EF4-FFF2-40B4-BE49-F238E27FC236}">
              <a16:creationId xmlns="" xmlns:a16="http://schemas.microsoft.com/office/drawing/2014/main" id="{D0299BFB-F229-402A-BCD7-3E1EC41D58A4}"/>
            </a:ext>
          </a:extLst>
        </xdr:cNvPr>
        <xdr:cNvGrpSpPr/>
      </xdr:nvGrpSpPr>
      <xdr:grpSpPr>
        <a:xfrm>
          <a:off x="685800" y="91554300"/>
          <a:ext cx="4905282" cy="3988707"/>
          <a:chOff x="999000" y="339530"/>
          <a:chExt cx="4905282" cy="3988707"/>
        </a:xfrm>
      </xdr:grpSpPr>
      <xdr:pic>
        <xdr:nvPicPr>
          <xdr:cNvPr id="93" name="Picture 92">
            <a:extLst>
              <a:ext uri="{FF2B5EF4-FFF2-40B4-BE49-F238E27FC236}">
                <a16:creationId xmlns="" xmlns:a16="http://schemas.microsoft.com/office/drawing/2014/main" id="{E89204B7-C9F8-4A5F-A99E-2BE421454653}"/>
              </a:ext>
            </a:extLst>
          </xdr:cNvPr>
          <xdr:cNvPicPr>
            <a:picLocks noChangeAspect="1"/>
          </xdr:cNvPicPr>
        </xdr:nvPicPr>
        <xdr:blipFill rotWithShape="1">
          <a:blip xmlns:r="http://schemas.openxmlformats.org/officeDocument/2006/relationships" r:embed="rId49" cstate="screen">
            <a:extLst>
              <a:ext uri="{28A0092B-C50C-407E-A947-70E740481C1C}">
                <a14:useLocalDpi xmlns:a14="http://schemas.microsoft.com/office/drawing/2010/main"/>
              </a:ext>
            </a:extLst>
          </a:blip>
          <a:srcRect/>
          <a:stretch/>
        </xdr:blipFill>
        <xdr:spPr>
          <a:xfrm>
            <a:off x="999000" y="339530"/>
            <a:ext cx="4860000" cy="3988707"/>
          </a:xfrm>
          <a:prstGeom prst="rect">
            <a:avLst/>
          </a:prstGeom>
          <a:ln>
            <a:solidFill>
              <a:schemeClr val="tx1"/>
            </a:solidFill>
          </a:ln>
        </xdr:spPr>
      </xdr:pic>
      <xdr:sp macro="" textlink="">
        <xdr:nvSpPr>
          <xdr:cNvPr id="94" name="Rectangle 93">
            <a:extLst>
              <a:ext uri="{FF2B5EF4-FFF2-40B4-BE49-F238E27FC236}">
                <a16:creationId xmlns="" xmlns:a16="http://schemas.microsoft.com/office/drawing/2014/main" id="{161C3598-5A2F-43B2-94DB-C94ABD797043}"/>
              </a:ext>
            </a:extLst>
          </xdr:cNvPr>
          <xdr:cNvSpPr/>
        </xdr:nvSpPr>
        <xdr:spPr>
          <a:xfrm rot="2114169">
            <a:off x="2544768" y="860583"/>
            <a:ext cx="1502081" cy="128915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5" name="TextBox 35">
            <a:extLst>
              <a:ext uri="{FF2B5EF4-FFF2-40B4-BE49-F238E27FC236}">
                <a16:creationId xmlns="" xmlns:a16="http://schemas.microsoft.com/office/drawing/2014/main" id="{01CFA2ED-8E4F-4B06-BA03-CCE7465708A9}"/>
              </a:ext>
            </a:extLst>
          </xdr:cNvPr>
          <xdr:cNvSpPr txBox="1"/>
        </xdr:nvSpPr>
        <xdr:spPr>
          <a:xfrm>
            <a:off x="4362450" y="1112745"/>
            <a:ext cx="154183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The Sanctuary</a:t>
            </a:r>
            <a:endParaRPr lang="en-IN" b="1">
              <a:solidFill>
                <a:srgbClr val="FFFF00"/>
              </a:solidFill>
            </a:endParaRPr>
          </a:p>
        </xdr:txBody>
      </xdr:sp>
      <xdr:sp macro="" textlink="">
        <xdr:nvSpPr>
          <xdr:cNvPr id="96" name="TextBox 36">
            <a:extLst>
              <a:ext uri="{FF2B5EF4-FFF2-40B4-BE49-F238E27FC236}">
                <a16:creationId xmlns="" xmlns:a16="http://schemas.microsoft.com/office/drawing/2014/main" id="{164E1B3C-A5FD-4255-B0D3-FE0E6A03CC7C}"/>
              </a:ext>
            </a:extLst>
          </xdr:cNvPr>
          <xdr:cNvSpPr txBox="1"/>
        </xdr:nvSpPr>
        <xdr:spPr>
          <a:xfrm>
            <a:off x="3221251" y="1061945"/>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T1</a:t>
            </a:r>
            <a:endParaRPr lang="en-IN" b="1">
              <a:solidFill>
                <a:srgbClr val="FFFF00"/>
              </a:solidFill>
            </a:endParaRPr>
          </a:p>
        </xdr:txBody>
      </xdr:sp>
      <xdr:sp macro="" textlink="">
        <xdr:nvSpPr>
          <xdr:cNvPr id="97" name="TextBox 37">
            <a:extLst>
              <a:ext uri="{FF2B5EF4-FFF2-40B4-BE49-F238E27FC236}">
                <a16:creationId xmlns="" xmlns:a16="http://schemas.microsoft.com/office/drawing/2014/main" id="{BEB977C0-8A0B-426A-81FB-AAD9505FF912}"/>
              </a:ext>
            </a:extLst>
          </xdr:cNvPr>
          <xdr:cNvSpPr txBox="1"/>
        </xdr:nvSpPr>
        <xdr:spPr>
          <a:xfrm>
            <a:off x="3543442" y="1246611"/>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T2</a:t>
            </a:r>
            <a:endParaRPr lang="en-IN" b="1">
              <a:solidFill>
                <a:srgbClr val="FFFF00"/>
              </a:solidFill>
            </a:endParaRPr>
          </a:p>
        </xdr:txBody>
      </xdr:sp>
      <xdr:sp macro="" textlink="">
        <xdr:nvSpPr>
          <xdr:cNvPr id="98" name="TextBox 38">
            <a:extLst>
              <a:ext uri="{FF2B5EF4-FFF2-40B4-BE49-F238E27FC236}">
                <a16:creationId xmlns="" xmlns:a16="http://schemas.microsoft.com/office/drawing/2014/main" id="{90257218-553D-4F12-A4F6-253A5075DC94}"/>
              </a:ext>
            </a:extLst>
          </xdr:cNvPr>
          <xdr:cNvSpPr txBox="1"/>
        </xdr:nvSpPr>
        <xdr:spPr>
          <a:xfrm>
            <a:off x="2935501" y="1637117"/>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T3</a:t>
            </a:r>
            <a:endParaRPr lang="en-IN" b="1">
              <a:solidFill>
                <a:srgbClr val="FFFF00"/>
              </a:solidFill>
            </a:endParaRPr>
          </a:p>
        </xdr:txBody>
      </xdr:sp>
      <xdr:sp macro="" textlink="">
        <xdr:nvSpPr>
          <xdr:cNvPr id="99" name="TextBox 39">
            <a:extLst>
              <a:ext uri="{FF2B5EF4-FFF2-40B4-BE49-F238E27FC236}">
                <a16:creationId xmlns="" xmlns:a16="http://schemas.microsoft.com/office/drawing/2014/main" id="{A85C65D8-F2C3-40FA-AC6C-910038B3AF21}"/>
              </a:ext>
            </a:extLst>
          </xdr:cNvPr>
          <xdr:cNvSpPr txBox="1"/>
        </xdr:nvSpPr>
        <xdr:spPr>
          <a:xfrm>
            <a:off x="2350370" y="1320493"/>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T4</a:t>
            </a:r>
            <a:endParaRPr lang="en-IN" b="1">
              <a:solidFill>
                <a:srgbClr val="FFFF00"/>
              </a:solidFill>
            </a:endParaRPr>
          </a:p>
        </xdr:txBody>
      </xdr:sp>
      <xdr:sp macro="" textlink="">
        <xdr:nvSpPr>
          <xdr:cNvPr id="100" name="TextBox 40">
            <a:extLst>
              <a:ext uri="{FF2B5EF4-FFF2-40B4-BE49-F238E27FC236}">
                <a16:creationId xmlns="" xmlns:a16="http://schemas.microsoft.com/office/drawing/2014/main" id="{586A04F9-7785-4175-88E7-E944E5BE3743}"/>
              </a:ext>
            </a:extLst>
          </xdr:cNvPr>
          <xdr:cNvSpPr txBox="1"/>
        </xdr:nvSpPr>
        <xdr:spPr>
          <a:xfrm>
            <a:off x="3088059" y="755398"/>
            <a:ext cx="415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T5</a:t>
            </a:r>
            <a:endParaRPr lang="en-IN" b="1">
              <a:solidFill>
                <a:srgbClr val="FFFF00"/>
              </a:solidFill>
            </a:endParaRPr>
          </a:p>
        </xdr:txBody>
      </xdr:sp>
    </xdr:grpSp>
    <xdr:clientData/>
  </xdr:twoCellAnchor>
  <xdr:oneCellAnchor>
    <xdr:from>
      <xdr:col>8</xdr:col>
      <xdr:colOff>95250</xdr:colOff>
      <xdr:row>78</xdr:row>
      <xdr:rowOff>19051</xdr:rowOff>
    </xdr:from>
    <xdr:ext cx="3600000" cy="1415303"/>
    <xdr:pic>
      <xdr:nvPicPr>
        <xdr:cNvPr id="10" name="Picture 9">
          <a:extLst>
            <a:ext uri="{FF2B5EF4-FFF2-40B4-BE49-F238E27FC236}">
              <a16:creationId xmlns="" xmlns:a16="http://schemas.microsoft.com/office/drawing/2014/main" id="{577710D9-7C03-418E-B07D-B26DE1FF49B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600825" y="25812751"/>
          <a:ext cx="3600000" cy="1415303"/>
        </a:xfrm>
        <a:prstGeom prst="rect">
          <a:avLst/>
        </a:prstGeom>
        <a:ln>
          <a:solidFill>
            <a:schemeClr val="tx1"/>
          </a:solidFill>
        </a:ln>
      </xdr:spPr>
    </xdr:pic>
    <xdr:clientData/>
  </xdr:oneCellAnchor>
  <xdr:oneCellAnchor>
    <xdr:from>
      <xdr:col>8</xdr:col>
      <xdr:colOff>95250</xdr:colOff>
      <xdr:row>79</xdr:row>
      <xdr:rowOff>19051</xdr:rowOff>
    </xdr:from>
    <xdr:ext cx="3600000" cy="1415303"/>
    <xdr:pic>
      <xdr:nvPicPr>
        <xdr:cNvPr id="11" name="Picture 10">
          <a:extLst>
            <a:ext uri="{FF2B5EF4-FFF2-40B4-BE49-F238E27FC236}">
              <a16:creationId xmlns="" xmlns:a16="http://schemas.microsoft.com/office/drawing/2014/main" id="{F2567D1C-05A4-469F-9D3E-C1A56232611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600825" y="26012776"/>
          <a:ext cx="3600000" cy="1415303"/>
        </a:xfrm>
        <a:prstGeom prst="rect">
          <a:avLst/>
        </a:prstGeom>
        <a:ln>
          <a:solidFill>
            <a:schemeClr val="tx1"/>
          </a:solid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yusGspTGCpsjEmb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92"/>
  <sheetViews>
    <sheetView tabSelected="1" view="pageBreakPreview" zoomScaleNormal="100" zoomScaleSheetLayoutView="100" zoomScalePageLayoutView="55" workbookViewId="0">
      <selection activeCell="K6" sqref="K6"/>
    </sheetView>
  </sheetViews>
  <sheetFormatPr defaultColWidth="9.140625" defaultRowHeight="15.75" x14ac:dyDescent="0.25"/>
  <cols>
    <col min="1" max="1" width="11.42578125" style="11" customWidth="1"/>
    <col min="2" max="2" width="12" style="11" customWidth="1"/>
    <col min="3" max="3" width="12.7109375" style="11" customWidth="1"/>
    <col min="4" max="4" width="14.140625" style="11" customWidth="1"/>
    <col min="5" max="5" width="11.42578125" style="11" customWidth="1"/>
    <col min="6" max="7" width="11.7109375" style="11" customWidth="1"/>
    <col min="8" max="8" width="12.42578125" style="11" customWidth="1"/>
    <col min="9" max="9" width="17.42578125" style="3" customWidth="1"/>
    <col min="10" max="10" width="11.42578125" style="3" customWidth="1"/>
    <col min="11" max="11" width="10.5703125" style="3" bestFit="1" customWidth="1"/>
    <col min="12" max="12" width="10.5703125" style="3" customWidth="1"/>
    <col min="13" max="13" width="11.85546875" style="3" customWidth="1"/>
    <col min="14" max="14" width="12.5703125" style="3" hidden="1" customWidth="1"/>
    <col min="15" max="15" width="9.85546875" style="3" hidden="1" customWidth="1"/>
    <col min="16" max="16" width="11.7109375" style="3" hidden="1" customWidth="1"/>
    <col min="17" max="247" width="9.140625" style="3"/>
    <col min="248" max="248" width="8.7109375" style="3" customWidth="1"/>
    <col min="249" max="249" width="9.85546875" style="3" customWidth="1"/>
    <col min="250" max="250" width="14.42578125" style="3" customWidth="1"/>
    <col min="251" max="251" width="7.28515625" style="3" customWidth="1"/>
    <col min="252" max="252" width="5.5703125" style="3" customWidth="1"/>
    <col min="253" max="253" width="9" style="3" customWidth="1"/>
    <col min="254" max="255" width="9.85546875" style="3" customWidth="1"/>
    <col min="256" max="256" width="11.140625" style="3" customWidth="1"/>
    <col min="257" max="257" width="2.85546875" style="3" customWidth="1"/>
    <col min="258" max="258" width="3.5703125" style="3" customWidth="1"/>
    <col min="259" max="503" width="9.140625" style="3"/>
    <col min="504" max="504" width="8.7109375" style="3" customWidth="1"/>
    <col min="505" max="505" width="9.85546875" style="3" customWidth="1"/>
    <col min="506" max="506" width="14.42578125" style="3" customWidth="1"/>
    <col min="507" max="507" width="7.28515625" style="3" customWidth="1"/>
    <col min="508" max="508" width="5.5703125" style="3" customWidth="1"/>
    <col min="509" max="509" width="9" style="3" customWidth="1"/>
    <col min="510" max="511" width="9.85546875" style="3" customWidth="1"/>
    <col min="512" max="512" width="11.140625" style="3" customWidth="1"/>
    <col min="513" max="513" width="2.85546875" style="3" customWidth="1"/>
    <col min="514" max="514" width="3.5703125" style="3" customWidth="1"/>
    <col min="515" max="759" width="9.140625" style="3"/>
    <col min="760" max="760" width="8.7109375" style="3" customWidth="1"/>
    <col min="761" max="761" width="9.85546875" style="3" customWidth="1"/>
    <col min="762" max="762" width="14.42578125" style="3" customWidth="1"/>
    <col min="763" max="763" width="7.28515625" style="3" customWidth="1"/>
    <col min="764" max="764" width="5.5703125" style="3" customWidth="1"/>
    <col min="765" max="765" width="9" style="3" customWidth="1"/>
    <col min="766" max="767" width="9.85546875" style="3" customWidth="1"/>
    <col min="768" max="768" width="11.140625" style="3" customWidth="1"/>
    <col min="769" max="769" width="2.85546875" style="3" customWidth="1"/>
    <col min="770" max="770" width="3.5703125" style="3" customWidth="1"/>
    <col min="771" max="1015" width="9.140625" style="3"/>
    <col min="1016" max="1016" width="8.7109375" style="3" customWidth="1"/>
    <col min="1017" max="1017" width="9.85546875" style="3" customWidth="1"/>
    <col min="1018" max="1018" width="14.42578125" style="3" customWidth="1"/>
    <col min="1019" max="1019" width="7.28515625" style="3" customWidth="1"/>
    <col min="1020" max="1020" width="5.5703125" style="3" customWidth="1"/>
    <col min="1021" max="1021" width="9" style="3" customWidth="1"/>
    <col min="1022" max="1023" width="9.85546875" style="3" customWidth="1"/>
    <col min="1024" max="1024" width="11.140625" style="3" customWidth="1"/>
    <col min="1025" max="1025" width="2.85546875" style="3" customWidth="1"/>
    <col min="1026" max="1026" width="3.5703125" style="3" customWidth="1"/>
    <col min="1027" max="1271" width="9.140625" style="3"/>
    <col min="1272" max="1272" width="8.7109375" style="3" customWidth="1"/>
    <col min="1273" max="1273" width="9.85546875" style="3" customWidth="1"/>
    <col min="1274" max="1274" width="14.42578125" style="3" customWidth="1"/>
    <col min="1275" max="1275" width="7.28515625" style="3" customWidth="1"/>
    <col min="1276" max="1276" width="5.5703125" style="3" customWidth="1"/>
    <col min="1277" max="1277" width="9" style="3" customWidth="1"/>
    <col min="1278" max="1279" width="9.85546875" style="3" customWidth="1"/>
    <col min="1280" max="1280" width="11.140625" style="3" customWidth="1"/>
    <col min="1281" max="1281" width="2.85546875" style="3" customWidth="1"/>
    <col min="1282" max="1282" width="3.5703125" style="3" customWidth="1"/>
    <col min="1283" max="1527" width="9.140625" style="3"/>
    <col min="1528" max="1528" width="8.7109375" style="3" customWidth="1"/>
    <col min="1529" max="1529" width="9.85546875" style="3" customWidth="1"/>
    <col min="1530" max="1530" width="14.42578125" style="3" customWidth="1"/>
    <col min="1531" max="1531" width="7.28515625" style="3" customWidth="1"/>
    <col min="1532" max="1532" width="5.5703125" style="3" customWidth="1"/>
    <col min="1533" max="1533" width="9" style="3" customWidth="1"/>
    <col min="1534" max="1535" width="9.85546875" style="3" customWidth="1"/>
    <col min="1536" max="1536" width="11.140625" style="3" customWidth="1"/>
    <col min="1537" max="1537" width="2.85546875" style="3" customWidth="1"/>
    <col min="1538" max="1538" width="3.5703125" style="3" customWidth="1"/>
    <col min="1539" max="1783" width="9.140625" style="3"/>
    <col min="1784" max="1784" width="8.7109375" style="3" customWidth="1"/>
    <col min="1785" max="1785" width="9.85546875" style="3" customWidth="1"/>
    <col min="1786" max="1786" width="14.42578125" style="3" customWidth="1"/>
    <col min="1787" max="1787" width="7.28515625" style="3" customWidth="1"/>
    <col min="1788" max="1788" width="5.5703125" style="3" customWidth="1"/>
    <col min="1789" max="1789" width="9" style="3" customWidth="1"/>
    <col min="1790" max="1791" width="9.85546875" style="3" customWidth="1"/>
    <col min="1792" max="1792" width="11.140625" style="3" customWidth="1"/>
    <col min="1793" max="1793" width="2.85546875" style="3" customWidth="1"/>
    <col min="1794" max="1794" width="3.5703125" style="3" customWidth="1"/>
    <col min="1795" max="2039" width="9.140625" style="3"/>
    <col min="2040" max="2040" width="8.7109375" style="3" customWidth="1"/>
    <col min="2041" max="2041" width="9.85546875" style="3" customWidth="1"/>
    <col min="2042" max="2042" width="14.42578125" style="3" customWidth="1"/>
    <col min="2043" max="2043" width="7.28515625" style="3" customWidth="1"/>
    <col min="2044" max="2044" width="5.5703125" style="3" customWidth="1"/>
    <col min="2045" max="2045" width="9" style="3" customWidth="1"/>
    <col min="2046" max="2047" width="9.85546875" style="3" customWidth="1"/>
    <col min="2048" max="2048" width="11.140625" style="3" customWidth="1"/>
    <col min="2049" max="2049" width="2.85546875" style="3" customWidth="1"/>
    <col min="2050" max="2050" width="3.5703125" style="3" customWidth="1"/>
    <col min="2051" max="2295" width="9.140625" style="3"/>
    <col min="2296" max="2296" width="8.7109375" style="3" customWidth="1"/>
    <col min="2297" max="2297" width="9.85546875" style="3" customWidth="1"/>
    <col min="2298" max="2298" width="14.42578125" style="3" customWidth="1"/>
    <col min="2299" max="2299" width="7.28515625" style="3" customWidth="1"/>
    <col min="2300" max="2300" width="5.5703125" style="3" customWidth="1"/>
    <col min="2301" max="2301" width="9" style="3" customWidth="1"/>
    <col min="2302" max="2303" width="9.85546875" style="3" customWidth="1"/>
    <col min="2304" max="2304" width="11.140625" style="3" customWidth="1"/>
    <col min="2305" max="2305" width="2.85546875" style="3" customWidth="1"/>
    <col min="2306" max="2306" width="3.5703125" style="3" customWidth="1"/>
    <col min="2307" max="2551" width="9.140625" style="3"/>
    <col min="2552" max="2552" width="8.7109375" style="3" customWidth="1"/>
    <col min="2553" max="2553" width="9.85546875" style="3" customWidth="1"/>
    <col min="2554" max="2554" width="14.42578125" style="3" customWidth="1"/>
    <col min="2555" max="2555" width="7.28515625" style="3" customWidth="1"/>
    <col min="2556" max="2556" width="5.5703125" style="3" customWidth="1"/>
    <col min="2557" max="2557" width="9" style="3" customWidth="1"/>
    <col min="2558" max="2559" width="9.85546875" style="3" customWidth="1"/>
    <col min="2560" max="2560" width="11.140625" style="3" customWidth="1"/>
    <col min="2561" max="2561" width="2.85546875" style="3" customWidth="1"/>
    <col min="2562" max="2562" width="3.5703125" style="3" customWidth="1"/>
    <col min="2563" max="2807" width="9.140625" style="3"/>
    <col min="2808" max="2808" width="8.7109375" style="3" customWidth="1"/>
    <col min="2809" max="2809" width="9.85546875" style="3" customWidth="1"/>
    <col min="2810" max="2810" width="14.42578125" style="3" customWidth="1"/>
    <col min="2811" max="2811" width="7.28515625" style="3" customWidth="1"/>
    <col min="2812" max="2812" width="5.5703125" style="3" customWidth="1"/>
    <col min="2813" max="2813" width="9" style="3" customWidth="1"/>
    <col min="2814" max="2815" width="9.85546875" style="3" customWidth="1"/>
    <col min="2816" max="2816" width="11.140625" style="3" customWidth="1"/>
    <col min="2817" max="2817" width="2.85546875" style="3" customWidth="1"/>
    <col min="2818" max="2818" width="3.5703125" style="3" customWidth="1"/>
    <col min="2819" max="3063" width="9.140625" style="3"/>
    <col min="3064" max="3064" width="8.7109375" style="3" customWidth="1"/>
    <col min="3065" max="3065" width="9.85546875" style="3" customWidth="1"/>
    <col min="3066" max="3066" width="14.42578125" style="3" customWidth="1"/>
    <col min="3067" max="3067" width="7.28515625" style="3" customWidth="1"/>
    <col min="3068" max="3068" width="5.5703125" style="3" customWidth="1"/>
    <col min="3069" max="3069" width="9" style="3" customWidth="1"/>
    <col min="3070" max="3071" width="9.85546875" style="3" customWidth="1"/>
    <col min="3072" max="3072" width="11.140625" style="3" customWidth="1"/>
    <col min="3073" max="3073" width="2.85546875" style="3" customWidth="1"/>
    <col min="3074" max="3074" width="3.5703125" style="3" customWidth="1"/>
    <col min="3075" max="3319" width="9.140625" style="3"/>
    <col min="3320" max="3320" width="8.7109375" style="3" customWidth="1"/>
    <col min="3321" max="3321" width="9.85546875" style="3" customWidth="1"/>
    <col min="3322" max="3322" width="14.42578125" style="3" customWidth="1"/>
    <col min="3323" max="3323" width="7.28515625" style="3" customWidth="1"/>
    <col min="3324" max="3324" width="5.5703125" style="3" customWidth="1"/>
    <col min="3325" max="3325" width="9" style="3" customWidth="1"/>
    <col min="3326" max="3327" width="9.85546875" style="3" customWidth="1"/>
    <col min="3328" max="3328" width="11.140625" style="3" customWidth="1"/>
    <col min="3329" max="3329" width="2.85546875" style="3" customWidth="1"/>
    <col min="3330" max="3330" width="3.5703125" style="3" customWidth="1"/>
    <col min="3331" max="3575" width="9.140625" style="3"/>
    <col min="3576" max="3576" width="8.7109375" style="3" customWidth="1"/>
    <col min="3577" max="3577" width="9.85546875" style="3" customWidth="1"/>
    <col min="3578" max="3578" width="14.42578125" style="3" customWidth="1"/>
    <col min="3579" max="3579" width="7.28515625" style="3" customWidth="1"/>
    <col min="3580" max="3580" width="5.5703125" style="3" customWidth="1"/>
    <col min="3581" max="3581" width="9" style="3" customWidth="1"/>
    <col min="3582" max="3583" width="9.85546875" style="3" customWidth="1"/>
    <col min="3584" max="3584" width="11.140625" style="3" customWidth="1"/>
    <col min="3585" max="3585" width="2.85546875" style="3" customWidth="1"/>
    <col min="3586" max="3586" width="3.5703125" style="3" customWidth="1"/>
    <col min="3587" max="3831" width="9.140625" style="3"/>
    <col min="3832" max="3832" width="8.7109375" style="3" customWidth="1"/>
    <col min="3833" max="3833" width="9.85546875" style="3" customWidth="1"/>
    <col min="3834" max="3834" width="14.42578125" style="3" customWidth="1"/>
    <col min="3835" max="3835" width="7.28515625" style="3" customWidth="1"/>
    <col min="3836" max="3836" width="5.5703125" style="3" customWidth="1"/>
    <col min="3837" max="3837" width="9" style="3" customWidth="1"/>
    <col min="3838" max="3839" width="9.85546875" style="3" customWidth="1"/>
    <col min="3840" max="3840" width="11.140625" style="3" customWidth="1"/>
    <col min="3841" max="3841" width="2.85546875" style="3" customWidth="1"/>
    <col min="3842" max="3842" width="3.5703125" style="3" customWidth="1"/>
    <col min="3843" max="4087" width="9.140625" style="3"/>
    <col min="4088" max="4088" width="8.7109375" style="3" customWidth="1"/>
    <col min="4089" max="4089" width="9.85546875" style="3" customWidth="1"/>
    <col min="4090" max="4090" width="14.42578125" style="3" customWidth="1"/>
    <col min="4091" max="4091" width="7.28515625" style="3" customWidth="1"/>
    <col min="4092" max="4092" width="5.5703125" style="3" customWidth="1"/>
    <col min="4093" max="4093" width="9" style="3" customWidth="1"/>
    <col min="4094" max="4095" width="9.85546875" style="3" customWidth="1"/>
    <col min="4096" max="4096" width="11.140625" style="3" customWidth="1"/>
    <col min="4097" max="4097" width="2.85546875" style="3" customWidth="1"/>
    <col min="4098" max="4098" width="3.5703125" style="3" customWidth="1"/>
    <col min="4099" max="4343" width="9.140625" style="3"/>
    <col min="4344" max="4344" width="8.7109375" style="3" customWidth="1"/>
    <col min="4345" max="4345" width="9.85546875" style="3" customWidth="1"/>
    <col min="4346" max="4346" width="14.42578125" style="3" customWidth="1"/>
    <col min="4347" max="4347" width="7.28515625" style="3" customWidth="1"/>
    <col min="4348" max="4348" width="5.5703125" style="3" customWidth="1"/>
    <col min="4349" max="4349" width="9" style="3" customWidth="1"/>
    <col min="4350" max="4351" width="9.85546875" style="3" customWidth="1"/>
    <col min="4352" max="4352" width="11.140625" style="3" customWidth="1"/>
    <col min="4353" max="4353" width="2.85546875" style="3" customWidth="1"/>
    <col min="4354" max="4354" width="3.5703125" style="3" customWidth="1"/>
    <col min="4355" max="4599" width="9.140625" style="3"/>
    <col min="4600" max="4600" width="8.7109375" style="3" customWidth="1"/>
    <col min="4601" max="4601" width="9.85546875" style="3" customWidth="1"/>
    <col min="4602" max="4602" width="14.42578125" style="3" customWidth="1"/>
    <col min="4603" max="4603" width="7.28515625" style="3" customWidth="1"/>
    <col min="4604" max="4604" width="5.5703125" style="3" customWidth="1"/>
    <col min="4605" max="4605" width="9" style="3" customWidth="1"/>
    <col min="4606" max="4607" width="9.85546875" style="3" customWidth="1"/>
    <col min="4608" max="4608" width="11.140625" style="3" customWidth="1"/>
    <col min="4609" max="4609" width="2.85546875" style="3" customWidth="1"/>
    <col min="4610" max="4610" width="3.5703125" style="3" customWidth="1"/>
    <col min="4611" max="4855" width="9.140625" style="3"/>
    <col min="4856" max="4856" width="8.7109375" style="3" customWidth="1"/>
    <col min="4857" max="4857" width="9.85546875" style="3" customWidth="1"/>
    <col min="4858" max="4858" width="14.42578125" style="3" customWidth="1"/>
    <col min="4859" max="4859" width="7.28515625" style="3" customWidth="1"/>
    <col min="4860" max="4860" width="5.5703125" style="3" customWidth="1"/>
    <col min="4861" max="4861" width="9" style="3" customWidth="1"/>
    <col min="4862" max="4863" width="9.85546875" style="3" customWidth="1"/>
    <col min="4864" max="4864" width="11.140625" style="3" customWidth="1"/>
    <col min="4865" max="4865" width="2.85546875" style="3" customWidth="1"/>
    <col min="4866" max="4866" width="3.5703125" style="3" customWidth="1"/>
    <col min="4867" max="5111" width="9.140625" style="3"/>
    <col min="5112" max="5112" width="8.7109375" style="3" customWidth="1"/>
    <col min="5113" max="5113" width="9.85546875" style="3" customWidth="1"/>
    <col min="5114" max="5114" width="14.42578125" style="3" customWidth="1"/>
    <col min="5115" max="5115" width="7.28515625" style="3" customWidth="1"/>
    <col min="5116" max="5116" width="5.5703125" style="3" customWidth="1"/>
    <col min="5117" max="5117" width="9" style="3" customWidth="1"/>
    <col min="5118" max="5119" width="9.85546875" style="3" customWidth="1"/>
    <col min="5120" max="5120" width="11.140625" style="3" customWidth="1"/>
    <col min="5121" max="5121" width="2.85546875" style="3" customWidth="1"/>
    <col min="5122" max="5122" width="3.5703125" style="3" customWidth="1"/>
    <col min="5123" max="5367" width="9.140625" style="3"/>
    <col min="5368" max="5368" width="8.7109375" style="3" customWidth="1"/>
    <col min="5369" max="5369" width="9.85546875" style="3" customWidth="1"/>
    <col min="5370" max="5370" width="14.42578125" style="3" customWidth="1"/>
    <col min="5371" max="5371" width="7.28515625" style="3" customWidth="1"/>
    <col min="5372" max="5372" width="5.5703125" style="3" customWidth="1"/>
    <col min="5373" max="5373" width="9" style="3" customWidth="1"/>
    <col min="5374" max="5375" width="9.85546875" style="3" customWidth="1"/>
    <col min="5376" max="5376" width="11.140625" style="3" customWidth="1"/>
    <col min="5377" max="5377" width="2.85546875" style="3" customWidth="1"/>
    <col min="5378" max="5378" width="3.5703125" style="3" customWidth="1"/>
    <col min="5379" max="5623" width="9.140625" style="3"/>
    <col min="5624" max="5624" width="8.7109375" style="3" customWidth="1"/>
    <col min="5625" max="5625" width="9.85546875" style="3" customWidth="1"/>
    <col min="5626" max="5626" width="14.42578125" style="3" customWidth="1"/>
    <col min="5627" max="5627" width="7.28515625" style="3" customWidth="1"/>
    <col min="5628" max="5628" width="5.5703125" style="3" customWidth="1"/>
    <col min="5629" max="5629" width="9" style="3" customWidth="1"/>
    <col min="5630" max="5631" width="9.85546875" style="3" customWidth="1"/>
    <col min="5632" max="5632" width="11.140625" style="3" customWidth="1"/>
    <col min="5633" max="5633" width="2.85546875" style="3" customWidth="1"/>
    <col min="5634" max="5634" width="3.5703125" style="3" customWidth="1"/>
    <col min="5635" max="5879" width="9.140625" style="3"/>
    <col min="5880" max="5880" width="8.7109375" style="3" customWidth="1"/>
    <col min="5881" max="5881" width="9.85546875" style="3" customWidth="1"/>
    <col min="5882" max="5882" width="14.42578125" style="3" customWidth="1"/>
    <col min="5883" max="5883" width="7.28515625" style="3" customWidth="1"/>
    <col min="5884" max="5884" width="5.5703125" style="3" customWidth="1"/>
    <col min="5885" max="5885" width="9" style="3" customWidth="1"/>
    <col min="5886" max="5887" width="9.85546875" style="3" customWidth="1"/>
    <col min="5888" max="5888" width="11.140625" style="3" customWidth="1"/>
    <col min="5889" max="5889" width="2.85546875" style="3" customWidth="1"/>
    <col min="5890" max="5890" width="3.5703125" style="3" customWidth="1"/>
    <col min="5891" max="6135" width="9.140625" style="3"/>
    <col min="6136" max="6136" width="8.7109375" style="3" customWidth="1"/>
    <col min="6137" max="6137" width="9.85546875" style="3" customWidth="1"/>
    <col min="6138" max="6138" width="14.42578125" style="3" customWidth="1"/>
    <col min="6139" max="6139" width="7.28515625" style="3" customWidth="1"/>
    <col min="6140" max="6140" width="5.5703125" style="3" customWidth="1"/>
    <col min="6141" max="6141" width="9" style="3" customWidth="1"/>
    <col min="6142" max="6143" width="9.85546875" style="3" customWidth="1"/>
    <col min="6144" max="6144" width="11.140625" style="3" customWidth="1"/>
    <col min="6145" max="6145" width="2.85546875" style="3" customWidth="1"/>
    <col min="6146" max="6146" width="3.5703125" style="3" customWidth="1"/>
    <col min="6147" max="6391" width="9.140625" style="3"/>
    <col min="6392" max="6392" width="8.7109375" style="3" customWidth="1"/>
    <col min="6393" max="6393" width="9.85546875" style="3" customWidth="1"/>
    <col min="6394" max="6394" width="14.42578125" style="3" customWidth="1"/>
    <col min="6395" max="6395" width="7.28515625" style="3" customWidth="1"/>
    <col min="6396" max="6396" width="5.5703125" style="3" customWidth="1"/>
    <col min="6397" max="6397" width="9" style="3" customWidth="1"/>
    <col min="6398" max="6399" width="9.85546875" style="3" customWidth="1"/>
    <col min="6400" max="6400" width="11.140625" style="3" customWidth="1"/>
    <col min="6401" max="6401" width="2.85546875" style="3" customWidth="1"/>
    <col min="6402" max="6402" width="3.5703125" style="3" customWidth="1"/>
    <col min="6403" max="6647" width="9.140625" style="3"/>
    <col min="6648" max="6648" width="8.7109375" style="3" customWidth="1"/>
    <col min="6649" max="6649" width="9.85546875" style="3" customWidth="1"/>
    <col min="6650" max="6650" width="14.42578125" style="3" customWidth="1"/>
    <col min="6651" max="6651" width="7.28515625" style="3" customWidth="1"/>
    <col min="6652" max="6652" width="5.5703125" style="3" customWidth="1"/>
    <col min="6653" max="6653" width="9" style="3" customWidth="1"/>
    <col min="6654" max="6655" width="9.85546875" style="3" customWidth="1"/>
    <col min="6656" max="6656" width="11.140625" style="3" customWidth="1"/>
    <col min="6657" max="6657" width="2.85546875" style="3" customWidth="1"/>
    <col min="6658" max="6658" width="3.5703125" style="3" customWidth="1"/>
    <col min="6659" max="6903" width="9.140625" style="3"/>
    <col min="6904" max="6904" width="8.7109375" style="3" customWidth="1"/>
    <col min="6905" max="6905" width="9.85546875" style="3" customWidth="1"/>
    <col min="6906" max="6906" width="14.42578125" style="3" customWidth="1"/>
    <col min="6907" max="6907" width="7.28515625" style="3" customWidth="1"/>
    <col min="6908" max="6908" width="5.5703125" style="3" customWidth="1"/>
    <col min="6909" max="6909" width="9" style="3" customWidth="1"/>
    <col min="6910" max="6911" width="9.85546875" style="3" customWidth="1"/>
    <col min="6912" max="6912" width="11.140625" style="3" customWidth="1"/>
    <col min="6913" max="6913" width="2.85546875" style="3" customWidth="1"/>
    <col min="6914" max="6914" width="3.5703125" style="3" customWidth="1"/>
    <col min="6915" max="7159" width="9.140625" style="3"/>
    <col min="7160" max="7160" width="8.7109375" style="3" customWidth="1"/>
    <col min="7161" max="7161" width="9.85546875" style="3" customWidth="1"/>
    <col min="7162" max="7162" width="14.42578125" style="3" customWidth="1"/>
    <col min="7163" max="7163" width="7.28515625" style="3" customWidth="1"/>
    <col min="7164" max="7164" width="5.5703125" style="3" customWidth="1"/>
    <col min="7165" max="7165" width="9" style="3" customWidth="1"/>
    <col min="7166" max="7167" width="9.85546875" style="3" customWidth="1"/>
    <col min="7168" max="7168" width="11.140625" style="3" customWidth="1"/>
    <col min="7169" max="7169" width="2.85546875" style="3" customWidth="1"/>
    <col min="7170" max="7170" width="3.5703125" style="3" customWidth="1"/>
    <col min="7171" max="7415" width="9.140625" style="3"/>
    <col min="7416" max="7416" width="8.7109375" style="3" customWidth="1"/>
    <col min="7417" max="7417" width="9.85546875" style="3" customWidth="1"/>
    <col min="7418" max="7418" width="14.42578125" style="3" customWidth="1"/>
    <col min="7419" max="7419" width="7.28515625" style="3" customWidth="1"/>
    <col min="7420" max="7420" width="5.5703125" style="3" customWidth="1"/>
    <col min="7421" max="7421" width="9" style="3" customWidth="1"/>
    <col min="7422" max="7423" width="9.85546875" style="3" customWidth="1"/>
    <col min="7424" max="7424" width="11.140625" style="3" customWidth="1"/>
    <col min="7425" max="7425" width="2.85546875" style="3" customWidth="1"/>
    <col min="7426" max="7426" width="3.5703125" style="3" customWidth="1"/>
    <col min="7427" max="7671" width="9.140625" style="3"/>
    <col min="7672" max="7672" width="8.7109375" style="3" customWidth="1"/>
    <col min="7673" max="7673" width="9.85546875" style="3" customWidth="1"/>
    <col min="7674" max="7674" width="14.42578125" style="3" customWidth="1"/>
    <col min="7675" max="7675" width="7.28515625" style="3" customWidth="1"/>
    <col min="7676" max="7676" width="5.5703125" style="3" customWidth="1"/>
    <col min="7677" max="7677" width="9" style="3" customWidth="1"/>
    <col min="7678" max="7679" width="9.85546875" style="3" customWidth="1"/>
    <col min="7680" max="7680" width="11.140625" style="3" customWidth="1"/>
    <col min="7681" max="7681" width="2.85546875" style="3" customWidth="1"/>
    <col min="7682" max="7682" width="3.5703125" style="3" customWidth="1"/>
    <col min="7683" max="7927" width="9.140625" style="3"/>
    <col min="7928" max="7928" width="8.7109375" style="3" customWidth="1"/>
    <col min="7929" max="7929" width="9.85546875" style="3" customWidth="1"/>
    <col min="7930" max="7930" width="14.42578125" style="3" customWidth="1"/>
    <col min="7931" max="7931" width="7.28515625" style="3" customWidth="1"/>
    <col min="7932" max="7932" width="5.5703125" style="3" customWidth="1"/>
    <col min="7933" max="7933" width="9" style="3" customWidth="1"/>
    <col min="7934" max="7935" width="9.85546875" style="3" customWidth="1"/>
    <col min="7936" max="7936" width="11.140625" style="3" customWidth="1"/>
    <col min="7937" max="7937" width="2.85546875" style="3" customWidth="1"/>
    <col min="7938" max="7938" width="3.5703125" style="3" customWidth="1"/>
    <col min="7939" max="8183" width="9.140625" style="3"/>
    <col min="8184" max="8184" width="8.7109375" style="3" customWidth="1"/>
    <col min="8185" max="8185" width="9.85546875" style="3" customWidth="1"/>
    <col min="8186" max="8186" width="14.42578125" style="3" customWidth="1"/>
    <col min="8187" max="8187" width="7.28515625" style="3" customWidth="1"/>
    <col min="8188" max="8188" width="5.5703125" style="3" customWidth="1"/>
    <col min="8189" max="8189" width="9" style="3" customWidth="1"/>
    <col min="8190" max="8191" width="9.85546875" style="3" customWidth="1"/>
    <col min="8192" max="8192" width="11.140625" style="3" customWidth="1"/>
    <col min="8193" max="8193" width="2.85546875" style="3" customWidth="1"/>
    <col min="8194" max="8194" width="3.5703125" style="3" customWidth="1"/>
    <col min="8195" max="8439" width="9.140625" style="3"/>
    <col min="8440" max="8440" width="8.7109375" style="3" customWidth="1"/>
    <col min="8441" max="8441" width="9.85546875" style="3" customWidth="1"/>
    <col min="8442" max="8442" width="14.42578125" style="3" customWidth="1"/>
    <col min="8443" max="8443" width="7.28515625" style="3" customWidth="1"/>
    <col min="8444" max="8444" width="5.5703125" style="3" customWidth="1"/>
    <col min="8445" max="8445" width="9" style="3" customWidth="1"/>
    <col min="8446" max="8447" width="9.85546875" style="3" customWidth="1"/>
    <col min="8448" max="8448" width="11.140625" style="3" customWidth="1"/>
    <col min="8449" max="8449" width="2.85546875" style="3" customWidth="1"/>
    <col min="8450" max="8450" width="3.5703125" style="3" customWidth="1"/>
    <col min="8451" max="8695" width="9.140625" style="3"/>
    <col min="8696" max="8696" width="8.7109375" style="3" customWidth="1"/>
    <col min="8697" max="8697" width="9.85546875" style="3" customWidth="1"/>
    <col min="8698" max="8698" width="14.42578125" style="3" customWidth="1"/>
    <col min="8699" max="8699" width="7.28515625" style="3" customWidth="1"/>
    <col min="8700" max="8700" width="5.5703125" style="3" customWidth="1"/>
    <col min="8701" max="8701" width="9" style="3" customWidth="1"/>
    <col min="8702" max="8703" width="9.85546875" style="3" customWidth="1"/>
    <col min="8704" max="8704" width="11.140625" style="3" customWidth="1"/>
    <col min="8705" max="8705" width="2.85546875" style="3" customWidth="1"/>
    <col min="8706" max="8706" width="3.5703125" style="3" customWidth="1"/>
    <col min="8707" max="8951" width="9.140625" style="3"/>
    <col min="8952" max="8952" width="8.7109375" style="3" customWidth="1"/>
    <col min="8953" max="8953" width="9.85546875" style="3" customWidth="1"/>
    <col min="8954" max="8954" width="14.42578125" style="3" customWidth="1"/>
    <col min="8955" max="8955" width="7.28515625" style="3" customWidth="1"/>
    <col min="8956" max="8956" width="5.5703125" style="3" customWidth="1"/>
    <col min="8957" max="8957" width="9" style="3" customWidth="1"/>
    <col min="8958" max="8959" width="9.85546875" style="3" customWidth="1"/>
    <col min="8960" max="8960" width="11.140625" style="3" customWidth="1"/>
    <col min="8961" max="8961" width="2.85546875" style="3" customWidth="1"/>
    <col min="8962" max="8962" width="3.5703125" style="3" customWidth="1"/>
    <col min="8963" max="9207" width="9.140625" style="3"/>
    <col min="9208" max="9208" width="8.7109375" style="3" customWidth="1"/>
    <col min="9209" max="9209" width="9.85546875" style="3" customWidth="1"/>
    <col min="9210" max="9210" width="14.42578125" style="3" customWidth="1"/>
    <col min="9211" max="9211" width="7.28515625" style="3" customWidth="1"/>
    <col min="9212" max="9212" width="5.5703125" style="3" customWidth="1"/>
    <col min="9213" max="9213" width="9" style="3" customWidth="1"/>
    <col min="9214" max="9215" width="9.85546875" style="3" customWidth="1"/>
    <col min="9216" max="9216" width="11.140625" style="3" customWidth="1"/>
    <col min="9217" max="9217" width="2.85546875" style="3" customWidth="1"/>
    <col min="9218" max="9218" width="3.5703125" style="3" customWidth="1"/>
    <col min="9219" max="9463" width="9.140625" style="3"/>
    <col min="9464" max="9464" width="8.7109375" style="3" customWidth="1"/>
    <col min="9465" max="9465" width="9.85546875" style="3" customWidth="1"/>
    <col min="9466" max="9466" width="14.42578125" style="3" customWidth="1"/>
    <col min="9467" max="9467" width="7.28515625" style="3" customWidth="1"/>
    <col min="9468" max="9468" width="5.5703125" style="3" customWidth="1"/>
    <col min="9469" max="9469" width="9" style="3" customWidth="1"/>
    <col min="9470" max="9471" width="9.85546875" style="3" customWidth="1"/>
    <col min="9472" max="9472" width="11.140625" style="3" customWidth="1"/>
    <col min="9473" max="9473" width="2.85546875" style="3" customWidth="1"/>
    <col min="9474" max="9474" width="3.5703125" style="3" customWidth="1"/>
    <col min="9475" max="9719" width="9.140625" style="3"/>
    <col min="9720" max="9720" width="8.7109375" style="3" customWidth="1"/>
    <col min="9721" max="9721" width="9.85546875" style="3" customWidth="1"/>
    <col min="9722" max="9722" width="14.42578125" style="3" customWidth="1"/>
    <col min="9723" max="9723" width="7.28515625" style="3" customWidth="1"/>
    <col min="9724" max="9724" width="5.5703125" style="3" customWidth="1"/>
    <col min="9725" max="9725" width="9" style="3" customWidth="1"/>
    <col min="9726" max="9727" width="9.85546875" style="3" customWidth="1"/>
    <col min="9728" max="9728" width="11.140625" style="3" customWidth="1"/>
    <col min="9729" max="9729" width="2.85546875" style="3" customWidth="1"/>
    <col min="9730" max="9730" width="3.5703125" style="3" customWidth="1"/>
    <col min="9731" max="9975" width="9.140625" style="3"/>
    <col min="9976" max="9976" width="8.7109375" style="3" customWidth="1"/>
    <col min="9977" max="9977" width="9.85546875" style="3" customWidth="1"/>
    <col min="9978" max="9978" width="14.42578125" style="3" customWidth="1"/>
    <col min="9979" max="9979" width="7.28515625" style="3" customWidth="1"/>
    <col min="9980" max="9980" width="5.5703125" style="3" customWidth="1"/>
    <col min="9981" max="9981" width="9" style="3" customWidth="1"/>
    <col min="9982" max="9983" width="9.85546875" style="3" customWidth="1"/>
    <col min="9984" max="9984" width="11.140625" style="3" customWidth="1"/>
    <col min="9985" max="9985" width="2.85546875" style="3" customWidth="1"/>
    <col min="9986" max="9986" width="3.5703125" style="3" customWidth="1"/>
    <col min="9987" max="10231" width="9.140625" style="3"/>
    <col min="10232" max="10232" width="8.7109375" style="3" customWidth="1"/>
    <col min="10233" max="10233" width="9.85546875" style="3" customWidth="1"/>
    <col min="10234" max="10234" width="14.42578125" style="3" customWidth="1"/>
    <col min="10235" max="10235" width="7.28515625" style="3" customWidth="1"/>
    <col min="10236" max="10236" width="5.5703125" style="3" customWidth="1"/>
    <col min="10237" max="10237" width="9" style="3" customWidth="1"/>
    <col min="10238" max="10239" width="9.85546875" style="3" customWidth="1"/>
    <col min="10240" max="10240" width="11.140625" style="3" customWidth="1"/>
    <col min="10241" max="10241" width="2.85546875" style="3" customWidth="1"/>
    <col min="10242" max="10242" width="3.5703125" style="3" customWidth="1"/>
    <col min="10243" max="10487" width="9.140625" style="3"/>
    <col min="10488" max="10488" width="8.7109375" style="3" customWidth="1"/>
    <col min="10489" max="10489" width="9.85546875" style="3" customWidth="1"/>
    <col min="10490" max="10490" width="14.42578125" style="3" customWidth="1"/>
    <col min="10491" max="10491" width="7.28515625" style="3" customWidth="1"/>
    <col min="10492" max="10492" width="5.5703125" style="3" customWidth="1"/>
    <col min="10493" max="10493" width="9" style="3" customWidth="1"/>
    <col min="10494" max="10495" width="9.85546875" style="3" customWidth="1"/>
    <col min="10496" max="10496" width="11.140625" style="3" customWidth="1"/>
    <col min="10497" max="10497" width="2.85546875" style="3" customWidth="1"/>
    <col min="10498" max="10498" width="3.5703125" style="3" customWidth="1"/>
    <col min="10499" max="10743" width="9.140625" style="3"/>
    <col min="10744" max="10744" width="8.7109375" style="3" customWidth="1"/>
    <col min="10745" max="10745" width="9.85546875" style="3" customWidth="1"/>
    <col min="10746" max="10746" width="14.42578125" style="3" customWidth="1"/>
    <col min="10747" max="10747" width="7.28515625" style="3" customWidth="1"/>
    <col min="10748" max="10748" width="5.5703125" style="3" customWidth="1"/>
    <col min="10749" max="10749" width="9" style="3" customWidth="1"/>
    <col min="10750" max="10751" width="9.85546875" style="3" customWidth="1"/>
    <col min="10752" max="10752" width="11.140625" style="3" customWidth="1"/>
    <col min="10753" max="10753" width="2.85546875" style="3" customWidth="1"/>
    <col min="10754" max="10754" width="3.5703125" style="3" customWidth="1"/>
    <col min="10755" max="10999" width="9.140625" style="3"/>
    <col min="11000" max="11000" width="8.7109375" style="3" customWidth="1"/>
    <col min="11001" max="11001" width="9.85546875" style="3" customWidth="1"/>
    <col min="11002" max="11002" width="14.42578125" style="3" customWidth="1"/>
    <col min="11003" max="11003" width="7.28515625" style="3" customWidth="1"/>
    <col min="11004" max="11004" width="5.5703125" style="3" customWidth="1"/>
    <col min="11005" max="11005" width="9" style="3" customWidth="1"/>
    <col min="11006" max="11007" width="9.85546875" style="3" customWidth="1"/>
    <col min="11008" max="11008" width="11.140625" style="3" customWidth="1"/>
    <col min="11009" max="11009" width="2.85546875" style="3" customWidth="1"/>
    <col min="11010" max="11010" width="3.5703125" style="3" customWidth="1"/>
    <col min="11011" max="11255" width="9.140625" style="3"/>
    <col min="11256" max="11256" width="8.7109375" style="3" customWidth="1"/>
    <col min="11257" max="11257" width="9.85546875" style="3" customWidth="1"/>
    <col min="11258" max="11258" width="14.42578125" style="3" customWidth="1"/>
    <col min="11259" max="11259" width="7.28515625" style="3" customWidth="1"/>
    <col min="11260" max="11260" width="5.5703125" style="3" customWidth="1"/>
    <col min="11261" max="11261" width="9" style="3" customWidth="1"/>
    <col min="11262" max="11263" width="9.85546875" style="3" customWidth="1"/>
    <col min="11264" max="11264" width="11.140625" style="3" customWidth="1"/>
    <col min="11265" max="11265" width="2.85546875" style="3" customWidth="1"/>
    <col min="11266" max="11266" width="3.5703125" style="3" customWidth="1"/>
    <col min="11267" max="11511" width="9.140625" style="3"/>
    <col min="11512" max="11512" width="8.7109375" style="3" customWidth="1"/>
    <col min="11513" max="11513" width="9.85546875" style="3" customWidth="1"/>
    <col min="11514" max="11514" width="14.42578125" style="3" customWidth="1"/>
    <col min="11515" max="11515" width="7.28515625" style="3" customWidth="1"/>
    <col min="11516" max="11516" width="5.5703125" style="3" customWidth="1"/>
    <col min="11517" max="11517" width="9" style="3" customWidth="1"/>
    <col min="11518" max="11519" width="9.85546875" style="3" customWidth="1"/>
    <col min="11520" max="11520" width="11.140625" style="3" customWidth="1"/>
    <col min="11521" max="11521" width="2.85546875" style="3" customWidth="1"/>
    <col min="11522" max="11522" width="3.5703125" style="3" customWidth="1"/>
    <col min="11523" max="11767" width="9.140625" style="3"/>
    <col min="11768" max="11768" width="8.7109375" style="3" customWidth="1"/>
    <col min="11769" max="11769" width="9.85546875" style="3" customWidth="1"/>
    <col min="11770" max="11770" width="14.42578125" style="3" customWidth="1"/>
    <col min="11771" max="11771" width="7.28515625" style="3" customWidth="1"/>
    <col min="11772" max="11772" width="5.5703125" style="3" customWidth="1"/>
    <col min="11773" max="11773" width="9" style="3" customWidth="1"/>
    <col min="11774" max="11775" width="9.85546875" style="3" customWidth="1"/>
    <col min="11776" max="11776" width="11.140625" style="3" customWidth="1"/>
    <col min="11777" max="11777" width="2.85546875" style="3" customWidth="1"/>
    <col min="11778" max="11778" width="3.5703125" style="3" customWidth="1"/>
    <col min="11779" max="12023" width="9.140625" style="3"/>
    <col min="12024" max="12024" width="8.7109375" style="3" customWidth="1"/>
    <col min="12025" max="12025" width="9.85546875" style="3" customWidth="1"/>
    <col min="12026" max="12026" width="14.42578125" style="3" customWidth="1"/>
    <col min="12027" max="12027" width="7.28515625" style="3" customWidth="1"/>
    <col min="12028" max="12028" width="5.5703125" style="3" customWidth="1"/>
    <col min="12029" max="12029" width="9" style="3" customWidth="1"/>
    <col min="12030" max="12031" width="9.85546875" style="3" customWidth="1"/>
    <col min="12032" max="12032" width="11.140625" style="3" customWidth="1"/>
    <col min="12033" max="12033" width="2.85546875" style="3" customWidth="1"/>
    <col min="12034" max="12034" width="3.5703125" style="3" customWidth="1"/>
    <col min="12035" max="12279" width="9.140625" style="3"/>
    <col min="12280" max="12280" width="8.7109375" style="3" customWidth="1"/>
    <col min="12281" max="12281" width="9.85546875" style="3" customWidth="1"/>
    <col min="12282" max="12282" width="14.42578125" style="3" customWidth="1"/>
    <col min="12283" max="12283" width="7.28515625" style="3" customWidth="1"/>
    <col min="12284" max="12284" width="5.5703125" style="3" customWidth="1"/>
    <col min="12285" max="12285" width="9" style="3" customWidth="1"/>
    <col min="12286" max="12287" width="9.85546875" style="3" customWidth="1"/>
    <col min="12288" max="12288" width="11.140625" style="3" customWidth="1"/>
    <col min="12289" max="12289" width="2.85546875" style="3" customWidth="1"/>
    <col min="12290" max="12290" width="3.5703125" style="3" customWidth="1"/>
    <col min="12291" max="12535" width="9.140625" style="3"/>
    <col min="12536" max="12536" width="8.7109375" style="3" customWidth="1"/>
    <col min="12537" max="12537" width="9.85546875" style="3" customWidth="1"/>
    <col min="12538" max="12538" width="14.42578125" style="3" customWidth="1"/>
    <col min="12539" max="12539" width="7.28515625" style="3" customWidth="1"/>
    <col min="12540" max="12540" width="5.5703125" style="3" customWidth="1"/>
    <col min="12541" max="12541" width="9" style="3" customWidth="1"/>
    <col min="12542" max="12543" width="9.85546875" style="3" customWidth="1"/>
    <col min="12544" max="12544" width="11.140625" style="3" customWidth="1"/>
    <col min="12545" max="12545" width="2.85546875" style="3" customWidth="1"/>
    <col min="12546" max="12546" width="3.5703125" style="3" customWidth="1"/>
    <col min="12547" max="12791" width="9.140625" style="3"/>
    <col min="12792" max="12792" width="8.7109375" style="3" customWidth="1"/>
    <col min="12793" max="12793" width="9.85546875" style="3" customWidth="1"/>
    <col min="12794" max="12794" width="14.42578125" style="3" customWidth="1"/>
    <col min="12795" max="12795" width="7.28515625" style="3" customWidth="1"/>
    <col min="12796" max="12796" width="5.5703125" style="3" customWidth="1"/>
    <col min="12797" max="12797" width="9" style="3" customWidth="1"/>
    <col min="12798" max="12799" width="9.85546875" style="3" customWidth="1"/>
    <col min="12800" max="12800" width="11.140625" style="3" customWidth="1"/>
    <col min="12801" max="12801" width="2.85546875" style="3" customWidth="1"/>
    <col min="12802" max="12802" width="3.5703125" style="3" customWidth="1"/>
    <col min="12803" max="13047" width="9.140625" style="3"/>
    <col min="13048" max="13048" width="8.7109375" style="3" customWidth="1"/>
    <col min="13049" max="13049" width="9.85546875" style="3" customWidth="1"/>
    <col min="13050" max="13050" width="14.42578125" style="3" customWidth="1"/>
    <col min="13051" max="13051" width="7.28515625" style="3" customWidth="1"/>
    <col min="13052" max="13052" width="5.5703125" style="3" customWidth="1"/>
    <col min="13053" max="13053" width="9" style="3" customWidth="1"/>
    <col min="13054" max="13055" width="9.85546875" style="3" customWidth="1"/>
    <col min="13056" max="13056" width="11.140625" style="3" customWidth="1"/>
    <col min="13057" max="13057" width="2.85546875" style="3" customWidth="1"/>
    <col min="13058" max="13058" width="3.5703125" style="3" customWidth="1"/>
    <col min="13059" max="13303" width="9.140625" style="3"/>
    <col min="13304" max="13304" width="8.7109375" style="3" customWidth="1"/>
    <col min="13305" max="13305" width="9.85546875" style="3" customWidth="1"/>
    <col min="13306" max="13306" width="14.42578125" style="3" customWidth="1"/>
    <col min="13307" max="13307" width="7.28515625" style="3" customWidth="1"/>
    <col min="13308" max="13308" width="5.5703125" style="3" customWidth="1"/>
    <col min="13309" max="13309" width="9" style="3" customWidth="1"/>
    <col min="13310" max="13311" width="9.85546875" style="3" customWidth="1"/>
    <col min="13312" max="13312" width="11.140625" style="3" customWidth="1"/>
    <col min="13313" max="13313" width="2.85546875" style="3" customWidth="1"/>
    <col min="13314" max="13314" width="3.5703125" style="3" customWidth="1"/>
    <col min="13315" max="13559" width="9.140625" style="3"/>
    <col min="13560" max="13560" width="8.7109375" style="3" customWidth="1"/>
    <col min="13561" max="13561" width="9.85546875" style="3" customWidth="1"/>
    <col min="13562" max="13562" width="14.42578125" style="3" customWidth="1"/>
    <col min="13563" max="13563" width="7.28515625" style="3" customWidth="1"/>
    <col min="13564" max="13564" width="5.5703125" style="3" customWidth="1"/>
    <col min="13565" max="13565" width="9" style="3" customWidth="1"/>
    <col min="13566" max="13567" width="9.85546875" style="3" customWidth="1"/>
    <col min="13568" max="13568" width="11.140625" style="3" customWidth="1"/>
    <col min="13569" max="13569" width="2.85546875" style="3" customWidth="1"/>
    <col min="13570" max="13570" width="3.5703125" style="3" customWidth="1"/>
    <col min="13571" max="13815" width="9.140625" style="3"/>
    <col min="13816" max="13816" width="8.7109375" style="3" customWidth="1"/>
    <col min="13817" max="13817" width="9.85546875" style="3" customWidth="1"/>
    <col min="13818" max="13818" width="14.42578125" style="3" customWidth="1"/>
    <col min="13819" max="13819" width="7.28515625" style="3" customWidth="1"/>
    <col min="13820" max="13820" width="5.5703125" style="3" customWidth="1"/>
    <col min="13821" max="13821" width="9" style="3" customWidth="1"/>
    <col min="13822" max="13823" width="9.85546875" style="3" customWidth="1"/>
    <col min="13824" max="13824" width="11.140625" style="3" customWidth="1"/>
    <col min="13825" max="13825" width="2.85546875" style="3" customWidth="1"/>
    <col min="13826" max="13826" width="3.5703125" style="3" customWidth="1"/>
    <col min="13827" max="14071" width="9.140625" style="3"/>
    <col min="14072" max="14072" width="8.7109375" style="3" customWidth="1"/>
    <col min="14073" max="14073" width="9.85546875" style="3" customWidth="1"/>
    <col min="14074" max="14074" width="14.42578125" style="3" customWidth="1"/>
    <col min="14075" max="14075" width="7.28515625" style="3" customWidth="1"/>
    <col min="14076" max="14076" width="5.5703125" style="3" customWidth="1"/>
    <col min="14077" max="14077" width="9" style="3" customWidth="1"/>
    <col min="14078" max="14079" width="9.85546875" style="3" customWidth="1"/>
    <col min="14080" max="14080" width="11.140625" style="3" customWidth="1"/>
    <col min="14081" max="14081" width="2.85546875" style="3" customWidth="1"/>
    <col min="14082" max="14082" width="3.5703125" style="3" customWidth="1"/>
    <col min="14083" max="14327" width="9.140625" style="3"/>
    <col min="14328" max="14328" width="8.7109375" style="3" customWidth="1"/>
    <col min="14329" max="14329" width="9.85546875" style="3" customWidth="1"/>
    <col min="14330" max="14330" width="14.42578125" style="3" customWidth="1"/>
    <col min="14331" max="14331" width="7.28515625" style="3" customWidth="1"/>
    <col min="14332" max="14332" width="5.5703125" style="3" customWidth="1"/>
    <col min="14333" max="14333" width="9" style="3" customWidth="1"/>
    <col min="14334" max="14335" width="9.85546875" style="3" customWidth="1"/>
    <col min="14336" max="14336" width="11.140625" style="3" customWidth="1"/>
    <col min="14337" max="14337" width="2.85546875" style="3" customWidth="1"/>
    <col min="14338" max="14338" width="3.5703125" style="3" customWidth="1"/>
    <col min="14339" max="14583" width="9.140625" style="3"/>
    <col min="14584" max="14584" width="8.7109375" style="3" customWidth="1"/>
    <col min="14585" max="14585" width="9.85546875" style="3" customWidth="1"/>
    <col min="14586" max="14586" width="14.42578125" style="3" customWidth="1"/>
    <col min="14587" max="14587" width="7.28515625" style="3" customWidth="1"/>
    <col min="14588" max="14588" width="5.5703125" style="3" customWidth="1"/>
    <col min="14589" max="14589" width="9" style="3" customWidth="1"/>
    <col min="14590" max="14591" width="9.85546875" style="3" customWidth="1"/>
    <col min="14592" max="14592" width="11.140625" style="3" customWidth="1"/>
    <col min="14593" max="14593" width="2.85546875" style="3" customWidth="1"/>
    <col min="14594" max="14594" width="3.5703125" style="3" customWidth="1"/>
    <col min="14595" max="14839" width="9.140625" style="3"/>
    <col min="14840" max="14840" width="8.7109375" style="3" customWidth="1"/>
    <col min="14841" max="14841" width="9.85546875" style="3" customWidth="1"/>
    <col min="14842" max="14842" width="14.42578125" style="3" customWidth="1"/>
    <col min="14843" max="14843" width="7.28515625" style="3" customWidth="1"/>
    <col min="14844" max="14844" width="5.5703125" style="3" customWidth="1"/>
    <col min="14845" max="14845" width="9" style="3" customWidth="1"/>
    <col min="14846" max="14847" width="9.85546875" style="3" customWidth="1"/>
    <col min="14848" max="14848" width="11.140625" style="3" customWidth="1"/>
    <col min="14849" max="14849" width="2.85546875" style="3" customWidth="1"/>
    <col min="14850" max="14850" width="3.5703125" style="3" customWidth="1"/>
    <col min="14851" max="15095" width="9.140625" style="3"/>
    <col min="15096" max="15096" width="8.7109375" style="3" customWidth="1"/>
    <col min="15097" max="15097" width="9.85546875" style="3" customWidth="1"/>
    <col min="15098" max="15098" width="14.42578125" style="3" customWidth="1"/>
    <col min="15099" max="15099" width="7.28515625" style="3" customWidth="1"/>
    <col min="15100" max="15100" width="5.5703125" style="3" customWidth="1"/>
    <col min="15101" max="15101" width="9" style="3" customWidth="1"/>
    <col min="15102" max="15103" width="9.85546875" style="3" customWidth="1"/>
    <col min="15104" max="15104" width="11.140625" style="3" customWidth="1"/>
    <col min="15105" max="15105" width="2.85546875" style="3" customWidth="1"/>
    <col min="15106" max="15106" width="3.5703125" style="3" customWidth="1"/>
    <col min="15107" max="15351" width="9.140625" style="3"/>
    <col min="15352" max="15352" width="8.7109375" style="3" customWidth="1"/>
    <col min="15353" max="15353" width="9.85546875" style="3" customWidth="1"/>
    <col min="15354" max="15354" width="14.42578125" style="3" customWidth="1"/>
    <col min="15355" max="15355" width="7.28515625" style="3" customWidth="1"/>
    <col min="15356" max="15356" width="5.5703125" style="3" customWidth="1"/>
    <col min="15357" max="15357" width="9" style="3" customWidth="1"/>
    <col min="15358" max="15359" width="9.85546875" style="3" customWidth="1"/>
    <col min="15360" max="15360" width="11.140625" style="3" customWidth="1"/>
    <col min="15361" max="15361" width="2.85546875" style="3" customWidth="1"/>
    <col min="15362" max="15362" width="3.5703125" style="3" customWidth="1"/>
    <col min="15363" max="15607" width="9.140625" style="3"/>
    <col min="15608" max="15608" width="8.7109375" style="3" customWidth="1"/>
    <col min="15609" max="15609" width="9.85546875" style="3" customWidth="1"/>
    <col min="15610" max="15610" width="14.42578125" style="3" customWidth="1"/>
    <col min="15611" max="15611" width="7.28515625" style="3" customWidth="1"/>
    <col min="15612" max="15612" width="5.5703125" style="3" customWidth="1"/>
    <col min="15613" max="15613" width="9" style="3" customWidth="1"/>
    <col min="15614" max="15615" width="9.85546875" style="3" customWidth="1"/>
    <col min="15616" max="15616" width="11.140625" style="3" customWidth="1"/>
    <col min="15617" max="15617" width="2.85546875" style="3" customWidth="1"/>
    <col min="15618" max="15618" width="3.5703125" style="3" customWidth="1"/>
    <col min="15619" max="15863" width="9.140625" style="3"/>
    <col min="15864" max="15864" width="8.7109375" style="3" customWidth="1"/>
    <col min="15865" max="15865" width="9.85546875" style="3" customWidth="1"/>
    <col min="15866" max="15866" width="14.42578125" style="3" customWidth="1"/>
    <col min="15867" max="15867" width="7.28515625" style="3" customWidth="1"/>
    <col min="15868" max="15868" width="5.5703125" style="3" customWidth="1"/>
    <col min="15869" max="15869" width="9" style="3" customWidth="1"/>
    <col min="15870" max="15871" width="9.85546875" style="3" customWidth="1"/>
    <col min="15872" max="15872" width="11.140625" style="3" customWidth="1"/>
    <col min="15873" max="15873" width="2.85546875" style="3" customWidth="1"/>
    <col min="15874" max="15874" width="3.5703125" style="3" customWidth="1"/>
    <col min="15875" max="16119" width="9.140625" style="3"/>
    <col min="16120" max="16120" width="8.7109375" style="3" customWidth="1"/>
    <col min="16121" max="16121" width="9.85546875" style="3" customWidth="1"/>
    <col min="16122" max="16122" width="14.42578125" style="3" customWidth="1"/>
    <col min="16123" max="16123" width="7.28515625" style="3" customWidth="1"/>
    <col min="16124" max="16124" width="5.5703125" style="3" customWidth="1"/>
    <col min="16125" max="16125" width="9" style="3" customWidth="1"/>
    <col min="16126" max="16127" width="9.85546875" style="3" customWidth="1"/>
    <col min="16128" max="16128" width="11.140625" style="3" customWidth="1"/>
    <col min="16129" max="16129" width="2.85546875" style="3" customWidth="1"/>
    <col min="16130" max="16130" width="3.5703125" style="3" customWidth="1"/>
    <col min="16131" max="16384" width="9.140625" style="3"/>
  </cols>
  <sheetData>
    <row r="1" spans="1:12" ht="46.5" customHeight="1" x14ac:dyDescent="0.25">
      <c r="A1" s="175" t="s">
        <v>219</v>
      </c>
      <c r="B1" s="175"/>
      <c r="C1" s="175"/>
      <c r="D1" s="175"/>
      <c r="E1" s="175"/>
      <c r="F1" s="175"/>
      <c r="G1" s="175"/>
      <c r="H1" s="175"/>
    </row>
    <row r="2" spans="1:12" ht="16.5" customHeight="1" x14ac:dyDescent="0.25">
      <c r="A2" s="96" t="s">
        <v>0</v>
      </c>
      <c r="B2" s="96"/>
      <c r="C2" s="96"/>
      <c r="D2" s="96"/>
      <c r="E2" s="96"/>
      <c r="F2" s="96"/>
      <c r="G2" s="96"/>
      <c r="H2" s="96"/>
    </row>
    <row r="3" spans="1:12" x14ac:dyDescent="0.25">
      <c r="A3" s="150" t="s">
        <v>1</v>
      </c>
      <c r="B3" s="150"/>
      <c r="C3" s="150"/>
      <c r="D3" s="150"/>
      <c r="E3" s="176" t="str">
        <f ca="1">TEXT(TODAY(),"DD/MM/YYYY")</f>
        <v>04/09/2025</v>
      </c>
      <c r="F3" s="176"/>
      <c r="G3" s="176"/>
      <c r="H3" s="176"/>
    </row>
    <row r="4" spans="1:12" ht="15" customHeight="1" x14ac:dyDescent="0.25">
      <c r="A4" s="150" t="s">
        <v>2</v>
      </c>
      <c r="B4" s="150"/>
      <c r="C4" s="150"/>
      <c r="D4" s="150"/>
      <c r="E4" s="177" t="s">
        <v>164</v>
      </c>
      <c r="F4" s="177"/>
      <c r="G4" s="177"/>
      <c r="H4" s="177"/>
    </row>
    <row r="5" spans="1:12" x14ac:dyDescent="0.25">
      <c r="A5" s="150" t="s">
        <v>3</v>
      </c>
      <c r="B5" s="150"/>
      <c r="C5" s="150"/>
      <c r="D5" s="150"/>
      <c r="E5" s="178">
        <v>45892</v>
      </c>
      <c r="F5" s="178"/>
      <c r="G5" s="178"/>
      <c r="H5" s="178"/>
    </row>
    <row r="6" spans="1:12" ht="16.5" customHeight="1" x14ac:dyDescent="0.25">
      <c r="A6" s="150" t="s">
        <v>4</v>
      </c>
      <c r="B6" s="150"/>
      <c r="C6" s="150"/>
      <c r="D6" s="150"/>
      <c r="E6" s="159" t="s">
        <v>165</v>
      </c>
      <c r="F6" s="159"/>
      <c r="G6" s="159"/>
      <c r="H6" s="159"/>
    </row>
    <row r="7" spans="1:12" ht="15" customHeight="1" x14ac:dyDescent="0.25">
      <c r="A7" s="150" t="s">
        <v>5</v>
      </c>
      <c r="B7" s="150"/>
      <c r="C7" s="150"/>
      <c r="D7" s="150"/>
      <c r="E7" s="159" t="str">
        <f>E6</f>
        <v>M/s.Runwal Constructions</v>
      </c>
      <c r="F7" s="159"/>
      <c r="G7" s="159"/>
      <c r="H7" s="159"/>
    </row>
    <row r="8" spans="1:12" x14ac:dyDescent="0.25">
      <c r="A8" s="150" t="s">
        <v>6</v>
      </c>
      <c r="B8" s="150"/>
      <c r="C8" s="150"/>
      <c r="D8" s="150"/>
      <c r="E8" s="158" t="s">
        <v>166</v>
      </c>
      <c r="F8" s="158"/>
      <c r="G8" s="158"/>
      <c r="H8" s="158"/>
    </row>
    <row r="9" spans="1:12" x14ac:dyDescent="0.25">
      <c r="A9" s="150" t="s">
        <v>125</v>
      </c>
      <c r="B9" s="150"/>
      <c r="C9" s="150"/>
      <c r="D9" s="150"/>
      <c r="E9" s="150" t="s">
        <v>167</v>
      </c>
      <c r="F9" s="150"/>
      <c r="G9" s="150"/>
      <c r="H9" s="150"/>
    </row>
    <row r="10" spans="1:12" ht="31.5" customHeight="1" x14ac:dyDescent="0.25">
      <c r="A10" s="150" t="s">
        <v>218</v>
      </c>
      <c r="B10" s="150"/>
      <c r="C10" s="150"/>
      <c r="D10" s="150"/>
      <c r="E10" s="218" t="s">
        <v>287</v>
      </c>
      <c r="F10" s="219"/>
      <c r="G10" s="219"/>
      <c r="H10" s="219"/>
      <c r="I10" s="150" t="s">
        <v>267</v>
      </c>
      <c r="J10" s="150"/>
      <c r="K10" s="150"/>
      <c r="L10" s="150"/>
    </row>
    <row r="11" spans="1:12" x14ac:dyDescent="0.25">
      <c r="A11" s="162" t="s">
        <v>7</v>
      </c>
      <c r="B11" s="162"/>
      <c r="C11" s="162"/>
      <c r="D11" s="162"/>
      <c r="E11" s="162" t="s">
        <v>269</v>
      </c>
      <c r="F11" s="162"/>
      <c r="G11" s="162"/>
      <c r="H11" s="162"/>
    </row>
    <row r="12" spans="1:12" x14ac:dyDescent="0.25">
      <c r="A12" s="162" t="s">
        <v>8</v>
      </c>
      <c r="B12" s="162"/>
      <c r="C12" s="162"/>
      <c r="D12" s="162"/>
      <c r="E12" s="119" t="s">
        <v>168</v>
      </c>
      <c r="F12" s="119"/>
      <c r="G12" s="119"/>
      <c r="H12" s="119"/>
    </row>
    <row r="13" spans="1:12" ht="67.5" customHeight="1" x14ac:dyDescent="0.25">
      <c r="A13" s="162" t="s">
        <v>9</v>
      </c>
      <c r="B13" s="162"/>
      <c r="C13" s="162"/>
      <c r="D13" s="162"/>
      <c r="E13" s="119" t="s">
        <v>298</v>
      </c>
      <c r="F13" s="162"/>
      <c r="G13" s="162"/>
      <c r="H13" s="162"/>
    </row>
    <row r="14" spans="1:12" ht="34.5" customHeight="1" x14ac:dyDescent="0.25">
      <c r="A14" s="119" t="s">
        <v>10</v>
      </c>
      <c r="B14" s="119"/>
      <c r="C14" s="119" t="str">
        <f>CONCATENATE((IF(OR(E8="",E8="NA"),"",E8)),", ",(IF(OR(A15="",A15="NA"),"",A15)),".",(IF(OR(C15="",C15="NA"),"",C15)),", near ",(IF(OR(C19="",C19="NA"),"",C19)),", ",(IF(OR(C16="",C16="NA"),"",C16)),", ",(IF(OR(G16="",G16="NA"),"",G16)),", ",(IF(OR(C17="",C17="NA"),"",C17)),", ",(IF(OR(C18="",C18="NA"),"",C18)),", ",(IF(OR(G17="",G17="NA"),"",G17)),".")</f>
        <v>The Sanctuary, CTS No.544, 544/1, near Runwal Heights, LBS Marg, Nahur, Mulund west, Kurla, Mumbai.</v>
      </c>
      <c r="D14" s="119"/>
      <c r="E14" s="119"/>
      <c r="F14" s="119"/>
      <c r="G14" s="119"/>
      <c r="H14" s="119"/>
    </row>
    <row r="15" spans="1:12" x14ac:dyDescent="0.25">
      <c r="A15" s="119" t="s">
        <v>170</v>
      </c>
      <c r="B15" s="119"/>
      <c r="C15" s="119" t="s">
        <v>169</v>
      </c>
      <c r="D15" s="119"/>
      <c r="E15" s="119"/>
      <c r="F15" s="119"/>
      <c r="G15" s="119"/>
      <c r="H15" s="119"/>
    </row>
    <row r="16" spans="1:12" ht="15.75" customHeight="1" x14ac:dyDescent="0.25">
      <c r="A16" s="159" t="s">
        <v>11</v>
      </c>
      <c r="B16" s="159"/>
      <c r="C16" s="162" t="s">
        <v>172</v>
      </c>
      <c r="D16" s="162"/>
      <c r="E16" s="159" t="s">
        <v>72</v>
      </c>
      <c r="F16" s="159"/>
      <c r="G16" s="119" t="s">
        <v>171</v>
      </c>
      <c r="H16" s="119"/>
    </row>
    <row r="17" spans="1:8" x14ac:dyDescent="0.25">
      <c r="A17" s="150" t="s">
        <v>13</v>
      </c>
      <c r="B17" s="150"/>
      <c r="C17" s="119" t="s">
        <v>187</v>
      </c>
      <c r="D17" s="119"/>
      <c r="E17" s="159" t="s">
        <v>12</v>
      </c>
      <c r="F17" s="159"/>
      <c r="G17" s="190" t="s">
        <v>188</v>
      </c>
      <c r="H17" s="190"/>
    </row>
    <row r="18" spans="1:8" x14ac:dyDescent="0.25">
      <c r="A18" s="150" t="s">
        <v>73</v>
      </c>
      <c r="B18" s="150"/>
      <c r="C18" s="119" t="s">
        <v>173</v>
      </c>
      <c r="D18" s="119"/>
      <c r="E18" s="159" t="s">
        <v>14</v>
      </c>
      <c r="F18" s="159"/>
      <c r="G18" s="119">
        <v>400080</v>
      </c>
      <c r="H18" s="119"/>
    </row>
    <row r="19" spans="1:8" ht="32.25" customHeight="1" x14ac:dyDescent="0.25">
      <c r="A19" s="150" t="s">
        <v>127</v>
      </c>
      <c r="B19" s="150"/>
      <c r="C19" s="189" t="s">
        <v>306</v>
      </c>
      <c r="D19" s="189"/>
      <c r="E19" s="159" t="s">
        <v>15</v>
      </c>
      <c r="F19" s="159"/>
      <c r="G19" s="119" t="s">
        <v>184</v>
      </c>
      <c r="H19" s="119"/>
    </row>
    <row r="20" spans="1:8" ht="15" customHeight="1" x14ac:dyDescent="0.25">
      <c r="A20" s="159" t="s">
        <v>76</v>
      </c>
      <c r="B20" s="159"/>
      <c r="C20" s="159"/>
      <c r="D20" s="159"/>
      <c r="E20" s="162" t="s">
        <v>16</v>
      </c>
      <c r="F20" s="162"/>
      <c r="G20" s="162"/>
      <c r="H20" s="162"/>
    </row>
    <row r="21" spans="1:8" ht="18.75" customHeight="1" x14ac:dyDescent="0.25">
      <c r="A21" s="159"/>
      <c r="B21" s="159"/>
      <c r="C21" s="159"/>
      <c r="D21" s="159"/>
      <c r="E21" s="162"/>
      <c r="F21" s="162"/>
      <c r="G21" s="162"/>
      <c r="H21" s="162"/>
    </row>
    <row r="22" spans="1:8" x14ac:dyDescent="0.25">
      <c r="A22" s="159" t="s">
        <v>17</v>
      </c>
      <c r="B22" s="159"/>
      <c r="C22" s="159"/>
      <c r="D22" s="159"/>
      <c r="E22" s="119" t="s">
        <v>18</v>
      </c>
      <c r="F22" s="119"/>
      <c r="G22" s="119"/>
      <c r="H22" s="119"/>
    </row>
    <row r="23" spans="1:8" x14ac:dyDescent="0.25">
      <c r="A23" s="150" t="s">
        <v>19</v>
      </c>
      <c r="B23" s="150"/>
      <c r="C23" s="150"/>
      <c r="D23" s="150"/>
      <c r="E23" s="119" t="str">
        <f>IF(AND(G17="Mumbai"),"Upper Class","Middle Class")</f>
        <v>Upper Class</v>
      </c>
      <c r="F23" s="119"/>
      <c r="G23" s="119"/>
      <c r="H23" s="119"/>
    </row>
    <row r="24" spans="1:8" x14ac:dyDescent="0.25">
      <c r="A24" s="150" t="s">
        <v>20</v>
      </c>
      <c r="B24" s="150"/>
      <c r="C24" s="150"/>
      <c r="D24" s="150"/>
      <c r="E24" s="119" t="s">
        <v>21</v>
      </c>
      <c r="F24" s="119"/>
      <c r="G24" s="119"/>
      <c r="H24" s="119"/>
    </row>
    <row r="25" spans="1:8" ht="15.75" customHeight="1" x14ac:dyDescent="0.25">
      <c r="A25" s="150" t="s">
        <v>22</v>
      </c>
      <c r="B25" s="150"/>
      <c r="C25" s="150"/>
      <c r="D25" s="150"/>
      <c r="E25" s="119" t="str">
        <f>IF(AND(G17="Mumbai"),"Developed","Developing")</f>
        <v>Developed</v>
      </c>
      <c r="F25" s="119"/>
      <c r="G25" s="119"/>
      <c r="H25" s="119"/>
    </row>
    <row r="26" spans="1:8" x14ac:dyDescent="0.25">
      <c r="A26" s="150" t="s">
        <v>23</v>
      </c>
      <c r="B26" s="150"/>
      <c r="C26" s="150"/>
      <c r="D26" s="150"/>
      <c r="E26" s="119" t="s">
        <v>24</v>
      </c>
      <c r="F26" s="119"/>
      <c r="G26" s="119"/>
      <c r="H26" s="119"/>
    </row>
    <row r="27" spans="1:8" x14ac:dyDescent="0.25">
      <c r="A27" s="150" t="s">
        <v>83</v>
      </c>
      <c r="B27" s="150"/>
      <c r="C27" s="150"/>
      <c r="D27" s="150"/>
      <c r="E27" s="119" t="s">
        <v>84</v>
      </c>
      <c r="F27" s="119"/>
      <c r="G27" s="119"/>
      <c r="H27" s="119"/>
    </row>
    <row r="28" spans="1:8" ht="15" customHeight="1" x14ac:dyDescent="0.25">
      <c r="A28" s="159" t="s">
        <v>32</v>
      </c>
      <c r="B28" s="159"/>
      <c r="C28" s="159"/>
      <c r="D28" s="159"/>
      <c r="E28" s="177" t="s">
        <v>175</v>
      </c>
      <c r="F28" s="177"/>
      <c r="G28" s="177"/>
      <c r="H28" s="177"/>
    </row>
    <row r="29" spans="1:8" x14ac:dyDescent="0.25">
      <c r="A29" s="159" t="s">
        <v>95</v>
      </c>
      <c r="B29" s="159"/>
      <c r="C29" s="159"/>
      <c r="D29" s="159"/>
      <c r="E29" s="159" t="s">
        <v>33</v>
      </c>
      <c r="F29" s="159"/>
      <c r="G29" s="159"/>
      <c r="H29" s="159"/>
    </row>
    <row r="30" spans="1:8" s="6" customFormat="1" x14ac:dyDescent="0.25">
      <c r="A30" s="180" t="s">
        <v>96</v>
      </c>
      <c r="B30" s="180"/>
      <c r="C30" s="179" t="s">
        <v>258</v>
      </c>
      <c r="D30" s="179"/>
      <c r="E30" s="179"/>
      <c r="F30" s="179" t="s">
        <v>30</v>
      </c>
      <c r="G30" s="179"/>
      <c r="H30" s="179"/>
    </row>
    <row r="31" spans="1:8" s="6" customFormat="1" x14ac:dyDescent="0.25">
      <c r="A31" s="151" t="s">
        <v>25</v>
      </c>
      <c r="B31" s="151" t="s">
        <v>29</v>
      </c>
      <c r="C31" s="152" t="s">
        <v>260</v>
      </c>
      <c r="D31" s="152"/>
      <c r="E31" s="152"/>
      <c r="F31" s="152" t="s">
        <v>172</v>
      </c>
      <c r="G31" s="152"/>
      <c r="H31" s="152"/>
    </row>
    <row r="32" spans="1:8" x14ac:dyDescent="0.25">
      <c r="A32" s="151" t="s">
        <v>26</v>
      </c>
      <c r="B32" s="151" t="s">
        <v>29</v>
      </c>
      <c r="C32" s="152" t="s">
        <v>261</v>
      </c>
      <c r="D32" s="152"/>
      <c r="E32" s="152"/>
      <c r="F32" s="152" t="s">
        <v>11</v>
      </c>
      <c r="G32" s="152"/>
      <c r="H32" s="152"/>
    </row>
    <row r="33" spans="1:9" s="6" customFormat="1" x14ac:dyDescent="0.25">
      <c r="A33" s="151" t="s">
        <v>28</v>
      </c>
      <c r="B33" s="151" t="s">
        <v>29</v>
      </c>
      <c r="C33" s="152" t="s">
        <v>259</v>
      </c>
      <c r="D33" s="152"/>
      <c r="E33" s="152"/>
      <c r="F33" s="152" t="s">
        <v>176</v>
      </c>
      <c r="G33" s="152"/>
      <c r="H33" s="152"/>
    </row>
    <row r="34" spans="1:9" x14ac:dyDescent="0.25">
      <c r="A34" s="151" t="s">
        <v>27</v>
      </c>
      <c r="B34" s="151" t="s">
        <v>29</v>
      </c>
      <c r="C34" s="152" t="s">
        <v>262</v>
      </c>
      <c r="D34" s="152"/>
      <c r="E34" s="152"/>
      <c r="F34" s="152" t="s">
        <v>174</v>
      </c>
      <c r="G34" s="152"/>
      <c r="H34" s="152"/>
    </row>
    <row r="35" spans="1:9" x14ac:dyDescent="0.25">
      <c r="A35" s="150" t="s">
        <v>31</v>
      </c>
      <c r="B35" s="150"/>
      <c r="C35" s="150"/>
      <c r="D35" s="150"/>
      <c r="E35" s="150"/>
      <c r="F35" s="150"/>
      <c r="G35" s="150"/>
      <c r="H35" s="150"/>
    </row>
    <row r="36" spans="1:9" ht="15.75" customHeight="1" x14ac:dyDescent="0.25">
      <c r="A36" s="96" t="s">
        <v>213</v>
      </c>
      <c r="B36" s="96"/>
      <c r="C36" s="153" t="s">
        <v>216</v>
      </c>
      <c r="D36" s="153"/>
      <c r="E36" s="153"/>
      <c r="F36" s="153"/>
      <c r="G36" s="153"/>
      <c r="H36" s="153"/>
    </row>
    <row r="37" spans="1:9" ht="15.75" customHeight="1" x14ac:dyDescent="0.25">
      <c r="A37" s="96" t="s">
        <v>214</v>
      </c>
      <c r="B37" s="96"/>
      <c r="C37" s="220" t="s">
        <v>215</v>
      </c>
      <c r="D37" s="153"/>
      <c r="E37" s="153"/>
      <c r="F37" s="153"/>
      <c r="G37" s="153"/>
      <c r="H37" s="153"/>
    </row>
    <row r="38" spans="1:9" x14ac:dyDescent="0.25">
      <c r="A38" s="158" t="s">
        <v>34</v>
      </c>
      <c r="B38" s="158"/>
      <c r="C38" s="158"/>
      <c r="D38" s="158"/>
      <c r="E38" s="158"/>
      <c r="F38" s="158"/>
      <c r="G38" s="158"/>
      <c r="H38" s="158"/>
    </row>
    <row r="39" spans="1:9" x14ac:dyDescent="0.25">
      <c r="A39" s="150" t="s">
        <v>35</v>
      </c>
      <c r="B39" s="150"/>
      <c r="C39" s="150"/>
      <c r="D39" s="150"/>
      <c r="E39" s="157">
        <v>23298.58</v>
      </c>
      <c r="F39" s="157"/>
      <c r="G39" s="157"/>
      <c r="H39" s="157"/>
      <c r="I39" s="63" t="s">
        <v>288</v>
      </c>
    </row>
    <row r="40" spans="1:9" x14ac:dyDescent="0.25">
      <c r="A40" s="150" t="s">
        <v>36</v>
      </c>
      <c r="B40" s="150"/>
      <c r="C40" s="150"/>
      <c r="D40" s="150"/>
      <c r="E40" s="181">
        <v>1</v>
      </c>
      <c r="F40" s="181"/>
      <c r="G40" s="181"/>
      <c r="H40" s="181"/>
    </row>
    <row r="41" spans="1:9" x14ac:dyDescent="0.25">
      <c r="A41" s="150" t="s">
        <v>37</v>
      </c>
      <c r="B41" s="150"/>
      <c r="C41" s="150"/>
      <c r="D41" s="150"/>
      <c r="E41" s="181">
        <f>E43/E39-E40</f>
        <v>2.4372343722235428</v>
      </c>
      <c r="F41" s="181"/>
      <c r="G41" s="181"/>
      <c r="H41" s="181"/>
    </row>
    <row r="42" spans="1:9" x14ac:dyDescent="0.25">
      <c r="A42" s="150" t="s">
        <v>38</v>
      </c>
      <c r="B42" s="150"/>
      <c r="C42" s="150"/>
      <c r="D42" s="150"/>
      <c r="E42" s="181">
        <f>E40+E41</f>
        <v>3.4372343722235428</v>
      </c>
      <c r="F42" s="181"/>
      <c r="G42" s="181"/>
      <c r="H42" s="181"/>
    </row>
    <row r="43" spans="1:9" x14ac:dyDescent="0.25">
      <c r="A43" s="150" t="s">
        <v>94</v>
      </c>
      <c r="B43" s="150"/>
      <c r="C43" s="150"/>
      <c r="D43" s="150"/>
      <c r="E43" s="182">
        <v>80082.679999999993</v>
      </c>
      <c r="F43" s="182"/>
      <c r="G43" s="182"/>
      <c r="H43" s="182"/>
      <c r="I43" s="63" t="s">
        <v>288</v>
      </c>
    </row>
    <row r="44" spans="1:9" x14ac:dyDescent="0.25">
      <c r="A44" s="162" t="s">
        <v>39</v>
      </c>
      <c r="B44" s="162"/>
      <c r="C44" s="162"/>
      <c r="D44" s="162"/>
      <c r="E44" s="162" t="s">
        <v>273</v>
      </c>
      <c r="F44" s="162"/>
      <c r="G44" s="162"/>
      <c r="H44" s="162"/>
    </row>
    <row r="45" spans="1:9" x14ac:dyDescent="0.25">
      <c r="A45" s="158" t="s">
        <v>40</v>
      </c>
      <c r="B45" s="158"/>
      <c r="C45" s="158"/>
      <c r="D45" s="158"/>
      <c r="E45" s="158"/>
      <c r="F45" s="158"/>
      <c r="G45" s="158"/>
      <c r="H45" s="158"/>
    </row>
    <row r="46" spans="1:9" s="5" customFormat="1" ht="35.25" customHeight="1" x14ac:dyDescent="0.25">
      <c r="A46" s="160" t="s">
        <v>242</v>
      </c>
      <c r="B46" s="161"/>
      <c r="C46" s="119" t="s">
        <v>265</v>
      </c>
      <c r="D46" s="119"/>
      <c r="E46" s="119"/>
      <c r="F46" s="60" t="s">
        <v>41</v>
      </c>
      <c r="G46" s="122">
        <v>45708</v>
      </c>
      <c r="H46" s="122"/>
    </row>
    <row r="47" spans="1:9" s="5" customFormat="1" ht="34.5" customHeight="1" x14ac:dyDescent="0.25">
      <c r="A47" s="167" t="s">
        <v>270</v>
      </c>
      <c r="B47" s="168"/>
      <c r="C47" s="115" t="s">
        <v>271</v>
      </c>
      <c r="D47" s="115"/>
      <c r="E47" s="115"/>
      <c r="F47" s="58" t="s">
        <v>41</v>
      </c>
      <c r="G47" s="116">
        <v>45580</v>
      </c>
      <c r="H47" s="116"/>
    </row>
    <row r="48" spans="1:9" s="5" customFormat="1" ht="35.25" customHeight="1" x14ac:dyDescent="0.25">
      <c r="A48" s="160" t="s">
        <v>243</v>
      </c>
      <c r="B48" s="161"/>
      <c r="C48" s="119" t="s">
        <v>266</v>
      </c>
      <c r="D48" s="119"/>
      <c r="E48" s="119"/>
      <c r="F48" s="60" t="s">
        <v>41</v>
      </c>
      <c r="G48" s="122">
        <v>45699</v>
      </c>
      <c r="H48" s="122"/>
    </row>
    <row r="49" spans="1:13" s="5" customFormat="1" ht="32.25" customHeight="1" x14ac:dyDescent="0.25">
      <c r="A49" s="160" t="s">
        <v>245</v>
      </c>
      <c r="B49" s="161"/>
      <c r="C49" s="120" t="s">
        <v>244</v>
      </c>
      <c r="D49" s="120"/>
      <c r="E49" s="120"/>
      <c r="F49" s="47" t="s">
        <v>41</v>
      </c>
      <c r="G49" s="122">
        <v>44494</v>
      </c>
      <c r="H49" s="122"/>
    </row>
    <row r="50" spans="1:13" s="5" customFormat="1" ht="33" customHeight="1" x14ac:dyDescent="0.25">
      <c r="A50" s="160" t="s">
        <v>246</v>
      </c>
      <c r="B50" s="161"/>
      <c r="C50" s="120" t="s">
        <v>178</v>
      </c>
      <c r="D50" s="120"/>
      <c r="E50" s="120"/>
      <c r="F50" s="47" t="s">
        <v>41</v>
      </c>
      <c r="G50" s="122">
        <v>44494</v>
      </c>
      <c r="H50" s="122"/>
      <c r="I50" s="5" t="s">
        <v>196</v>
      </c>
    </row>
    <row r="51" spans="1:13" s="59" customFormat="1" ht="33.75" customHeight="1" x14ac:dyDescent="0.25">
      <c r="A51" s="119" t="s">
        <v>197</v>
      </c>
      <c r="B51" s="162"/>
      <c r="C51" s="119" t="s">
        <v>241</v>
      </c>
      <c r="D51" s="119"/>
      <c r="E51" s="119"/>
      <c r="F51" s="60" t="s">
        <v>41</v>
      </c>
      <c r="G51" s="122">
        <v>45708</v>
      </c>
      <c r="H51" s="122"/>
      <c r="I51" s="223">
        <v>39463</v>
      </c>
      <c r="J51" s="223"/>
    </row>
    <row r="52" spans="1:13" s="5" customFormat="1" ht="33.75" customHeight="1" x14ac:dyDescent="0.25">
      <c r="A52" s="115" t="s">
        <v>272</v>
      </c>
      <c r="B52" s="117"/>
      <c r="C52" s="115" t="str">
        <f>C47</f>
        <v>P-6112/2020/(C.T.S. No. 544 And Other)/T Ward/NAHUR - T/337/5/Amend</v>
      </c>
      <c r="D52" s="115"/>
      <c r="E52" s="115"/>
      <c r="F52" s="58" t="s">
        <v>41</v>
      </c>
      <c r="G52" s="116">
        <f>G47</f>
        <v>45580</v>
      </c>
      <c r="H52" s="116"/>
    </row>
    <row r="53" spans="1:13" s="5" customFormat="1" ht="33.75" customHeight="1" x14ac:dyDescent="0.25">
      <c r="A53" s="119" t="s">
        <v>198</v>
      </c>
      <c r="B53" s="162"/>
      <c r="C53" s="119" t="str">
        <f>C48</f>
        <v>CE/4817/BPES/AT/OCC/1/New</v>
      </c>
      <c r="D53" s="119"/>
      <c r="E53" s="119"/>
      <c r="F53" s="60" t="s">
        <v>41</v>
      </c>
      <c r="G53" s="122">
        <f>G48</f>
        <v>45699</v>
      </c>
      <c r="H53" s="122"/>
      <c r="I53" s="120" t="s">
        <v>199</v>
      </c>
      <c r="J53" s="120"/>
      <c r="K53" s="120"/>
      <c r="L53" s="122">
        <v>39463</v>
      </c>
      <c r="M53" s="122"/>
    </row>
    <row r="54" spans="1:13" s="5" customFormat="1" ht="33.75" customHeight="1" x14ac:dyDescent="0.25">
      <c r="A54" s="119" t="s">
        <v>186</v>
      </c>
      <c r="B54" s="162"/>
      <c r="C54" s="120" t="s">
        <v>177</v>
      </c>
      <c r="D54" s="120"/>
      <c r="E54" s="120"/>
      <c r="F54" s="47" t="s">
        <v>41</v>
      </c>
      <c r="G54" s="122">
        <v>44575</v>
      </c>
      <c r="H54" s="122"/>
    </row>
    <row r="55" spans="1:13" s="5" customFormat="1" ht="33.75" customHeight="1" x14ac:dyDescent="0.25">
      <c r="A55" s="119" t="s">
        <v>185</v>
      </c>
      <c r="B55" s="162"/>
      <c r="C55" s="120" t="s">
        <v>178</v>
      </c>
      <c r="D55" s="120"/>
      <c r="E55" s="120"/>
      <c r="F55" s="47" t="s">
        <v>41</v>
      </c>
      <c r="G55" s="122">
        <v>45251</v>
      </c>
      <c r="H55" s="122"/>
    </row>
    <row r="56" spans="1:13" s="5" customFormat="1" ht="15.75" customHeight="1" x14ac:dyDescent="0.25">
      <c r="A56" s="119" t="s">
        <v>200</v>
      </c>
      <c r="B56" s="119"/>
      <c r="C56" s="120" t="s">
        <v>196</v>
      </c>
      <c r="D56" s="120"/>
      <c r="E56" s="120"/>
      <c r="F56" s="8" t="s">
        <v>41</v>
      </c>
      <c r="G56" s="122" t="s">
        <v>202</v>
      </c>
      <c r="H56" s="122"/>
    </row>
    <row r="57" spans="1:13" s="5" customFormat="1" ht="34.5" customHeight="1" x14ac:dyDescent="0.25">
      <c r="A57" s="119"/>
      <c r="B57" s="119"/>
      <c r="C57" s="196" t="s">
        <v>203</v>
      </c>
      <c r="D57" s="197"/>
      <c r="E57" s="197"/>
      <c r="F57" s="197"/>
      <c r="G57" s="197"/>
      <c r="H57" s="198"/>
    </row>
    <row r="58" spans="1:13" s="5" customFormat="1" ht="15.75" customHeight="1" x14ac:dyDescent="0.25">
      <c r="A58" s="119" t="s">
        <v>200</v>
      </c>
      <c r="B58" s="119"/>
      <c r="C58" s="120" t="s">
        <v>207</v>
      </c>
      <c r="D58" s="120"/>
      <c r="E58" s="120"/>
      <c r="F58" s="8" t="s">
        <v>41</v>
      </c>
      <c r="G58" s="122">
        <v>44786</v>
      </c>
      <c r="H58" s="122"/>
    </row>
    <row r="59" spans="1:13" s="5" customFormat="1" ht="71.25" customHeight="1" x14ac:dyDescent="0.25">
      <c r="A59" s="119"/>
      <c r="B59" s="119"/>
      <c r="C59" s="120" t="s">
        <v>208</v>
      </c>
      <c r="D59" s="120"/>
      <c r="E59" s="120"/>
      <c r="F59" s="33" t="s">
        <v>126</v>
      </c>
      <c r="G59" s="123">
        <v>44844</v>
      </c>
      <c r="H59" s="123"/>
    </row>
    <row r="60" spans="1:13" s="5" customFormat="1" ht="52.5" hidden="1" customHeight="1" x14ac:dyDescent="0.25">
      <c r="A60" s="119" t="s">
        <v>274</v>
      </c>
      <c r="B60" s="119"/>
      <c r="C60" s="120" t="s">
        <v>275</v>
      </c>
      <c r="D60" s="121"/>
      <c r="E60" s="121"/>
      <c r="F60" s="8" t="s">
        <v>41</v>
      </c>
      <c r="G60" s="122">
        <v>45588</v>
      </c>
      <c r="H60" s="122"/>
    </row>
    <row r="61" spans="1:13" s="5" customFormat="1" ht="131.25" hidden="1" customHeight="1" x14ac:dyDescent="0.25">
      <c r="A61" s="119"/>
      <c r="B61" s="119"/>
      <c r="C61" s="120" t="s">
        <v>276</v>
      </c>
      <c r="D61" s="120"/>
      <c r="E61" s="120"/>
      <c r="F61" s="33" t="s">
        <v>126</v>
      </c>
      <c r="G61" s="123">
        <v>45952</v>
      </c>
      <c r="H61" s="123"/>
    </row>
    <row r="62" spans="1:13" s="5" customFormat="1" ht="48.75" hidden="1" customHeight="1" x14ac:dyDescent="0.25">
      <c r="A62" s="115" t="s">
        <v>274</v>
      </c>
      <c r="B62" s="115"/>
      <c r="C62" s="115" t="s">
        <v>277</v>
      </c>
      <c r="D62" s="117"/>
      <c r="E62" s="117"/>
      <c r="F62" s="61" t="s">
        <v>41</v>
      </c>
      <c r="G62" s="116">
        <v>45596</v>
      </c>
      <c r="H62" s="116"/>
    </row>
    <row r="63" spans="1:13" s="5" customFormat="1" ht="200.25" hidden="1" customHeight="1" x14ac:dyDescent="0.25">
      <c r="A63" s="115"/>
      <c r="B63" s="115"/>
      <c r="C63" s="115" t="s">
        <v>278</v>
      </c>
      <c r="D63" s="115"/>
      <c r="E63" s="115"/>
      <c r="F63" s="62" t="s">
        <v>126</v>
      </c>
      <c r="G63" s="118">
        <v>45960</v>
      </c>
      <c r="H63" s="118"/>
    </row>
    <row r="64" spans="1:13" s="5" customFormat="1" ht="54.75" customHeight="1" x14ac:dyDescent="0.25">
      <c r="A64" s="115" t="s">
        <v>274</v>
      </c>
      <c r="B64" s="115"/>
      <c r="C64" s="115" t="s">
        <v>279</v>
      </c>
      <c r="D64" s="117"/>
      <c r="E64" s="117"/>
      <c r="F64" s="62" t="s">
        <v>299</v>
      </c>
      <c r="G64" s="116" t="s">
        <v>300</v>
      </c>
      <c r="H64" s="116"/>
    </row>
    <row r="65" spans="1:10" s="5" customFormat="1" ht="103.5" customHeight="1" x14ac:dyDescent="0.25">
      <c r="A65" s="115"/>
      <c r="B65" s="115"/>
      <c r="C65" s="169" t="s">
        <v>301</v>
      </c>
      <c r="D65" s="170"/>
      <c r="E65" s="170"/>
      <c r="F65" s="170"/>
      <c r="G65" s="170"/>
      <c r="H65" s="171"/>
    </row>
    <row r="66" spans="1:10" s="5" customFormat="1" ht="15.75" customHeight="1" x14ac:dyDescent="0.25">
      <c r="A66" s="119" t="s">
        <v>201</v>
      </c>
      <c r="B66" s="119"/>
      <c r="C66" s="120" t="s">
        <v>199</v>
      </c>
      <c r="D66" s="121"/>
      <c r="E66" s="121"/>
      <c r="F66" s="8" t="s">
        <v>41</v>
      </c>
      <c r="G66" s="122">
        <v>39503</v>
      </c>
      <c r="H66" s="122"/>
    </row>
    <row r="67" spans="1:10" s="5" customFormat="1" ht="33" customHeight="1" x14ac:dyDescent="0.25">
      <c r="A67" s="119"/>
      <c r="B67" s="119"/>
      <c r="C67" s="196" t="s">
        <v>204</v>
      </c>
      <c r="D67" s="197"/>
      <c r="E67" s="197"/>
      <c r="F67" s="197"/>
      <c r="G67" s="197"/>
      <c r="H67" s="198"/>
    </row>
    <row r="68" spans="1:10" s="5" customFormat="1" ht="15.75" customHeight="1" x14ac:dyDescent="0.25">
      <c r="A68" s="119" t="s">
        <v>201</v>
      </c>
      <c r="B68" s="119"/>
      <c r="C68" s="120" t="s">
        <v>209</v>
      </c>
      <c r="D68" s="121"/>
      <c r="E68" s="121"/>
      <c r="F68" s="8" t="s">
        <v>41</v>
      </c>
      <c r="G68" s="122">
        <v>44797</v>
      </c>
      <c r="H68" s="122"/>
    </row>
    <row r="69" spans="1:10" s="5" customFormat="1" ht="63.75" customHeight="1" x14ac:dyDescent="0.25">
      <c r="A69" s="119"/>
      <c r="B69" s="119"/>
      <c r="C69" s="120" t="s">
        <v>210</v>
      </c>
      <c r="D69" s="120"/>
      <c r="E69" s="120"/>
      <c r="F69" s="33" t="s">
        <v>126</v>
      </c>
      <c r="G69" s="123">
        <v>45140</v>
      </c>
      <c r="H69" s="123"/>
    </row>
    <row r="70" spans="1:10" s="5" customFormat="1" ht="32.25" customHeight="1" x14ac:dyDescent="0.25">
      <c r="A70" s="119" t="s">
        <v>179</v>
      </c>
      <c r="B70" s="119"/>
      <c r="C70" s="120" t="s">
        <v>221</v>
      </c>
      <c r="D70" s="121"/>
      <c r="E70" s="121"/>
      <c r="F70" s="8" t="s">
        <v>41</v>
      </c>
      <c r="G70" s="122">
        <v>45145</v>
      </c>
      <c r="H70" s="122"/>
    </row>
    <row r="71" spans="1:10" s="5" customFormat="1" ht="95.45" customHeight="1" x14ac:dyDescent="0.25">
      <c r="A71" s="119"/>
      <c r="B71" s="119"/>
      <c r="C71" s="120" t="s">
        <v>222</v>
      </c>
      <c r="D71" s="121"/>
      <c r="E71" s="121"/>
      <c r="F71" s="33" t="s">
        <v>126</v>
      </c>
      <c r="G71" s="122">
        <v>45500</v>
      </c>
      <c r="H71" s="122"/>
      <c r="J71" s="5" t="s">
        <v>223</v>
      </c>
    </row>
    <row r="72" spans="1:10" s="5" customFormat="1" ht="30.75" customHeight="1" x14ac:dyDescent="0.25">
      <c r="A72" s="119" t="s">
        <v>180</v>
      </c>
      <c r="B72" s="119"/>
      <c r="C72" s="120" t="s">
        <v>237</v>
      </c>
      <c r="D72" s="121"/>
      <c r="E72" s="121"/>
      <c r="F72" s="8" t="s">
        <v>41</v>
      </c>
      <c r="G72" s="122">
        <v>45461</v>
      </c>
      <c r="H72" s="122"/>
    </row>
    <row r="73" spans="1:10" s="5" customFormat="1" ht="111.95" customHeight="1" x14ac:dyDescent="0.25">
      <c r="A73" s="119"/>
      <c r="B73" s="119"/>
      <c r="C73" s="120" t="s">
        <v>238</v>
      </c>
      <c r="D73" s="121"/>
      <c r="E73" s="121"/>
      <c r="F73" s="33" t="s">
        <v>126</v>
      </c>
      <c r="G73" s="122">
        <v>45738</v>
      </c>
      <c r="H73" s="122"/>
    </row>
    <row r="74" spans="1:10" s="5" customFormat="1" ht="24.75" customHeight="1" x14ac:dyDescent="0.25">
      <c r="A74" s="90" t="s">
        <v>291</v>
      </c>
      <c r="B74" s="91"/>
      <c r="C74" s="82" t="s">
        <v>292</v>
      </c>
      <c r="D74" s="83"/>
      <c r="E74" s="83" t="s">
        <v>42</v>
      </c>
      <c r="F74" s="64" t="s">
        <v>41</v>
      </c>
      <c r="G74" s="84">
        <v>44772</v>
      </c>
      <c r="H74" s="84"/>
    </row>
    <row r="75" spans="1:10" s="5" customFormat="1" ht="50.25" customHeight="1" x14ac:dyDescent="0.25">
      <c r="A75" s="92"/>
      <c r="B75" s="93"/>
      <c r="C75" s="85" t="s">
        <v>293</v>
      </c>
      <c r="D75" s="86"/>
      <c r="E75" s="86"/>
      <c r="F75" s="86"/>
      <c r="G75" s="86"/>
      <c r="H75" s="87"/>
    </row>
    <row r="76" spans="1:10" s="5" customFormat="1" ht="24" customHeight="1" x14ac:dyDescent="0.25">
      <c r="A76" s="90" t="s">
        <v>290</v>
      </c>
      <c r="B76" s="91"/>
      <c r="C76" s="82" t="s">
        <v>294</v>
      </c>
      <c r="D76" s="83"/>
      <c r="E76" s="83" t="s">
        <v>42</v>
      </c>
      <c r="F76" s="64" t="s">
        <v>41</v>
      </c>
      <c r="G76" s="84">
        <v>44189</v>
      </c>
      <c r="H76" s="84"/>
    </row>
    <row r="77" spans="1:10" s="5" customFormat="1" ht="55.5" customHeight="1" x14ac:dyDescent="0.25">
      <c r="A77" s="92"/>
      <c r="B77" s="93"/>
      <c r="C77" s="85" t="s">
        <v>295</v>
      </c>
      <c r="D77" s="86"/>
      <c r="E77" s="87"/>
      <c r="F77" s="65" t="s">
        <v>126</v>
      </c>
      <c r="G77" s="88">
        <v>47109</v>
      </c>
      <c r="H77" s="89"/>
    </row>
    <row r="78" spans="1:10" s="5" customFormat="1" x14ac:dyDescent="0.25">
      <c r="A78" s="90" t="s">
        <v>240</v>
      </c>
      <c r="B78" s="91"/>
      <c r="C78" s="82" t="s">
        <v>303</v>
      </c>
      <c r="D78" s="83"/>
      <c r="E78" s="83" t="s">
        <v>42</v>
      </c>
      <c r="F78" s="64" t="s">
        <v>41</v>
      </c>
      <c r="G78" s="84">
        <v>45708</v>
      </c>
      <c r="H78" s="84"/>
    </row>
    <row r="79" spans="1:10" s="5" customFormat="1" x14ac:dyDescent="0.25">
      <c r="A79" s="92"/>
      <c r="B79" s="93"/>
      <c r="C79" s="172" t="s">
        <v>302</v>
      </c>
      <c r="D79" s="173"/>
      <c r="E79" s="173"/>
      <c r="F79" s="173"/>
      <c r="G79" s="173"/>
      <c r="H79" s="174"/>
    </row>
    <row r="80" spans="1:10" s="5" customFormat="1" x14ac:dyDescent="0.25">
      <c r="A80" s="90" t="s">
        <v>255</v>
      </c>
      <c r="B80" s="91"/>
      <c r="C80" s="82" t="s">
        <v>304</v>
      </c>
      <c r="D80" s="83"/>
      <c r="E80" s="83" t="s">
        <v>42</v>
      </c>
      <c r="F80" s="64" t="s">
        <v>41</v>
      </c>
      <c r="G80" s="84">
        <v>45699</v>
      </c>
      <c r="H80" s="84"/>
    </row>
    <row r="81" spans="1:14" s="5" customFormat="1" x14ac:dyDescent="0.25">
      <c r="A81" s="92"/>
      <c r="B81" s="93"/>
      <c r="C81" s="172" t="s">
        <v>302</v>
      </c>
      <c r="D81" s="173"/>
      <c r="E81" s="173"/>
      <c r="F81" s="173"/>
      <c r="G81" s="173"/>
      <c r="H81" s="174"/>
    </row>
    <row r="82" spans="1:14" x14ac:dyDescent="0.25">
      <c r="A82" s="188" t="s">
        <v>44</v>
      </c>
      <c r="B82" s="188"/>
      <c r="C82" s="188"/>
      <c r="D82" s="188"/>
      <c r="E82" s="188"/>
      <c r="F82" s="188"/>
      <c r="G82" s="188"/>
      <c r="H82" s="188"/>
    </row>
    <row r="83" spans="1:14" x14ac:dyDescent="0.25">
      <c r="A83" s="159" t="s">
        <v>93</v>
      </c>
      <c r="B83" s="159"/>
      <c r="C83" s="159"/>
      <c r="D83" s="162">
        <f>E43</f>
        <v>80082.679999999993</v>
      </c>
      <c r="E83" s="162"/>
      <c r="F83" s="162"/>
      <c r="G83" s="162"/>
      <c r="H83" s="162"/>
    </row>
    <row r="84" spans="1:14" x14ac:dyDescent="0.25">
      <c r="A84" s="119" t="s">
        <v>45</v>
      </c>
      <c r="B84" s="162"/>
      <c r="C84" s="162"/>
      <c r="D84" s="162" t="s">
        <v>285</v>
      </c>
      <c r="E84" s="162"/>
      <c r="F84" s="162"/>
      <c r="G84" s="162"/>
      <c r="H84" s="162"/>
      <c r="I84" s="36"/>
    </row>
    <row r="85" spans="1:14" ht="86.25" customHeight="1" x14ac:dyDescent="0.25">
      <c r="A85" s="160" t="s">
        <v>46</v>
      </c>
      <c r="B85" s="187"/>
      <c r="C85" s="161"/>
      <c r="D85" s="183" t="s">
        <v>280</v>
      </c>
      <c r="E85" s="186"/>
      <c r="F85" s="186"/>
      <c r="G85" s="186"/>
      <c r="H85" s="186"/>
    </row>
    <row r="86" spans="1:14" ht="15.75" customHeight="1" x14ac:dyDescent="0.25">
      <c r="A86" s="119" t="s">
        <v>91</v>
      </c>
      <c r="B86" s="119"/>
      <c r="C86" s="119"/>
      <c r="D86" s="163" t="s">
        <v>263</v>
      </c>
      <c r="E86" s="163"/>
      <c r="F86" s="163"/>
      <c r="G86" s="163"/>
      <c r="H86" s="164"/>
    </row>
    <row r="87" spans="1:14" ht="15.75" customHeight="1" x14ac:dyDescent="0.25">
      <c r="A87" s="119"/>
      <c r="B87" s="119"/>
      <c r="C87" s="119"/>
      <c r="D87" s="97" t="s">
        <v>281</v>
      </c>
      <c r="E87" s="97"/>
      <c r="F87" s="97"/>
      <c r="G87" s="97"/>
      <c r="H87" s="98"/>
    </row>
    <row r="88" spans="1:14" ht="15.75" customHeight="1" x14ac:dyDescent="0.25">
      <c r="A88" s="119"/>
      <c r="B88" s="119"/>
      <c r="C88" s="119"/>
      <c r="D88" s="97" t="s">
        <v>236</v>
      </c>
      <c r="E88" s="97"/>
      <c r="F88" s="97"/>
      <c r="G88" s="97"/>
      <c r="H88" s="98"/>
    </row>
    <row r="89" spans="1:14" ht="15.75" customHeight="1" x14ac:dyDescent="0.25">
      <c r="A89" s="119"/>
      <c r="B89" s="119"/>
      <c r="C89" s="119"/>
      <c r="D89" s="97" t="s">
        <v>232</v>
      </c>
      <c r="E89" s="97"/>
      <c r="F89" s="97"/>
      <c r="G89" s="97"/>
      <c r="H89" s="97"/>
    </row>
    <row r="90" spans="1:14" ht="50.25" customHeight="1" x14ac:dyDescent="0.25">
      <c r="A90" s="150" t="s">
        <v>43</v>
      </c>
      <c r="B90" s="150"/>
      <c r="C90" s="150"/>
      <c r="D90" s="119" t="s">
        <v>305</v>
      </c>
      <c r="E90" s="119"/>
      <c r="F90" s="119"/>
      <c r="G90" s="119"/>
      <c r="H90" s="119"/>
      <c r="J90" s="35"/>
      <c r="K90" s="36"/>
      <c r="N90" s="36"/>
    </row>
    <row r="91" spans="1:14" ht="15.75" customHeight="1" x14ac:dyDescent="0.25">
      <c r="A91" s="150" t="s">
        <v>89</v>
      </c>
      <c r="B91" s="150"/>
      <c r="C91" s="150"/>
      <c r="D91" s="185" t="s">
        <v>181</v>
      </c>
      <c r="E91" s="185"/>
      <c r="F91" s="185"/>
      <c r="G91" s="185"/>
      <c r="H91" s="185"/>
      <c r="N91" s="36"/>
    </row>
    <row r="92" spans="1:14" ht="15.75" customHeight="1" x14ac:dyDescent="0.25">
      <c r="A92" s="150" t="s">
        <v>90</v>
      </c>
      <c r="B92" s="150"/>
      <c r="C92" s="150"/>
      <c r="D92" s="159" t="s">
        <v>24</v>
      </c>
      <c r="E92" s="159"/>
      <c r="F92" s="159"/>
      <c r="G92" s="159"/>
      <c r="H92" s="159"/>
      <c r="J92" s="13"/>
      <c r="K92" s="13"/>
    </row>
    <row r="93" spans="1:14" ht="15" hidden="1" customHeight="1" x14ac:dyDescent="0.25">
      <c r="A93" s="150" t="s">
        <v>74</v>
      </c>
      <c r="B93" s="150"/>
      <c r="C93" s="150"/>
      <c r="D93" s="119" t="s">
        <v>153</v>
      </c>
      <c r="E93" s="159"/>
      <c r="F93" s="159"/>
      <c r="G93" s="159"/>
      <c r="H93" s="159"/>
    </row>
    <row r="94" spans="1:14" x14ac:dyDescent="0.25">
      <c r="A94" s="159" t="s">
        <v>154</v>
      </c>
      <c r="B94" s="159"/>
      <c r="C94" s="159"/>
      <c r="D94" s="159" t="s">
        <v>29</v>
      </c>
      <c r="E94" s="159"/>
      <c r="F94" s="159"/>
      <c r="G94" s="159"/>
      <c r="H94" s="159"/>
      <c r="I94" s="46"/>
      <c r="J94" s="46"/>
      <c r="K94" s="46"/>
      <c r="L94" s="46"/>
      <c r="M94" s="46"/>
      <c r="N94" s="46"/>
    </row>
    <row r="95" spans="1:14" ht="15.75" customHeight="1" x14ac:dyDescent="0.25">
      <c r="A95" s="150" t="s">
        <v>88</v>
      </c>
      <c r="B95" s="150"/>
      <c r="C95" s="150"/>
      <c r="D95" s="119" t="str">
        <f ca="1">(IF(G119&gt;95%,"Nothing",IF(G119&gt;0%,"Cement, Aggregate, Steel, etc",IF(G119=0%,"Work not yet Started"))))</f>
        <v>Cement, Aggregate, Steel, etc</v>
      </c>
      <c r="E95" s="119"/>
      <c r="F95" s="119"/>
      <c r="G95" s="119"/>
      <c r="H95" s="119"/>
      <c r="J95" s="13"/>
    </row>
    <row r="96" spans="1:14" ht="33.75" customHeight="1" thickBot="1" x14ac:dyDescent="0.3">
      <c r="A96" s="184" t="s">
        <v>122</v>
      </c>
      <c r="B96" s="184"/>
      <c r="C96" s="184"/>
      <c r="D96" s="183" t="str">
        <f ca="1">(IF(D95="Nothing","Yes",IF(D95="Cement, Aggregate, Steel, etc","Under Construction",IF(D95="Work not yet Started","Work not yet Started"))))</f>
        <v>Under Construction</v>
      </c>
      <c r="E96" s="183"/>
      <c r="F96" s="183" t="str">
        <f ca="1">(IF(D95="Nothing","Yes",IF(D95="Cement, Aggregate, Steel, etc","Under Construction",IF(D95="Work not yet Started","Work not yet Started"))))</f>
        <v>Under Construction</v>
      </c>
      <c r="G96" s="183"/>
      <c r="H96" s="183"/>
    </row>
    <row r="97" spans="1:10" ht="15.75" customHeight="1" x14ac:dyDescent="0.25">
      <c r="A97" s="208" t="s">
        <v>145</v>
      </c>
      <c r="B97" s="209"/>
      <c r="C97" s="209" t="str">
        <f>D86</f>
        <v>Building no.1 &amp; 3 = 1B + G/St + 2P + 1st to 24th Floor</v>
      </c>
      <c r="D97" s="209"/>
      <c r="E97" s="209"/>
      <c r="F97" s="209"/>
      <c r="G97" s="209"/>
      <c r="H97" s="210"/>
      <c r="I97" s="39"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completed","0")))))))))))&amp;(IF(#REF!=(D98+F98+H98),", RCC Slab",IF(#REF!&gt;0,", RCC upto "&amp;#REF!&amp;" Slab",""))&amp;(IF(#REF!=H98,", Brickwork",IF(#REF!&gt;0,", Brickwork upto "&amp;#REF!&amp;" Floor",""))&amp;(IF(#REF!=H98,", Internal Plaster",IF(#REF!&gt;0,", Internal Plaster upto "&amp;#REF!&amp;" Floor",""))&amp;(IF(#REF!=H98,", External Plaster",IF(#REF!&gt;0,", External Plaster upto "&amp;#REF!&amp;" Floor",""))&amp;(IF(#REF!=H98,", Flooring",IF(#REF!&gt;0,", Flooring upto "&amp;#REF!&amp;" Floor",""))&amp;(IF(#REF!=H98,", Painting",IF(#REF!&gt;0,", Painting upto "&amp;#REF!&amp;" Floor",""))&amp;(IF(#REF!&gt;0,", Finishing upto "&amp;#REF!&amp;" Floor","")&amp;(IF(#REF!&gt;0.5," Completed",""))))))))))))))</f>
        <v>#REF!</v>
      </c>
      <c r="J97" s="14"/>
    </row>
    <row r="98" spans="1:10" x14ac:dyDescent="0.25">
      <c r="A98" s="44" t="s">
        <v>147</v>
      </c>
      <c r="B98" s="48">
        <v>1</v>
      </c>
      <c r="C98" s="48" t="s">
        <v>71</v>
      </c>
      <c r="D98" s="48">
        <v>1</v>
      </c>
      <c r="E98" s="48" t="s">
        <v>70</v>
      </c>
      <c r="F98" s="48">
        <v>2</v>
      </c>
      <c r="G98" s="48" t="s">
        <v>82</v>
      </c>
      <c r="H98" s="45">
        <f ca="1">--TRIM(RIGHT(SUBSTITUTE(LEFT(C97,_xlfn.AGGREGATE(16,6,FIND({0,1,2,3,4,5,6,7,8,9},C97,ROW(INDIRECT("1:"&amp;LEN(C97)))),1))," ",REPT(" ",LEN(C97))),LEN(C97)))</f>
        <v>24</v>
      </c>
      <c r="I98" s="13"/>
      <c r="J98" s="15"/>
    </row>
    <row r="99" spans="1:10" x14ac:dyDescent="0.25">
      <c r="A99" s="104" t="s">
        <v>92</v>
      </c>
      <c r="B99" s="105"/>
      <c r="C99" s="106" t="str">
        <f>I99</f>
        <v>All work Completed. OC Received.</v>
      </c>
      <c r="D99" s="106"/>
      <c r="E99" s="106"/>
      <c r="F99" s="106"/>
      <c r="G99" s="106"/>
      <c r="H99" s="107"/>
      <c r="I99" s="13" t="s">
        <v>109</v>
      </c>
      <c r="J99" s="15"/>
    </row>
    <row r="100" spans="1:10" s="68" customFormat="1" ht="27.75" customHeight="1" thickBot="1" x14ac:dyDescent="0.3">
      <c r="A100" s="221" t="s">
        <v>87</v>
      </c>
      <c r="B100" s="215"/>
      <c r="C100" s="216">
        <v>1</v>
      </c>
      <c r="D100" s="222"/>
      <c r="E100" s="215" t="s">
        <v>86</v>
      </c>
      <c r="F100" s="215"/>
      <c r="G100" s="216">
        <v>1</v>
      </c>
      <c r="H100" s="217"/>
      <c r="I100" s="66"/>
      <c r="J100" s="67"/>
    </row>
    <row r="101" spans="1:10" ht="15.75" customHeight="1" x14ac:dyDescent="0.25">
      <c r="A101" s="99" t="s">
        <v>145</v>
      </c>
      <c r="B101" s="100"/>
      <c r="C101" s="101" t="str">
        <f>D87</f>
        <v>Building no.2 = 1B + G + 2P + Stilt Floor + 1st to 46th Floor</v>
      </c>
      <c r="D101" s="102"/>
      <c r="E101" s="102"/>
      <c r="F101" s="102"/>
      <c r="G101" s="102"/>
      <c r="H101" s="103"/>
      <c r="I101" s="39" t="str">
        <f ca="1">(IF(E105&gt;99%,"All work completed. Please provide OC.",IF(E105&gt;89.8%,"Plinth, RCC, Brick, Plaster, Flooring, Painting work Completed. Finishing work is in process.",IF(E105&lt;94%,(IF(C105=0,"Work not yet Started.",IF(D105=25%,"Piling work in process",IF(D105=50%,"Excavation work in process",IF(D105=100%,"Excavation work Completed. ","0")))&amp;(IF(C106=0%,"",IF(C106=J107,"Footing work is process",IF(C106=J108,"Footing work Completed",IF(C106=J109,"1st Basement Completed",IF(C106=J110,"1st &amp; 2nd Basement Completed",IF(C106=J111,"1st to 3rd Basement Completed",IF(C106=J112,"1st to 4th Basement Completed",IF(C106=J113,"Plinth work is process",IF(C106=J114,"Plinth work completed","0")))))))))))&amp;(IF(C107=(D102+F102+H102),", RCC Slab",IF(C107&gt;0,", RCC upto "&amp;C107&amp;" Slab",""))&amp;(IF(C108=H102,", Brickwork",IF(C108&gt;0,", Brickwork upto "&amp;C108&amp;" Floor",""))&amp;(IF(C109=H102,", Internal Plaster",IF(C109&gt;0,", Internal Plaster upto "&amp;C109&amp;" Floor",""))&amp;(IF(C110=H102,", External Plaster",IF(C110&gt;0,", External Plaster upto "&amp;C110&amp;" Floor",""))&amp;(IF(C111=H102,", Flooring",IF(C111&gt;0,", Flooring upto "&amp;C111&amp;" Floor",""))&amp;(IF(C112=H102,", Painting",IF(C112&gt;0,", Painting upto "&amp;C112&amp;" Floor",""))&amp;(IF(C113&gt;0,", Finishing upto "&amp;C113&amp;" Floor","")&amp;(IF(C107&gt;0.5," Completed",""))))))))))))))</f>
        <v>Excavation work Completed. Plinth work completed, RCC Slab, Brickwork, Internal Plaster, External Plaster, Flooring upto 28 Floor, Painting upto 25 Floor Completed</v>
      </c>
      <c r="J101" s="14"/>
    </row>
    <row r="102" spans="1:10" x14ac:dyDescent="0.25">
      <c r="A102" s="44" t="s">
        <v>147</v>
      </c>
      <c r="B102" s="48">
        <v>1</v>
      </c>
      <c r="C102" s="48" t="s">
        <v>71</v>
      </c>
      <c r="D102" s="48">
        <v>1</v>
      </c>
      <c r="E102" s="48" t="s">
        <v>70</v>
      </c>
      <c r="F102" s="48">
        <v>3</v>
      </c>
      <c r="G102" s="48" t="s">
        <v>82</v>
      </c>
      <c r="H102" s="45">
        <f ca="1">--TRIM(RIGHT(SUBSTITUTE(LEFT(C101,_xlfn.AGGREGATE(16,6,FIND({0,1,2,3,4,5,6,7,8,9},C101,ROW(INDIRECT("1:"&amp;LEN(C101)))),1))," ",REPT(" ",LEN(C101))),LEN(C101)))</f>
        <v>46</v>
      </c>
      <c r="I102" s="13"/>
      <c r="J102" s="15"/>
    </row>
    <row r="103" spans="1:10" ht="48.75" customHeight="1" x14ac:dyDescent="0.25">
      <c r="A103" s="104" t="s">
        <v>92</v>
      </c>
      <c r="B103" s="105"/>
      <c r="C103" s="106" t="str">
        <f ca="1">I101</f>
        <v>Excavation work Completed. Plinth work completed, RCC Slab, Brickwork, Internal Plaster, External Plaster, Flooring upto 28 Floor, Painting upto 25 Floor Completed</v>
      </c>
      <c r="D103" s="106"/>
      <c r="E103" s="106"/>
      <c r="F103" s="106"/>
      <c r="G103" s="106"/>
      <c r="H103" s="107"/>
      <c r="I103" s="13" t="s">
        <v>109</v>
      </c>
      <c r="J103" s="15"/>
    </row>
    <row r="104" spans="1:10" ht="15.75" customHeight="1" x14ac:dyDescent="0.25">
      <c r="A104" s="108" t="s">
        <v>47</v>
      </c>
      <c r="B104" s="109"/>
      <c r="C104" s="49" t="s">
        <v>144</v>
      </c>
      <c r="D104" s="49" t="s">
        <v>85</v>
      </c>
      <c r="E104" s="109" t="s">
        <v>87</v>
      </c>
      <c r="F104" s="109"/>
      <c r="G104" s="109" t="s">
        <v>86</v>
      </c>
      <c r="H104" s="110"/>
      <c r="I104" s="34" t="s">
        <v>146</v>
      </c>
      <c r="J104" s="16">
        <f ca="1">H102*25%</f>
        <v>11.5</v>
      </c>
    </row>
    <row r="105" spans="1:10" x14ac:dyDescent="0.25">
      <c r="A105" s="108" t="s">
        <v>133</v>
      </c>
      <c r="B105" s="109"/>
      <c r="C105" s="50">
        <f ca="1">J106</f>
        <v>46</v>
      </c>
      <c r="D105" s="51">
        <f ca="1">((100/H102)*C105)/100</f>
        <v>1</v>
      </c>
      <c r="E105" s="111">
        <f ca="1">(((C106/H102*10)+(40/(D102+F102+H102)*C107)+(7.5/(H102)*C108)+(7.5/(H102)*C109)+(10/H102*C110)+(10/H102*C111)+(5/H102*C112)+(5/H102*C113)+(5/H102*C114))/100)</f>
        <v>0.83804347826086956</v>
      </c>
      <c r="F105" s="111"/>
      <c r="G105" s="111">
        <f ca="1">((((C105/H102)*20)+((C106/H102)*25)+(30/(H102+F102+D102)*C107)+(5/H102*C108)+(5/H102*C109)+(5/H102*C110)+(5/H102*C111)+(0/H102*C112)+(0/H102*C113)+(5/H102*C114))/100)</f>
        <v>0.93043478260869561</v>
      </c>
      <c r="H105" s="113"/>
      <c r="I105" s="34" t="s">
        <v>104</v>
      </c>
      <c r="J105" s="38">
        <f ca="1">H102*50%</f>
        <v>23</v>
      </c>
    </row>
    <row r="106" spans="1:10" x14ac:dyDescent="0.25">
      <c r="A106" s="108" t="s">
        <v>48</v>
      </c>
      <c r="B106" s="109"/>
      <c r="C106" s="52">
        <f ca="1">J114</f>
        <v>46</v>
      </c>
      <c r="D106" s="51">
        <f ca="1">((100/H102)*C106)/100</f>
        <v>1</v>
      </c>
      <c r="E106" s="111"/>
      <c r="F106" s="111"/>
      <c r="G106" s="111"/>
      <c r="H106" s="113"/>
      <c r="I106" s="34" t="s">
        <v>105</v>
      </c>
      <c r="J106" s="38">
        <f ca="1">H102</f>
        <v>46</v>
      </c>
    </row>
    <row r="107" spans="1:10" ht="15.75" customHeight="1" x14ac:dyDescent="0.25">
      <c r="A107" s="108" t="s">
        <v>134</v>
      </c>
      <c r="B107" s="109"/>
      <c r="C107" s="52">
        <v>50</v>
      </c>
      <c r="D107" s="51">
        <f ca="1">((100/(D102+F102+H102))*C107)/100</f>
        <v>1</v>
      </c>
      <c r="E107" s="111"/>
      <c r="F107" s="111"/>
      <c r="G107" s="111"/>
      <c r="H107" s="113"/>
      <c r="I107" s="34" t="s">
        <v>106</v>
      </c>
      <c r="J107" s="41">
        <f ca="1">(IF(B102&gt;1,(H102/(B102+2)),H102/4))</f>
        <v>11.5</v>
      </c>
    </row>
    <row r="108" spans="1:10" ht="15.75" customHeight="1" x14ac:dyDescent="0.25">
      <c r="A108" s="108" t="s">
        <v>141</v>
      </c>
      <c r="B108" s="109" t="s">
        <v>135</v>
      </c>
      <c r="C108" s="52">
        <f>C107-3-D102</f>
        <v>46</v>
      </c>
      <c r="D108" s="51">
        <f ca="1">((100/H102)*C108)/100</f>
        <v>1</v>
      </c>
      <c r="E108" s="111"/>
      <c r="F108" s="111"/>
      <c r="G108" s="111"/>
      <c r="H108" s="113"/>
      <c r="I108" s="34" t="s">
        <v>107</v>
      </c>
      <c r="J108" s="41">
        <f ca="1">(IF(B102&gt;1,(H102/(B102+2)+J107),H102/4+J107))</f>
        <v>23</v>
      </c>
    </row>
    <row r="109" spans="1:10" ht="15.75" customHeight="1" x14ac:dyDescent="0.25">
      <c r="A109" s="108" t="s">
        <v>142</v>
      </c>
      <c r="B109" s="109" t="s">
        <v>135</v>
      </c>
      <c r="C109" s="52">
        <v>46</v>
      </c>
      <c r="D109" s="51">
        <f ca="1">((100/H102)*C109)/100</f>
        <v>1</v>
      </c>
      <c r="E109" s="111"/>
      <c r="F109" s="111"/>
      <c r="G109" s="111"/>
      <c r="H109" s="113"/>
      <c r="I109" s="34" t="s">
        <v>151</v>
      </c>
      <c r="J109" s="41">
        <f>(IF(B102&gt;1,(H102/(B102+2)+J108),0))</f>
        <v>0</v>
      </c>
    </row>
    <row r="110" spans="1:10" ht="15" customHeight="1" x14ac:dyDescent="0.25">
      <c r="A110" s="108" t="s">
        <v>140</v>
      </c>
      <c r="B110" s="109" t="s">
        <v>137</v>
      </c>
      <c r="C110" s="52">
        <v>46</v>
      </c>
      <c r="D110" s="51">
        <f ca="1">((100/(H102))*C110)/100</f>
        <v>1</v>
      </c>
      <c r="E110" s="111"/>
      <c r="F110" s="111"/>
      <c r="G110" s="111"/>
      <c r="H110" s="113"/>
      <c r="I110" s="34" t="s">
        <v>148</v>
      </c>
      <c r="J110" s="41">
        <f>(IF(B102&gt;2,(H102/(B102+2)+J109),0))</f>
        <v>0</v>
      </c>
    </row>
    <row r="111" spans="1:10" ht="15.75" customHeight="1" x14ac:dyDescent="0.25">
      <c r="A111" s="108" t="s">
        <v>136</v>
      </c>
      <c r="B111" s="109" t="s">
        <v>136</v>
      </c>
      <c r="C111" s="50">
        <v>28</v>
      </c>
      <c r="D111" s="51">
        <f ca="1">((100/H102)*C111)/100</f>
        <v>0.60869565217391297</v>
      </c>
      <c r="E111" s="111"/>
      <c r="F111" s="111"/>
      <c r="G111" s="111"/>
      <c r="H111" s="113"/>
      <c r="I111" s="34" t="s">
        <v>149</v>
      </c>
      <c r="J111" s="42">
        <f>(IF(B102&gt;3,(H102/(B102+2)+J110),0))</f>
        <v>0</v>
      </c>
    </row>
    <row r="112" spans="1:10" ht="15.75" customHeight="1" x14ac:dyDescent="0.25">
      <c r="A112" s="108" t="s">
        <v>143</v>
      </c>
      <c r="B112" s="109"/>
      <c r="C112" s="50">
        <v>25</v>
      </c>
      <c r="D112" s="51">
        <f ca="1">((100/H102)*C112)/100</f>
        <v>0.54347826086956519</v>
      </c>
      <c r="E112" s="111"/>
      <c r="F112" s="111"/>
      <c r="G112" s="111"/>
      <c r="H112" s="113"/>
      <c r="I112" s="34" t="s">
        <v>150</v>
      </c>
      <c r="J112" s="41">
        <f>(IF(B102&gt;4,(H102/(B102+2)+J111),0))</f>
        <v>0</v>
      </c>
    </row>
    <row r="113" spans="1:10" ht="15.75" customHeight="1" x14ac:dyDescent="0.25">
      <c r="A113" s="108" t="s">
        <v>138</v>
      </c>
      <c r="B113" s="109" t="s">
        <v>138</v>
      </c>
      <c r="C113" s="50">
        <v>0</v>
      </c>
      <c r="D113" s="51">
        <f ca="1">((100/(H102))*C113)/100</f>
        <v>0</v>
      </c>
      <c r="E113" s="111"/>
      <c r="F113" s="111"/>
      <c r="G113" s="111"/>
      <c r="H113" s="113"/>
      <c r="I113" s="34" t="s">
        <v>152</v>
      </c>
      <c r="J113" s="41">
        <f ca="1">(IF(B102=1,(H102/(B102+3)+J108),IF(B102=0,(H102/4+J108),IF(B102&gt;1,0))))</f>
        <v>34.5</v>
      </c>
    </row>
    <row r="114" spans="1:10" ht="16.5" thickBot="1" x14ac:dyDescent="0.3">
      <c r="A114" s="165" t="s">
        <v>139</v>
      </c>
      <c r="B114" s="166"/>
      <c r="C114" s="53">
        <v>0</v>
      </c>
      <c r="D114" s="54">
        <f ca="1">((100/(H102))*C114)/100</f>
        <v>0</v>
      </c>
      <c r="E114" s="112"/>
      <c r="F114" s="112"/>
      <c r="G114" s="112"/>
      <c r="H114" s="114"/>
      <c r="I114" s="40" t="s">
        <v>108</v>
      </c>
      <c r="J114" s="43">
        <f ca="1">(IF(B102&gt;1.5,(H102/(B102+2)+J108+MAX(0,J109-J108)+MAX(0,J110-J109)+MAX(0,J111-J110)+MAX(0,J112-J111)+MAX(0,J113-J112)),IF(B102=1,(H102/(B102+3)+J113),IF(B102=0,H102/4+J113))))</f>
        <v>46</v>
      </c>
    </row>
    <row r="115" spans="1:10" ht="15.75" customHeight="1" x14ac:dyDescent="0.25">
      <c r="A115" s="99" t="s">
        <v>145</v>
      </c>
      <c r="B115" s="100"/>
      <c r="C115" s="154" t="str">
        <f>D88</f>
        <v>Building no.4 = 1B + G + 2P + Stilt Floor + 1st to 46th Floor</v>
      </c>
      <c r="D115" s="155"/>
      <c r="E115" s="155"/>
      <c r="F115" s="155"/>
      <c r="G115" s="155"/>
      <c r="H115" s="156"/>
      <c r="I115" s="39" t="str">
        <f ca="1">(IF(E119&gt;99%,"All work completed. Please provide OC.",IF(E119&gt;89.8%,"Plinth, RCC, Brick, Plaster, Flooring, Painting work Completed. Finishing work is in process.",IF(E119&lt;94%,(IF(C119=0,"Work not yet Started.",IF(D119=25%,"Piling work in process",IF(D119=50%,"Excavation work in process",IF(D119=100%,"Excavation work Completed. ","0")))&amp;(IF(C120=0%,"",IF(C120=J121,"Footing work is process",IF(C120=J122,"Footing work Completed",IF(C120=J123,"1st Basement Completed",IF(C120=J124,"1st &amp; 2nd Basement Completed",IF(C120=J125,"1st to 3rd Basement Completed",IF(C120=J126,"1st to 4th Basement Completed",IF(C120=J127,"Plinth work is process",IF(C120=J128,"Plinth work completed","0")))))))))))&amp;(IF(C121=(D116+F116+H116),", RCC Slab",IF(C121&gt;0,", RCC upto "&amp;C121&amp;" Slab",""))&amp;(IF(C122=H116,", Brickwork",IF(C122&gt;0,", Brickwork upto "&amp;C122&amp;" Floor",""))&amp;(IF(C123=H116,", Internal Plaster",IF(C123&gt;0,", Internal Plaster upto "&amp;C123&amp;" Floor",""))&amp;(IF(C124=H116,", External Plaster",IF(C124&gt;0,", External Plaster upto "&amp;C124&amp;" Floor",""))&amp;(IF(C125=H116,", Flooring",IF(C125&gt;0,", Flooring upto "&amp;C125&amp;" Floor",""))&amp;(IF(C126=H116,", Painting",IF(C126&gt;0,", Painting upto "&amp;C126&amp;" Floor",""))&amp;(IF(C127&gt;0,", Finishing upto "&amp;C127&amp;" Floor","")&amp;(IF(C121&gt;0.5," Completed",""))))))))))))))</f>
        <v>Excavation work Completed. Plinth work completed, RCC Slab, Brickwork, Internal Plaster, External Plaster, Flooring, Painting upto 42 Floor Completed</v>
      </c>
      <c r="J115" s="14"/>
    </row>
    <row r="116" spans="1:10" x14ac:dyDescent="0.25">
      <c r="A116" s="44" t="s">
        <v>147</v>
      </c>
      <c r="B116" s="48">
        <v>1</v>
      </c>
      <c r="C116" s="48" t="s">
        <v>71</v>
      </c>
      <c r="D116" s="48">
        <v>1</v>
      </c>
      <c r="E116" s="48" t="s">
        <v>70</v>
      </c>
      <c r="F116" s="48">
        <v>3</v>
      </c>
      <c r="G116" s="48" t="s">
        <v>82</v>
      </c>
      <c r="H116" s="45">
        <f ca="1">--TRIM(RIGHT(SUBSTITUTE(LEFT(C115,_xlfn.AGGREGATE(16,6,FIND({0,1,2,3,4,5,6,7,8,9},C115,ROW(INDIRECT("1:"&amp;LEN(C115)))),1))," ",REPT(" ",LEN(C115))),LEN(C115)))</f>
        <v>46</v>
      </c>
      <c r="I116" s="13"/>
      <c r="J116" s="15"/>
    </row>
    <row r="117" spans="1:10" ht="37.5" customHeight="1" x14ac:dyDescent="0.25">
      <c r="A117" s="104" t="s">
        <v>92</v>
      </c>
      <c r="B117" s="105"/>
      <c r="C117" s="106" t="str">
        <f ca="1">I115</f>
        <v>Excavation work Completed. Plinth work completed, RCC Slab, Brickwork, Internal Plaster, External Plaster, Flooring, Painting upto 42 Floor Completed</v>
      </c>
      <c r="D117" s="106"/>
      <c r="E117" s="106"/>
      <c r="F117" s="106"/>
      <c r="G117" s="106"/>
      <c r="H117" s="107"/>
      <c r="I117" s="13" t="s">
        <v>109</v>
      </c>
      <c r="J117" s="15"/>
    </row>
    <row r="118" spans="1:10" ht="15.75" customHeight="1" x14ac:dyDescent="0.25">
      <c r="A118" s="108" t="s">
        <v>47</v>
      </c>
      <c r="B118" s="109"/>
      <c r="C118" s="49" t="s">
        <v>144</v>
      </c>
      <c r="D118" s="49" t="s">
        <v>85</v>
      </c>
      <c r="E118" s="109" t="s">
        <v>87</v>
      </c>
      <c r="F118" s="109"/>
      <c r="G118" s="109" t="s">
        <v>86</v>
      </c>
      <c r="H118" s="110"/>
      <c r="I118" s="34" t="s">
        <v>146</v>
      </c>
      <c r="J118" s="16">
        <f ca="1">H116*25%</f>
        <v>11.5</v>
      </c>
    </row>
    <row r="119" spans="1:10" x14ac:dyDescent="0.25">
      <c r="A119" s="108" t="s">
        <v>133</v>
      </c>
      <c r="B119" s="109"/>
      <c r="C119" s="50">
        <f ca="1">J120</f>
        <v>46</v>
      </c>
      <c r="D119" s="51">
        <f ca="1">((100/H116)*C119)/100</f>
        <v>1</v>
      </c>
      <c r="E119" s="111">
        <f ca="1">(((C120/H116*10)+(40/(D116+F116+H116)*C121)+(7.5/(H116)*C122)+(7.5/(H116)*C123)+(10/H116*C124)+(10/H116*C125)+(5/H116*C126)+(5/H116*C127)+(5/H116*C128))/100)</f>
        <v>0.89565217391304341</v>
      </c>
      <c r="F119" s="111"/>
      <c r="G119" s="111">
        <f ca="1">((((C119/H116)*20)+((C120/H116)*25)+(30/(H116+F116+D116)*C121)+(5/H116*C122)+(5/H116*C123)+(5/H116*C124)+(5/H116*C125)+(0/H116*C126)+(0/H116*C127)+(5/H116*C128))/100)</f>
        <v>0.95</v>
      </c>
      <c r="H119" s="113"/>
      <c r="I119" s="34" t="s">
        <v>104</v>
      </c>
      <c r="J119" s="38">
        <f ca="1">H116*50%</f>
        <v>23</v>
      </c>
    </row>
    <row r="120" spans="1:10" x14ac:dyDescent="0.25">
      <c r="A120" s="108" t="s">
        <v>48</v>
      </c>
      <c r="B120" s="109"/>
      <c r="C120" s="52">
        <f ca="1">J128</f>
        <v>46</v>
      </c>
      <c r="D120" s="51">
        <f ca="1">((100/H116)*C120)/100</f>
        <v>1</v>
      </c>
      <c r="E120" s="111"/>
      <c r="F120" s="111"/>
      <c r="G120" s="111"/>
      <c r="H120" s="113"/>
      <c r="I120" s="34" t="s">
        <v>105</v>
      </c>
      <c r="J120" s="38">
        <f ca="1">H116</f>
        <v>46</v>
      </c>
    </row>
    <row r="121" spans="1:10" ht="15.75" customHeight="1" x14ac:dyDescent="0.25">
      <c r="A121" s="108" t="s">
        <v>134</v>
      </c>
      <c r="B121" s="109"/>
      <c r="C121" s="52">
        <v>50</v>
      </c>
      <c r="D121" s="51">
        <f ca="1">((100/(D116+F116+H116))*C121)/100</f>
        <v>1</v>
      </c>
      <c r="E121" s="111"/>
      <c r="F121" s="111"/>
      <c r="G121" s="111"/>
      <c r="H121" s="113"/>
      <c r="I121" s="34" t="s">
        <v>106</v>
      </c>
      <c r="J121" s="41">
        <f ca="1">(IF(B116&gt;1,(H116/(B116+2)),H116/4))</f>
        <v>11.5</v>
      </c>
    </row>
    <row r="122" spans="1:10" ht="15.75" customHeight="1" x14ac:dyDescent="0.25">
      <c r="A122" s="108" t="s">
        <v>141</v>
      </c>
      <c r="B122" s="109" t="s">
        <v>135</v>
      </c>
      <c r="C122" s="52">
        <f>C121-3-D116</f>
        <v>46</v>
      </c>
      <c r="D122" s="51">
        <f ca="1">((100/H116)*C122)/100</f>
        <v>1</v>
      </c>
      <c r="E122" s="111"/>
      <c r="F122" s="111"/>
      <c r="G122" s="111"/>
      <c r="H122" s="113"/>
      <c r="I122" s="34" t="s">
        <v>107</v>
      </c>
      <c r="J122" s="41">
        <f ca="1">(IF(B116&gt;1,(H116/(B116+2)+J121),H116/4+J121))</f>
        <v>23</v>
      </c>
    </row>
    <row r="123" spans="1:10" ht="15.75" customHeight="1" x14ac:dyDescent="0.25">
      <c r="A123" s="108" t="s">
        <v>142</v>
      </c>
      <c r="B123" s="109" t="s">
        <v>135</v>
      </c>
      <c r="C123" s="52">
        <v>46</v>
      </c>
      <c r="D123" s="51">
        <f ca="1">((100/H116)*C123)/100</f>
        <v>1</v>
      </c>
      <c r="E123" s="111"/>
      <c r="F123" s="111"/>
      <c r="G123" s="111"/>
      <c r="H123" s="113"/>
      <c r="I123" s="34" t="s">
        <v>151</v>
      </c>
      <c r="J123" s="41">
        <f>(IF(B116&gt;1,(H116/(B116+2)+J122),0))</f>
        <v>0</v>
      </c>
    </row>
    <row r="124" spans="1:10" ht="15" customHeight="1" x14ac:dyDescent="0.25">
      <c r="A124" s="108" t="s">
        <v>140</v>
      </c>
      <c r="B124" s="109" t="s">
        <v>137</v>
      </c>
      <c r="C124" s="52">
        <v>46</v>
      </c>
      <c r="D124" s="51">
        <f ca="1">((100/(H116))*C124)/100</f>
        <v>1</v>
      </c>
      <c r="E124" s="111"/>
      <c r="F124" s="111"/>
      <c r="G124" s="111"/>
      <c r="H124" s="113"/>
      <c r="I124" s="34" t="s">
        <v>148</v>
      </c>
      <c r="J124" s="41">
        <f>(IF(B116&gt;2,(H116/(B116+2)+J123),0))</f>
        <v>0</v>
      </c>
    </row>
    <row r="125" spans="1:10" ht="15.75" customHeight="1" x14ac:dyDescent="0.25">
      <c r="A125" s="108" t="s">
        <v>136</v>
      </c>
      <c r="B125" s="109" t="s">
        <v>136</v>
      </c>
      <c r="C125" s="50">
        <v>46</v>
      </c>
      <c r="D125" s="51">
        <f ca="1">((100/H116)*C125)/100</f>
        <v>1</v>
      </c>
      <c r="E125" s="111"/>
      <c r="F125" s="111"/>
      <c r="G125" s="111"/>
      <c r="H125" s="113"/>
      <c r="I125" s="34" t="s">
        <v>149</v>
      </c>
      <c r="J125" s="42">
        <f>(IF(B116&gt;3,(H116/(B116+2)+J124),0))</f>
        <v>0</v>
      </c>
    </row>
    <row r="126" spans="1:10" ht="15.75" customHeight="1" x14ac:dyDescent="0.25">
      <c r="A126" s="108" t="s">
        <v>143</v>
      </c>
      <c r="B126" s="109"/>
      <c r="C126" s="50">
        <v>42</v>
      </c>
      <c r="D126" s="51">
        <f ca="1">((100/H116)*C126)/100</f>
        <v>0.91304347826086951</v>
      </c>
      <c r="E126" s="111"/>
      <c r="F126" s="111"/>
      <c r="G126" s="111"/>
      <c r="H126" s="113"/>
      <c r="I126" s="34" t="s">
        <v>150</v>
      </c>
      <c r="J126" s="41">
        <f>(IF(B116&gt;4,(H116/(B116+2)+J125),0))</f>
        <v>0</v>
      </c>
    </row>
    <row r="127" spans="1:10" ht="15.75" customHeight="1" x14ac:dyDescent="0.25">
      <c r="A127" s="108" t="s">
        <v>138</v>
      </c>
      <c r="B127" s="109" t="s">
        <v>138</v>
      </c>
      <c r="C127" s="50">
        <v>0</v>
      </c>
      <c r="D127" s="51">
        <f ca="1">((100/(H116))*C127)/100</f>
        <v>0</v>
      </c>
      <c r="E127" s="111"/>
      <c r="F127" s="111"/>
      <c r="G127" s="111"/>
      <c r="H127" s="113"/>
      <c r="I127" s="34" t="s">
        <v>152</v>
      </c>
      <c r="J127" s="41">
        <f ca="1">(IF(B116=1,(H116/(B116+3)+J122),IF(B116=0,(H116/4+J122),IF(B116&gt;1,0))))</f>
        <v>34.5</v>
      </c>
    </row>
    <row r="128" spans="1:10" ht="16.5" thickBot="1" x14ac:dyDescent="0.3">
      <c r="A128" s="165" t="s">
        <v>139</v>
      </c>
      <c r="B128" s="166"/>
      <c r="C128" s="53">
        <v>0</v>
      </c>
      <c r="D128" s="54">
        <f ca="1">((100/(H116))*C128)/100</f>
        <v>0</v>
      </c>
      <c r="E128" s="112"/>
      <c r="F128" s="112"/>
      <c r="G128" s="112"/>
      <c r="H128" s="114"/>
      <c r="I128" s="40" t="s">
        <v>108</v>
      </c>
      <c r="J128" s="43">
        <f ca="1">(IF(B116&gt;1.5,(H116/(B116+2)+J122+MAX(0,J123-J122)+MAX(0,J124-J123)+MAX(0,J125-J124)+MAX(0,J126-J125)+MAX(0,J127-J126)),IF(B116=1,(H116/(B116+3)+J127),IF(B116=0,H116/4+J127))))</f>
        <v>46</v>
      </c>
    </row>
    <row r="129" spans="1:10" ht="15.75" customHeight="1" x14ac:dyDescent="0.25">
      <c r="A129" s="99" t="s">
        <v>145</v>
      </c>
      <c r="B129" s="100"/>
      <c r="C129" s="154" t="str">
        <f>D89</f>
        <v>Building no.5 = 1B + G + 2P + Stilt Floor + 1st to 46th Floor</v>
      </c>
      <c r="D129" s="155"/>
      <c r="E129" s="155"/>
      <c r="F129" s="155"/>
      <c r="G129" s="155"/>
      <c r="H129" s="156"/>
      <c r="I129" s="39" t="str">
        <f ca="1">(IF(E133&gt;99%,"All work completed. Please provide OC.",IF(E133&gt;89.8%,"Plinth, RCC, Brick, Plaster, Flooring, Painting work Completed. Finishing work is in process.",IF(E133&lt;94%,(IF(C133=0,"Work not yet Started.",IF(D133=25%,"Piling work in process",IF(D133=50%,"Excavation work in process",IF(D133=100%,"Excavation work Completed. ","0")))&amp;(IF(C134=0%,"",IF(C134=J135,"Footing work is process",IF(C134=J136,"Footing work Completed",IF(C134=J137,"1st Basement Completed",IF(C134=J138,"1st &amp; 2nd Basement Completed",IF(C134=J139,"1st to 3rd Basement Completed",IF(C134=J140,"1st to 4th Basement Completed",IF(C134=J141,"Plinth work is process",IF(C134=J142,"Plinth work completed","0")))))))))))&amp;(IF(C135=(D130+F130+H130),", RCC Slab",IF(C135&gt;0,", RCC upto "&amp;C135&amp;" Slab",""))&amp;(IF(C136=H130,", Brickwork",IF(C136&gt;0,", Brickwork upto "&amp;C136&amp;" Floor",""))&amp;(IF(C137=H130,", Internal Plaster",IF(C137&gt;0,", Internal Plaster upto "&amp;C137&amp;" Floor",""))&amp;(IF(C138=H130,", External Plaster",IF(C138&gt;0,", External Plaster upto "&amp;C138&amp;" Floor",""))&amp;(IF(C139=H130,", Flooring",IF(C139&gt;0,", Flooring upto "&amp;C139&amp;" Floor",""))&amp;(IF(C140=H130,", Painting",IF(C140&gt;0,", Painting upto "&amp;C140&amp;" Floor",""))&amp;(IF(C141&gt;0,", Finishing upto "&amp;C141&amp;" Floor","")&amp;(IF(C135&gt;0.5," Completed",""))))))))))))))</f>
        <v>Excavation work Completed. Plinth work completed, RCC Slab, Brickwork, Internal Plaster, External Plaster, Flooring, Painting upto 42 Floor Completed</v>
      </c>
      <c r="J129" s="14"/>
    </row>
    <row r="130" spans="1:10" x14ac:dyDescent="0.25">
      <c r="A130" s="44" t="s">
        <v>147</v>
      </c>
      <c r="B130" s="48">
        <v>1</v>
      </c>
      <c r="C130" s="48" t="s">
        <v>71</v>
      </c>
      <c r="D130" s="48">
        <v>1</v>
      </c>
      <c r="E130" s="48" t="s">
        <v>70</v>
      </c>
      <c r="F130" s="48">
        <v>3</v>
      </c>
      <c r="G130" s="48" t="s">
        <v>82</v>
      </c>
      <c r="H130" s="45">
        <f ca="1">--TRIM(RIGHT(SUBSTITUTE(LEFT(C129,_xlfn.AGGREGATE(16,6,FIND({0,1,2,3,4,5,6,7,8,9},C129,ROW(INDIRECT("1:"&amp;LEN(C129)))),1))," ",REPT(" ",LEN(C129))),LEN(C129)))</f>
        <v>46</v>
      </c>
      <c r="I130" s="13"/>
      <c r="J130" s="15"/>
    </row>
    <row r="131" spans="1:10" ht="37.5" customHeight="1" x14ac:dyDescent="0.25">
      <c r="A131" s="104" t="s">
        <v>92</v>
      </c>
      <c r="B131" s="105"/>
      <c r="C131" s="106" t="str">
        <f ca="1">I129</f>
        <v>Excavation work Completed. Plinth work completed, RCC Slab, Brickwork, Internal Plaster, External Plaster, Flooring, Painting upto 42 Floor Completed</v>
      </c>
      <c r="D131" s="106"/>
      <c r="E131" s="106"/>
      <c r="F131" s="106"/>
      <c r="G131" s="106"/>
      <c r="H131" s="107"/>
      <c r="I131" s="13" t="s">
        <v>109</v>
      </c>
      <c r="J131" s="15"/>
    </row>
    <row r="132" spans="1:10" ht="15.75" customHeight="1" x14ac:dyDescent="0.25">
      <c r="A132" s="108" t="s">
        <v>47</v>
      </c>
      <c r="B132" s="109"/>
      <c r="C132" s="49" t="s">
        <v>144</v>
      </c>
      <c r="D132" s="49" t="s">
        <v>85</v>
      </c>
      <c r="E132" s="109" t="s">
        <v>87</v>
      </c>
      <c r="F132" s="109"/>
      <c r="G132" s="109" t="s">
        <v>86</v>
      </c>
      <c r="H132" s="110"/>
      <c r="I132" s="34" t="s">
        <v>146</v>
      </c>
      <c r="J132" s="16">
        <f ca="1">H130*25%</f>
        <v>11.5</v>
      </c>
    </row>
    <row r="133" spans="1:10" x14ac:dyDescent="0.25">
      <c r="A133" s="108" t="s">
        <v>133</v>
      </c>
      <c r="B133" s="109"/>
      <c r="C133" s="50">
        <f ca="1">J134</f>
        <v>46</v>
      </c>
      <c r="D133" s="51">
        <f ca="1">((100/H130)*C133)/100</f>
        <v>1</v>
      </c>
      <c r="E133" s="111">
        <f ca="1">(((C134/H130*10)+(40/(D130+F130+H130)*C135)+(7.5/(H130)*C136)+(7.5/(H130)*C137)+(10/H130*C138)+(10/H130*C139)+(5/H130*C140)+(5/H130*C141)+(5/H130*C142))/100)</f>
        <v>0.89565217391304341</v>
      </c>
      <c r="F133" s="111"/>
      <c r="G133" s="111">
        <f ca="1">((((C133/H130)*20)+((C134/H130)*25)+(30/(H130+F130+D130)*C135)+(5/H130*C136)+(5/H130*C137)+(5/H130*C138)+(5/H130*C139)+(0/H130*C140)+(0/H130*C141)+(5/H130*C142))/100)</f>
        <v>0.95</v>
      </c>
      <c r="H133" s="113"/>
      <c r="I133" s="34" t="s">
        <v>104</v>
      </c>
      <c r="J133" s="38">
        <f ca="1">H130*50%</f>
        <v>23</v>
      </c>
    </row>
    <row r="134" spans="1:10" x14ac:dyDescent="0.25">
      <c r="A134" s="108" t="s">
        <v>48</v>
      </c>
      <c r="B134" s="109"/>
      <c r="C134" s="52">
        <f ca="1">J142</f>
        <v>46</v>
      </c>
      <c r="D134" s="51">
        <f ca="1">((100/H130)*C134)/100</f>
        <v>1</v>
      </c>
      <c r="E134" s="111"/>
      <c r="F134" s="111"/>
      <c r="G134" s="111"/>
      <c r="H134" s="113"/>
      <c r="I134" s="34" t="s">
        <v>105</v>
      </c>
      <c r="J134" s="38">
        <f ca="1">H130</f>
        <v>46</v>
      </c>
    </row>
    <row r="135" spans="1:10" ht="15.75" customHeight="1" x14ac:dyDescent="0.25">
      <c r="A135" s="108" t="s">
        <v>134</v>
      </c>
      <c r="B135" s="109"/>
      <c r="C135" s="52">
        <v>50</v>
      </c>
      <c r="D135" s="51">
        <f ca="1">((100/(D130+F130+H130))*C135)/100</f>
        <v>1</v>
      </c>
      <c r="E135" s="111"/>
      <c r="F135" s="111"/>
      <c r="G135" s="111"/>
      <c r="H135" s="113"/>
      <c r="I135" s="34" t="s">
        <v>106</v>
      </c>
      <c r="J135" s="41">
        <f ca="1">(IF(B130&gt;1,(H130/(B130+2)),H130/4))</f>
        <v>11.5</v>
      </c>
    </row>
    <row r="136" spans="1:10" ht="15.75" customHeight="1" x14ac:dyDescent="0.25">
      <c r="A136" s="108" t="s">
        <v>141</v>
      </c>
      <c r="B136" s="109" t="s">
        <v>135</v>
      </c>
      <c r="C136" s="52">
        <f>C135-D130-F130</f>
        <v>46</v>
      </c>
      <c r="D136" s="51">
        <f ca="1">((100/H130)*C136)/100</f>
        <v>1</v>
      </c>
      <c r="E136" s="111"/>
      <c r="F136" s="111"/>
      <c r="G136" s="111"/>
      <c r="H136" s="113"/>
      <c r="I136" s="34" t="s">
        <v>107</v>
      </c>
      <c r="J136" s="41">
        <f ca="1">(IF(B130&gt;1,(H130/(B130+2)+J135),H130/4+J135))</f>
        <v>23</v>
      </c>
    </row>
    <row r="137" spans="1:10" ht="15.75" customHeight="1" x14ac:dyDescent="0.25">
      <c r="A137" s="108" t="s">
        <v>142</v>
      </c>
      <c r="B137" s="109" t="s">
        <v>135</v>
      </c>
      <c r="C137" s="52">
        <v>46</v>
      </c>
      <c r="D137" s="51">
        <f ca="1">((100/H130)*C137)/100</f>
        <v>1</v>
      </c>
      <c r="E137" s="111"/>
      <c r="F137" s="111"/>
      <c r="G137" s="111"/>
      <c r="H137" s="113"/>
      <c r="I137" s="34" t="s">
        <v>151</v>
      </c>
      <c r="J137" s="41">
        <f>(IF(B130&gt;1,(H130/(B130+2)+J136),0))</f>
        <v>0</v>
      </c>
    </row>
    <row r="138" spans="1:10" ht="15" customHeight="1" x14ac:dyDescent="0.25">
      <c r="A138" s="108" t="s">
        <v>140</v>
      </c>
      <c r="B138" s="109" t="s">
        <v>137</v>
      </c>
      <c r="C138" s="52">
        <v>46</v>
      </c>
      <c r="D138" s="51">
        <f ca="1">((100/(H130))*C138)/100</f>
        <v>1</v>
      </c>
      <c r="E138" s="111"/>
      <c r="F138" s="111"/>
      <c r="G138" s="111"/>
      <c r="H138" s="113"/>
      <c r="I138" s="34" t="s">
        <v>148</v>
      </c>
      <c r="J138" s="41">
        <f>(IF(B130&gt;2,(H130/(B130+2)+J137),0))</f>
        <v>0</v>
      </c>
    </row>
    <row r="139" spans="1:10" ht="15.75" customHeight="1" x14ac:dyDescent="0.25">
      <c r="A139" s="108" t="s">
        <v>136</v>
      </c>
      <c r="B139" s="109" t="s">
        <v>136</v>
      </c>
      <c r="C139" s="50">
        <v>46</v>
      </c>
      <c r="D139" s="51">
        <f ca="1">((100/H130)*C139)/100</f>
        <v>1</v>
      </c>
      <c r="E139" s="111"/>
      <c r="F139" s="111"/>
      <c r="G139" s="111"/>
      <c r="H139" s="113"/>
      <c r="I139" s="34" t="s">
        <v>149</v>
      </c>
      <c r="J139" s="42">
        <f>(IF(B130&gt;3,(H130/(B130+2)+J138),0))</f>
        <v>0</v>
      </c>
    </row>
    <row r="140" spans="1:10" ht="15.75" customHeight="1" x14ac:dyDescent="0.25">
      <c r="A140" s="108" t="s">
        <v>143</v>
      </c>
      <c r="B140" s="109"/>
      <c r="C140" s="50">
        <v>42</v>
      </c>
      <c r="D140" s="51">
        <f ca="1">((100/H130)*C140)/100</f>
        <v>0.91304347826086951</v>
      </c>
      <c r="E140" s="111"/>
      <c r="F140" s="111"/>
      <c r="G140" s="111"/>
      <c r="H140" s="113"/>
      <c r="I140" s="34" t="s">
        <v>150</v>
      </c>
      <c r="J140" s="41">
        <f>(IF(B130&gt;4,(H130/(B130+2)+J139),0))</f>
        <v>0</v>
      </c>
    </row>
    <row r="141" spans="1:10" ht="15.75" customHeight="1" x14ac:dyDescent="0.25">
      <c r="A141" s="108" t="s">
        <v>138</v>
      </c>
      <c r="B141" s="109" t="s">
        <v>138</v>
      </c>
      <c r="C141" s="50">
        <v>0</v>
      </c>
      <c r="D141" s="51">
        <f ca="1">((100/(H130))*C141)/100</f>
        <v>0</v>
      </c>
      <c r="E141" s="111"/>
      <c r="F141" s="111"/>
      <c r="G141" s="111"/>
      <c r="H141" s="113"/>
      <c r="I141" s="34" t="s">
        <v>152</v>
      </c>
      <c r="J141" s="41">
        <f ca="1">(IF(B130=1,(H130/(B130+3)+J136),IF(B130=0,(H130/4+J136),IF(B130&gt;1,0))))</f>
        <v>34.5</v>
      </c>
    </row>
    <row r="142" spans="1:10" ht="16.5" thickBot="1" x14ac:dyDescent="0.3">
      <c r="A142" s="199" t="s">
        <v>139</v>
      </c>
      <c r="B142" s="200"/>
      <c r="C142" s="56">
        <v>0</v>
      </c>
      <c r="D142" s="57">
        <f ca="1">((100/(H130))*C142)/100</f>
        <v>0</v>
      </c>
      <c r="E142" s="213"/>
      <c r="F142" s="213"/>
      <c r="G142" s="213"/>
      <c r="H142" s="214"/>
      <c r="I142" s="40" t="s">
        <v>108</v>
      </c>
      <c r="J142" s="43">
        <f ca="1">(IF(B130&gt;1.5,(H130/(B130+2)+J136+MAX(0,J137-J136)+MAX(0,J138-J137)+MAX(0,J139-J138)+MAX(0,J140-J139)+MAX(0,J141-J140)),IF(B130=1,(H130/(B130+3)+J141),IF(B130=0,H130/4+J141))))</f>
        <v>46</v>
      </c>
    </row>
    <row r="143" spans="1:10" x14ac:dyDescent="0.25">
      <c r="A143" s="158" t="s">
        <v>49</v>
      </c>
      <c r="B143" s="158"/>
      <c r="C143" s="158"/>
      <c r="D143" s="158"/>
      <c r="E143" s="158"/>
      <c r="F143" s="158"/>
      <c r="G143" s="158"/>
      <c r="H143" s="158"/>
      <c r="J143" s="3" t="s">
        <v>229</v>
      </c>
    </row>
    <row r="144" spans="1:10" x14ac:dyDescent="0.25">
      <c r="A144" s="150" t="s">
        <v>75</v>
      </c>
      <c r="B144" s="150"/>
      <c r="C144" s="150"/>
      <c r="D144" s="150"/>
      <c r="E144" s="150"/>
      <c r="F144" s="121">
        <v>17000</v>
      </c>
      <c r="G144" s="121"/>
      <c r="H144" s="121"/>
      <c r="I144" s="3" t="s">
        <v>310</v>
      </c>
    </row>
    <row r="145" spans="1:8" hidden="1" x14ac:dyDescent="0.25">
      <c r="A145" s="150" t="s">
        <v>80</v>
      </c>
      <c r="B145" s="150"/>
      <c r="C145" s="150"/>
      <c r="D145" s="150"/>
      <c r="E145" s="150"/>
      <c r="F145" s="121"/>
      <c r="G145" s="121"/>
      <c r="H145" s="121"/>
    </row>
    <row r="146" spans="1:8" hidden="1" x14ac:dyDescent="0.25">
      <c r="A146" s="150" t="s">
        <v>81</v>
      </c>
      <c r="B146" s="150"/>
      <c r="C146" s="150"/>
      <c r="D146" s="150"/>
      <c r="E146" s="150"/>
      <c r="F146" s="121"/>
      <c r="G146" s="121"/>
      <c r="H146" s="121"/>
    </row>
    <row r="147" spans="1:8" s="7" customFormat="1" x14ac:dyDescent="0.25">
      <c r="A147" s="150" t="s">
        <v>230</v>
      </c>
      <c r="B147" s="150"/>
      <c r="C147" s="150"/>
      <c r="D147" s="150"/>
      <c r="E147" s="150"/>
      <c r="F147" s="121">
        <v>40</v>
      </c>
      <c r="G147" s="121"/>
      <c r="H147" s="121"/>
    </row>
    <row r="148" spans="1:8" s="7" customFormat="1" hidden="1" x14ac:dyDescent="0.25">
      <c r="A148" s="150" t="s">
        <v>97</v>
      </c>
      <c r="B148" s="150"/>
      <c r="C148" s="150"/>
      <c r="D148" s="150"/>
      <c r="E148" s="150"/>
      <c r="F148" s="121" t="s">
        <v>29</v>
      </c>
      <c r="G148" s="121"/>
      <c r="H148" s="121"/>
    </row>
    <row r="149" spans="1:8" s="7" customFormat="1" hidden="1" x14ac:dyDescent="0.25">
      <c r="A149" s="150" t="s">
        <v>98</v>
      </c>
      <c r="B149" s="150"/>
      <c r="C149" s="150"/>
      <c r="D149" s="150"/>
      <c r="E149" s="150"/>
      <c r="F149" s="121" t="s">
        <v>29</v>
      </c>
      <c r="G149" s="121"/>
      <c r="H149" s="121"/>
    </row>
    <row r="150" spans="1:8" s="7" customFormat="1" hidden="1" x14ac:dyDescent="0.25">
      <c r="A150" s="150" t="s">
        <v>99</v>
      </c>
      <c r="B150" s="150"/>
      <c r="C150" s="150"/>
      <c r="D150" s="150"/>
      <c r="E150" s="150"/>
      <c r="F150" s="121" t="s">
        <v>29</v>
      </c>
      <c r="G150" s="121"/>
      <c r="H150" s="121"/>
    </row>
    <row r="151" spans="1:8" s="7" customFormat="1" hidden="1" x14ac:dyDescent="0.25">
      <c r="A151" s="150" t="s">
        <v>100</v>
      </c>
      <c r="B151" s="150"/>
      <c r="C151" s="150"/>
      <c r="D151" s="150"/>
      <c r="E151" s="150"/>
      <c r="F151" s="121" t="s">
        <v>29</v>
      </c>
      <c r="G151" s="121"/>
      <c r="H151" s="121"/>
    </row>
    <row r="152" spans="1:8" s="7" customFormat="1" hidden="1" x14ac:dyDescent="0.25">
      <c r="A152" s="150" t="s">
        <v>101</v>
      </c>
      <c r="B152" s="150"/>
      <c r="C152" s="150"/>
      <c r="D152" s="150"/>
      <c r="E152" s="150"/>
      <c r="F152" s="121" t="s">
        <v>29</v>
      </c>
      <c r="G152" s="121"/>
      <c r="H152" s="121"/>
    </row>
    <row r="153" spans="1:8" s="7" customFormat="1" hidden="1" x14ac:dyDescent="0.25">
      <c r="A153" s="150" t="s">
        <v>102</v>
      </c>
      <c r="B153" s="150"/>
      <c r="C153" s="150"/>
      <c r="D153" s="150"/>
      <c r="E153" s="150"/>
      <c r="F153" s="121" t="s">
        <v>29</v>
      </c>
      <c r="G153" s="121"/>
      <c r="H153" s="121"/>
    </row>
    <row r="154" spans="1:8" s="7" customFormat="1" hidden="1" x14ac:dyDescent="0.25">
      <c r="A154" s="150" t="s">
        <v>103</v>
      </c>
      <c r="B154" s="150"/>
      <c r="C154" s="150"/>
      <c r="D154" s="150"/>
      <c r="E154" s="150"/>
      <c r="F154" s="121" t="s">
        <v>29</v>
      </c>
      <c r="G154" s="121"/>
      <c r="H154" s="121"/>
    </row>
    <row r="155" spans="1:8" x14ac:dyDescent="0.25">
      <c r="A155" s="150" t="s">
        <v>50</v>
      </c>
      <c r="B155" s="150"/>
      <c r="C155" s="150"/>
      <c r="D155" s="150"/>
      <c r="E155" s="150"/>
      <c r="F155" s="120" t="s">
        <v>183</v>
      </c>
      <c r="G155" s="120"/>
      <c r="H155" s="120"/>
    </row>
    <row r="156" spans="1:8" s="4" customFormat="1" x14ac:dyDescent="0.25">
      <c r="A156" s="158" t="s">
        <v>51</v>
      </c>
      <c r="B156" s="158"/>
      <c r="C156" s="158"/>
      <c r="D156" s="158"/>
      <c r="E156" s="158"/>
      <c r="F156" s="121">
        <f>F144*0.8</f>
        <v>13600</v>
      </c>
      <c r="G156" s="121"/>
      <c r="H156" s="121"/>
    </row>
    <row r="157" spans="1:8" s="1" customFormat="1" x14ac:dyDescent="0.25">
      <c r="A157" s="193" t="s">
        <v>69</v>
      </c>
      <c r="B157" s="193"/>
      <c r="C157" s="193"/>
      <c r="D157" s="193"/>
      <c r="E157" s="193"/>
      <c r="F157" s="193"/>
      <c r="G157" s="193"/>
      <c r="H157" s="193"/>
    </row>
    <row r="158" spans="1:8" s="1" customFormat="1" ht="15.75" customHeight="1" x14ac:dyDescent="0.25">
      <c r="A158" s="132" t="s">
        <v>52</v>
      </c>
      <c r="B158" s="132"/>
      <c r="C158" s="138" t="s">
        <v>78</v>
      </c>
      <c r="D158" s="138"/>
      <c r="E158" s="211" t="s">
        <v>53</v>
      </c>
      <c r="F158" s="211"/>
      <c r="G158" s="132" t="s">
        <v>54</v>
      </c>
      <c r="H158" s="132"/>
    </row>
    <row r="159" spans="1:8" s="1" customFormat="1" x14ac:dyDescent="0.25">
      <c r="A159" s="139" t="s">
        <v>194</v>
      </c>
      <c r="B159" s="139"/>
      <c r="C159" s="136">
        <f>COUNT(D176:D179)*2+COUNT(D181:D184)*18+COUNT(D186:D188)*2+COUNT(D191:D193,D195)</f>
        <v>90</v>
      </c>
      <c r="D159" s="136"/>
      <c r="E159" s="137">
        <f>SUM(D176:D179)*2+SUM(D181:D184)*18+SUM(D186:D188)*2+SUM(D191:D193,D195)</f>
        <v>77878.724040000001</v>
      </c>
      <c r="F159" s="137"/>
      <c r="G159" s="137">
        <f>SUM(F176:F179)*2+SUM(F181:F184)*18+SUM(F186:F188)*2+SUM(F191:F193,F195)</f>
        <v>124605.958464</v>
      </c>
      <c r="H159" s="137"/>
    </row>
    <row r="160" spans="1:8" s="1" customFormat="1" x14ac:dyDescent="0.25">
      <c r="A160" s="139" t="s">
        <v>282</v>
      </c>
      <c r="B160" s="139"/>
      <c r="C160" s="136">
        <f>COUNT(D202:D207)*40+COUNT(D211:D214)*6</f>
        <v>264</v>
      </c>
      <c r="D160" s="136"/>
      <c r="E160" s="136">
        <f>SUM(D202:D207)*40+SUM(D211:D214)*6</f>
        <v>186661.53792</v>
      </c>
      <c r="F160" s="136"/>
      <c r="G160" s="136">
        <f>SUM(F202:F207)*40+SUM(F211:F214)*6</f>
        <v>298658.46067200002</v>
      </c>
      <c r="H160" s="136"/>
    </row>
    <row r="161" spans="1:16" s="1" customFormat="1" x14ac:dyDescent="0.25">
      <c r="A161" s="139" t="s">
        <v>195</v>
      </c>
      <c r="B161" s="139"/>
      <c r="C161" s="136">
        <f>COUNT(D221:D224)*20+COUNT(D227:D229)*2+COUNT(D231,D233:D235)</f>
        <v>90</v>
      </c>
      <c r="D161" s="136"/>
      <c r="E161" s="137">
        <f>SUM(D221:D224)*20+SUM(D227:D229)*2+SUM(D231,D233:D235)</f>
        <v>72782.39198879998</v>
      </c>
      <c r="F161" s="137"/>
      <c r="G161" s="137">
        <f>SUM(F221:F224)*20+SUM(F227:F229)*2+SUM(F231,F233:F235)</f>
        <v>116451.82718208</v>
      </c>
      <c r="H161" s="137"/>
    </row>
    <row r="162" spans="1:16" s="1" customFormat="1" x14ac:dyDescent="0.25">
      <c r="A162" s="139" t="s">
        <v>156</v>
      </c>
      <c r="B162" s="139"/>
      <c r="C162" s="224">
        <f>COUNT(D242:D247)*40+COUNT(D249:D250,D253:D254)*6</f>
        <v>264</v>
      </c>
      <c r="D162" s="224"/>
      <c r="E162" s="137">
        <f>SUM(D242:D247)*40+SUM(D249:D250,D253:D254)*6</f>
        <v>202232.30975999995</v>
      </c>
      <c r="F162" s="137"/>
      <c r="G162" s="137">
        <f>SUM(F242:F247)*40+SUM(F249:F250,F253:F254)*6</f>
        <v>323571.69561599998</v>
      </c>
      <c r="H162" s="137"/>
    </row>
    <row r="163" spans="1:16" s="1" customFormat="1" ht="16.5" thickBot="1" x14ac:dyDescent="0.3">
      <c r="A163" s="133" t="s">
        <v>163</v>
      </c>
      <c r="B163" s="133"/>
      <c r="C163" s="134">
        <f>COUNT(D262:D267)*40+COUNT(D269:D272)*6</f>
        <v>264</v>
      </c>
      <c r="D163" s="134"/>
      <c r="E163" s="135">
        <f>SUM(D262:D267)*40+SUM(D269:D272)*6</f>
        <v>206092.32752159997</v>
      </c>
      <c r="F163" s="135"/>
      <c r="G163" s="135">
        <f>SUM(F262:F267)*40+SUM(F269:F272)*6</f>
        <v>329747.72403455997</v>
      </c>
      <c r="H163" s="135"/>
    </row>
    <row r="164" spans="1:16" s="1" customFormat="1" ht="16.5" thickBot="1" x14ac:dyDescent="0.3">
      <c r="A164" s="144" t="s">
        <v>286</v>
      </c>
      <c r="B164" s="145"/>
      <c r="C164" s="146">
        <f>SUM(C159:D163)</f>
        <v>972</v>
      </c>
      <c r="D164" s="147"/>
      <c r="E164" s="148">
        <f>SUM(E159:F163)</f>
        <v>745647.29123039986</v>
      </c>
      <c r="F164" s="149"/>
      <c r="G164" s="201">
        <f>SUM(G159:H163)</f>
        <v>1193035.66596864</v>
      </c>
      <c r="H164" s="202"/>
    </row>
    <row r="165" spans="1:16" s="4" customFormat="1" x14ac:dyDescent="0.25">
      <c r="A165" s="212" t="s">
        <v>55</v>
      </c>
      <c r="B165" s="212"/>
      <c r="C165" s="212"/>
      <c r="D165" s="212"/>
      <c r="E165" s="212"/>
      <c r="F165" s="212"/>
      <c r="G165" s="212"/>
      <c r="H165" s="212"/>
    </row>
    <row r="166" spans="1:16" x14ac:dyDescent="0.25">
      <c r="A166" s="96" t="s">
        <v>56</v>
      </c>
      <c r="B166" s="96"/>
      <c r="C166" s="96"/>
      <c r="D166" s="96"/>
      <c r="E166" s="96"/>
      <c r="F166" s="96"/>
      <c r="G166" s="96"/>
      <c r="H166" s="96"/>
    </row>
    <row r="167" spans="1:16" s="2" customFormat="1" x14ac:dyDescent="0.25">
      <c r="A167" s="127"/>
      <c r="B167" s="195"/>
      <c r="C167" s="195"/>
      <c r="D167" s="195"/>
      <c r="E167" s="195"/>
      <c r="F167" s="195"/>
      <c r="G167" s="195"/>
      <c r="H167" s="128"/>
      <c r="I167" s="31"/>
      <c r="N167" s="31"/>
    </row>
    <row r="168" spans="1:16" ht="47.25" customHeight="1" x14ac:dyDescent="0.25">
      <c r="A168" s="142" t="s">
        <v>123</v>
      </c>
      <c r="B168" s="142" t="s">
        <v>124</v>
      </c>
      <c r="C168" s="140" t="s">
        <v>57</v>
      </c>
      <c r="D168" s="140" t="s">
        <v>58</v>
      </c>
      <c r="E168" s="204" t="s">
        <v>59</v>
      </c>
      <c r="F168" s="32" t="s">
        <v>155</v>
      </c>
      <c r="G168" s="142" t="s">
        <v>60</v>
      </c>
      <c r="H168" s="206"/>
      <c r="I168" s="31"/>
    </row>
    <row r="169" spans="1:16" s="2" customFormat="1" x14ac:dyDescent="0.25">
      <c r="A169" s="143"/>
      <c r="B169" s="143"/>
      <c r="C169" s="141"/>
      <c r="D169" s="141"/>
      <c r="E169" s="205"/>
      <c r="F169" s="29">
        <v>0.6</v>
      </c>
      <c r="G169" s="143"/>
      <c r="H169" s="207"/>
      <c r="I169" s="31"/>
    </row>
    <row r="170" spans="1:16" x14ac:dyDescent="0.25">
      <c r="A170" s="95" t="s">
        <v>191</v>
      </c>
      <c r="B170" s="95"/>
      <c r="C170" s="95"/>
      <c r="D170" s="95"/>
      <c r="E170" s="95"/>
      <c r="F170" s="95"/>
      <c r="G170" s="95"/>
      <c r="H170" s="95"/>
    </row>
    <row r="171" spans="1:16" x14ac:dyDescent="0.25">
      <c r="A171" s="96" t="s">
        <v>158</v>
      </c>
      <c r="B171" s="96"/>
      <c r="C171" s="96"/>
      <c r="D171" s="96"/>
      <c r="E171" s="96"/>
      <c r="F171" s="96"/>
      <c r="G171" s="96"/>
      <c r="H171" s="96"/>
    </row>
    <row r="172" spans="1:16" x14ac:dyDescent="0.25">
      <c r="A172" s="96" t="s">
        <v>247</v>
      </c>
      <c r="B172" s="96"/>
      <c r="C172" s="96"/>
      <c r="D172" s="96"/>
      <c r="E172" s="96"/>
      <c r="F172" s="96"/>
      <c r="G172" s="96"/>
      <c r="H172" s="96"/>
    </row>
    <row r="173" spans="1:16" x14ac:dyDescent="0.25">
      <c r="A173" s="96" t="s">
        <v>235</v>
      </c>
      <c r="B173" s="96"/>
      <c r="C173" s="96"/>
      <c r="D173" s="96"/>
      <c r="E173" s="96"/>
      <c r="F173" s="96"/>
      <c r="G173" s="96"/>
      <c r="H173" s="96"/>
    </row>
    <row r="174" spans="1:16" x14ac:dyDescent="0.25">
      <c r="A174" s="96" t="s">
        <v>192</v>
      </c>
      <c r="B174" s="96"/>
      <c r="C174" s="96"/>
      <c r="D174" s="96"/>
      <c r="E174" s="96"/>
      <c r="F174" s="96"/>
      <c r="G174" s="96"/>
      <c r="H174" s="96"/>
      <c r="I174" s="55" t="s">
        <v>253</v>
      </c>
    </row>
    <row r="175" spans="1:16" s="2" customFormat="1" x14ac:dyDescent="0.25">
      <c r="A175" s="124" t="s">
        <v>248</v>
      </c>
      <c r="B175" s="125"/>
      <c r="C175" s="125"/>
      <c r="D175" s="125"/>
      <c r="E175" s="125"/>
      <c r="F175" s="125"/>
      <c r="G175" s="125"/>
      <c r="H175" s="126"/>
      <c r="I175" s="31">
        <v>2</v>
      </c>
    </row>
    <row r="176" spans="1:16" s="2" customFormat="1" ht="15.75" customHeight="1" x14ac:dyDescent="0.25">
      <c r="A176" s="127">
        <v>1</v>
      </c>
      <c r="B176" s="128"/>
      <c r="C176" s="30" t="s">
        <v>206</v>
      </c>
      <c r="D176" s="30">
        <f>(74.1)*10.764</f>
        <v>797.61239999999987</v>
      </c>
      <c r="E176" s="30">
        <v>0</v>
      </c>
      <c r="F176" s="30">
        <f>D176*(($F$169)+1)+(IF(E176&lt;101,E176,IF(E176&lt;201,E176/2,IF(E176&lt;=301,E176/3,E176/4))))</f>
        <v>1276.1798399999998</v>
      </c>
      <c r="G176" s="71" t="str">
        <f>A175</f>
        <v>2nd &amp; 3rd Floor For Residential</v>
      </c>
      <c r="H176" s="72"/>
      <c r="I176" s="31"/>
      <c r="N176" s="2" t="str">
        <f t="shared" ref="N176:N179" ca="1" si="0">O176&amp;""&amp;" to "&amp;""&amp;P176</f>
        <v>201 to 301</v>
      </c>
      <c r="O176" s="2">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10^ROW(INDIRECT("1:"&amp;LEN((LEFT(A175,SUM(LEN(A175)-LEN(SUBSTITUTE(A175,{"0","1","2"},""))))))))/10))*100+1</f>
        <v>201</v>
      </c>
      <c r="P176" s="2">
        <f ca="1">(SUMPRODUCT(MID(0&amp;(--TRIM(RIGHT(SUBSTITUTE(LEFT(A175,_xlfn.AGGREGATE(16,6,FIND({0,1,2,3,4,5,6,7,8,9},A175,ROW(INDIRECT("1:"&amp;LEN(A175)))),1)),"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",LEN(A175))),LEN(A175)))))))/10))*100+1</f>
        <v>301</v>
      </c>
    </row>
    <row r="177" spans="1:16" s="2" customFormat="1" ht="15.75" customHeight="1" x14ac:dyDescent="0.25">
      <c r="A177" s="127">
        <v>2</v>
      </c>
      <c r="B177" s="128"/>
      <c r="C177" s="30" t="s">
        <v>161</v>
      </c>
      <c r="D177" s="30">
        <f>(67.43)*10.764</f>
        <v>725.81652000000008</v>
      </c>
      <c r="E177" s="30">
        <v>0</v>
      </c>
      <c r="F177" s="30">
        <f>D177*(($F$169)+1)+(IF(E177&lt;101,E177,IF(E177&lt;201,E177/2,IF(E177&lt;=301,E177/3,E177/4))))</f>
        <v>1161.3064320000001</v>
      </c>
      <c r="G177" s="73" t="str">
        <f>G176</f>
        <v>2nd &amp; 3rd Floor For Residential</v>
      </c>
      <c r="H177" s="74"/>
      <c r="I177" s="31"/>
      <c r="N177" s="2" t="str">
        <f t="shared" ca="1" si="0"/>
        <v>202 to 302</v>
      </c>
      <c r="O177" s="2">
        <f t="shared" ref="O177:P177" ca="1" si="1">O176+1</f>
        <v>202</v>
      </c>
      <c r="P177" s="2">
        <f t="shared" ca="1" si="1"/>
        <v>302</v>
      </c>
    </row>
    <row r="178" spans="1:16" s="2" customFormat="1" ht="15.75" customHeight="1" x14ac:dyDescent="0.25">
      <c r="A178" s="127">
        <v>3</v>
      </c>
      <c r="B178" s="128"/>
      <c r="C178" s="30" t="s">
        <v>206</v>
      </c>
      <c r="D178" s="30">
        <f>(73.83)*10.764</f>
        <v>794.70611999999994</v>
      </c>
      <c r="E178" s="30">
        <v>0</v>
      </c>
      <c r="F178" s="30">
        <f>D178*(($F$169)+1)+(IF(E178&lt;101,E178,IF(E178&lt;201,E178/2,IF(E178&lt;=301,E178/3,E178/4))))</f>
        <v>1271.529792</v>
      </c>
      <c r="G178" s="73" t="str">
        <f>G177</f>
        <v>2nd &amp; 3rd Floor For Residential</v>
      </c>
      <c r="H178" s="74"/>
      <c r="I178" s="31"/>
      <c r="N178" s="2" t="str">
        <f t="shared" ca="1" si="0"/>
        <v>203 to 303</v>
      </c>
      <c r="O178" s="2">
        <f t="shared" ref="O178:P178" ca="1" si="2">O177+1</f>
        <v>203</v>
      </c>
      <c r="P178" s="2">
        <f t="shared" ca="1" si="2"/>
        <v>303</v>
      </c>
    </row>
    <row r="179" spans="1:16" s="2" customFormat="1" ht="15.75" customHeight="1" x14ac:dyDescent="0.25">
      <c r="A179" s="127">
        <v>4</v>
      </c>
      <c r="B179" s="128"/>
      <c r="C179" s="30" t="s">
        <v>160</v>
      </c>
      <c r="D179" s="30">
        <f>(89.14)*10.764</f>
        <v>959.50295999999992</v>
      </c>
      <c r="E179" s="30">
        <v>0</v>
      </c>
      <c r="F179" s="30">
        <f>D179*(($F$169)+1)+(IF(E179&lt;101,E179,IF(E179&lt;201,E179/2,IF(E179&lt;=301,E179/3,E179/4))))</f>
        <v>1535.2047359999999</v>
      </c>
      <c r="G179" s="73" t="str">
        <f>G178</f>
        <v>2nd &amp; 3rd Floor For Residential</v>
      </c>
      <c r="H179" s="74"/>
      <c r="I179" s="31"/>
      <c r="N179" s="2" t="str">
        <f t="shared" ca="1" si="0"/>
        <v>204 to 304</v>
      </c>
      <c r="O179" s="2">
        <f t="shared" ref="O179:P179" ca="1" si="3">O178+1</f>
        <v>204</v>
      </c>
      <c r="P179" s="2">
        <f t="shared" ca="1" si="3"/>
        <v>304</v>
      </c>
    </row>
    <row r="180" spans="1:16" s="2" customFormat="1" x14ac:dyDescent="0.25">
      <c r="A180" s="124" t="s">
        <v>249</v>
      </c>
      <c r="B180" s="125"/>
      <c r="C180" s="125"/>
      <c r="D180" s="125"/>
      <c r="E180" s="125"/>
      <c r="F180" s="125"/>
      <c r="G180" s="125"/>
      <c r="H180" s="126"/>
      <c r="I180" s="31">
        <f>2+6+6+4</f>
        <v>18</v>
      </c>
    </row>
    <row r="181" spans="1:16" s="2" customFormat="1" ht="15.75" customHeight="1" x14ac:dyDescent="0.25">
      <c r="A181" s="127">
        <v>1</v>
      </c>
      <c r="B181" s="128"/>
      <c r="C181" s="30" t="s">
        <v>206</v>
      </c>
      <c r="D181" s="30">
        <f>(77.77)*10.764</f>
        <v>837.11627999999996</v>
      </c>
      <c r="E181" s="30">
        <v>0</v>
      </c>
      <c r="F181" s="30">
        <f>D181*(($F$169)+1)+(IF(E181&lt;101,E181,IF(E181&lt;201,E181/2,IF(E181&lt;=301,E181/3,E181/4))))</f>
        <v>1339.3860480000001</v>
      </c>
      <c r="G181" s="71" t="str">
        <f>A180</f>
        <v>4th, 5th, 7th to 12th, 14th to 19th &amp; 21st to 24th Floor</v>
      </c>
      <c r="H181" s="72"/>
      <c r="I181" s="31"/>
      <c r="N181" s="2" t="str">
        <f t="shared" ref="N181:N184" ca="1" si="4">O181&amp;""&amp;" to "&amp;""&amp;P181</f>
        <v>4501 to 2401</v>
      </c>
      <c r="O181" s="2">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f>
        <v>4501</v>
      </c>
      <c r="P181" s="2">
        <f ca="1">(SUMPRODUCT(MID(0&amp;(--TRIM(RIGHT(SUBSTITUTE(LEFT(A180,_xlfn.AGGREGATE(16,6,FIND({0,1,2,3,4,5,6,7,8,9},A180,ROW(INDIRECT("1:"&amp;LEN(A180)))),1)),"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2401</v>
      </c>
    </row>
    <row r="182" spans="1:16" s="2" customFormat="1" ht="15.75" customHeight="1" x14ac:dyDescent="0.25">
      <c r="A182" s="127">
        <v>2</v>
      </c>
      <c r="B182" s="128"/>
      <c r="C182" s="30" t="s">
        <v>161</v>
      </c>
      <c r="D182" s="30">
        <f>(72.18)*10.764</f>
        <v>776.94551999999999</v>
      </c>
      <c r="E182" s="30">
        <v>0</v>
      </c>
      <c r="F182" s="30">
        <f>D182*(($F$169)+1)+(IF(E182&lt;101,E182,IF(E182&lt;201,E182/2,IF(E182&lt;=301,E182/3,E182/4))))</f>
        <v>1243.112832</v>
      </c>
      <c r="G182" s="73" t="str">
        <f>G181</f>
        <v>4th, 5th, 7th to 12th, 14th to 19th &amp; 21st to 24th Floor</v>
      </c>
      <c r="H182" s="74"/>
      <c r="I182" s="31"/>
      <c r="N182" s="2" t="str">
        <f t="shared" ca="1" si="4"/>
        <v>4502 to 2402</v>
      </c>
      <c r="O182" s="2">
        <f t="shared" ref="O182:P182" ca="1" si="5">O181+1</f>
        <v>4502</v>
      </c>
      <c r="P182" s="2">
        <f t="shared" ca="1" si="5"/>
        <v>2402</v>
      </c>
    </row>
    <row r="183" spans="1:16" s="2" customFormat="1" ht="15.75" customHeight="1" x14ac:dyDescent="0.25">
      <c r="A183" s="127">
        <v>3</v>
      </c>
      <c r="B183" s="128"/>
      <c r="C183" s="30" t="s">
        <v>206</v>
      </c>
      <c r="D183" s="30">
        <f>(78.76)*10.764</f>
        <v>847.77264000000002</v>
      </c>
      <c r="E183" s="30">
        <v>0</v>
      </c>
      <c r="F183" s="30">
        <f>D183*(($F$169)+1)+(IF(E183&lt;101,E183,IF(E183&lt;201,E183/2,IF(E183&lt;=301,E183/3,E183/4))))</f>
        <v>1356.436224</v>
      </c>
      <c r="G183" s="73" t="str">
        <f>G182</f>
        <v>4th, 5th, 7th to 12th, 14th to 19th &amp; 21st to 24th Floor</v>
      </c>
      <c r="H183" s="74"/>
      <c r="I183" s="31"/>
      <c r="N183" s="2" t="str">
        <f t="shared" ca="1" si="4"/>
        <v>4503 to 2403</v>
      </c>
      <c r="O183" s="2">
        <f t="shared" ref="O183:P183" ca="1" si="6">O182+1</f>
        <v>4503</v>
      </c>
      <c r="P183" s="2">
        <f t="shared" ca="1" si="6"/>
        <v>2403</v>
      </c>
    </row>
    <row r="184" spans="1:16" s="2" customFormat="1" ht="15.75" customHeight="1" x14ac:dyDescent="0.25">
      <c r="A184" s="127">
        <v>4</v>
      </c>
      <c r="B184" s="128"/>
      <c r="C184" s="30" t="s">
        <v>160</v>
      </c>
      <c r="D184" s="30">
        <f>(99.45)*10.764</f>
        <v>1070.4798000000001</v>
      </c>
      <c r="E184" s="30">
        <v>0</v>
      </c>
      <c r="F184" s="30">
        <f>D184*(($F$169)+1)+(IF(E184&lt;101,E184,IF(E184&lt;201,E184/2,IF(E184&lt;=301,E184/3,E184/4))))</f>
        <v>1712.7676800000002</v>
      </c>
      <c r="G184" s="73" t="str">
        <f>G183</f>
        <v>4th, 5th, 7th to 12th, 14th to 19th &amp; 21st to 24th Floor</v>
      </c>
      <c r="H184" s="74"/>
      <c r="I184" s="31"/>
      <c r="N184" s="2" t="str">
        <f t="shared" ca="1" si="4"/>
        <v>4504 to 2404</v>
      </c>
      <c r="O184" s="2">
        <f t="shared" ref="O184:P184" ca="1" si="7">O183+1</f>
        <v>4504</v>
      </c>
      <c r="P184" s="2">
        <f t="shared" ca="1" si="7"/>
        <v>2404</v>
      </c>
    </row>
    <row r="185" spans="1:16" s="2" customFormat="1" x14ac:dyDescent="0.25">
      <c r="A185" s="124" t="s">
        <v>250</v>
      </c>
      <c r="B185" s="125"/>
      <c r="C185" s="125"/>
      <c r="D185" s="125"/>
      <c r="E185" s="125"/>
      <c r="F185" s="125"/>
      <c r="G185" s="125"/>
      <c r="H185" s="126"/>
      <c r="I185" s="31">
        <v>2</v>
      </c>
    </row>
    <row r="186" spans="1:16" s="2" customFormat="1" ht="15.75" customHeight="1" x14ac:dyDescent="0.25">
      <c r="A186" s="127">
        <v>1</v>
      </c>
      <c r="B186" s="128"/>
      <c r="C186" s="30" t="s">
        <v>206</v>
      </c>
      <c r="D186" s="30">
        <f>77.77*10.764</f>
        <v>837.11627999999996</v>
      </c>
      <c r="E186" s="30">
        <v>0</v>
      </c>
      <c r="F186" s="30">
        <f>D186*(($F$169)+1)+(IF(E186&lt;101,E186,IF(E186&lt;201,E186/2,IF(E186&lt;=301,E186/3,E186/4))))</f>
        <v>1339.3860480000001</v>
      </c>
      <c r="G186" s="71" t="str">
        <f>A185</f>
        <v>6th &amp; 13th floor (Part Refuge Area)</v>
      </c>
      <c r="H186" s="72"/>
      <c r="I186" s="31"/>
      <c r="N186" s="2" t="str">
        <f t="shared" ref="N186:N189" ca="1" si="8">O186&amp;""&amp;" to "&amp;""&amp;P186</f>
        <v>601 to 1301</v>
      </c>
      <c r="O186" s="2">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10^ROW(INDIRECT("1:"&amp;LEN((LEFT(A185,SUM(LEN(A185)-LEN(SUBSTITUTE(A185,{"0","1","2"},""))))))))/10))*100+1</f>
        <v>601</v>
      </c>
      <c r="P186" s="2">
        <f ca="1">(SUMPRODUCT(MID(0&amp;(--TRIM(RIGHT(SUBSTITUTE(LEFT(A185,_xlfn.AGGREGATE(16,6,FIND({0,1,2,3,4,5,6,7,8,9},A185,ROW(INDIRECT("1:"&amp;LEN(A185)))),1)),"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",LEN(A185))),LEN(A185)))))))/10))*100+1</f>
        <v>1301</v>
      </c>
    </row>
    <row r="187" spans="1:16" s="2" customFormat="1" ht="15.75" customHeight="1" x14ac:dyDescent="0.25">
      <c r="A187" s="127">
        <v>2</v>
      </c>
      <c r="B187" s="128"/>
      <c r="C187" s="30" t="s">
        <v>161</v>
      </c>
      <c r="D187" s="30">
        <f>(72.18)*10.764</f>
        <v>776.94551999999999</v>
      </c>
      <c r="E187" s="30">
        <v>0</v>
      </c>
      <c r="F187" s="30">
        <f>D187*(($F$169)+1)+(IF(E187&lt;101,E187,IF(E187&lt;201,E187/2,IF(E187&lt;=301,E187/3,E187/4))))</f>
        <v>1243.112832</v>
      </c>
      <c r="G187" s="73" t="str">
        <f>G186</f>
        <v>6th &amp; 13th floor (Part Refuge Area)</v>
      </c>
      <c r="H187" s="74"/>
      <c r="I187" s="31"/>
      <c r="N187" s="2" t="str">
        <f t="shared" ca="1" si="8"/>
        <v>602 to 1302</v>
      </c>
      <c r="O187" s="2">
        <f t="shared" ref="O187:P187" ca="1" si="9">O186+1</f>
        <v>602</v>
      </c>
      <c r="P187" s="2">
        <f t="shared" ca="1" si="9"/>
        <v>1302</v>
      </c>
    </row>
    <row r="188" spans="1:16" s="2" customFormat="1" ht="15.75" customHeight="1" x14ac:dyDescent="0.25">
      <c r="A188" s="127">
        <v>3</v>
      </c>
      <c r="B188" s="128"/>
      <c r="C188" s="30" t="s">
        <v>206</v>
      </c>
      <c r="D188" s="30">
        <f>(78.76)*10.764</f>
        <v>847.77264000000002</v>
      </c>
      <c r="E188" s="30">
        <v>0</v>
      </c>
      <c r="F188" s="30">
        <f>D188*(($F$169)+1)+(IF(E188&lt;101,E188,IF(E188&lt;201,E188/2,IF(E188&lt;=301,E188/3,E188/4))))</f>
        <v>1356.436224</v>
      </c>
      <c r="G188" s="73" t="str">
        <f>G187</f>
        <v>6th &amp; 13th floor (Part Refuge Area)</v>
      </c>
      <c r="H188" s="74"/>
      <c r="I188" s="31"/>
      <c r="N188" s="2" t="str">
        <f t="shared" ca="1" si="8"/>
        <v>603 to 1303</v>
      </c>
      <c r="O188" s="2">
        <f t="shared" ref="O188:P188" ca="1" si="10">O187+1</f>
        <v>603</v>
      </c>
      <c r="P188" s="2">
        <f t="shared" ca="1" si="10"/>
        <v>1303</v>
      </c>
    </row>
    <row r="189" spans="1:16" s="2" customFormat="1" ht="15.75" customHeight="1" x14ac:dyDescent="0.25">
      <c r="A189" s="127">
        <v>4</v>
      </c>
      <c r="B189" s="128"/>
      <c r="C189" s="127" t="s">
        <v>162</v>
      </c>
      <c r="D189" s="195"/>
      <c r="E189" s="195"/>
      <c r="F189" s="128"/>
      <c r="G189" s="73" t="str">
        <f>G188</f>
        <v>6th &amp; 13th floor (Part Refuge Area)</v>
      </c>
      <c r="H189" s="74"/>
      <c r="I189" s="31"/>
      <c r="N189" s="2" t="str">
        <f t="shared" ca="1" si="8"/>
        <v>604 to 1304</v>
      </c>
      <c r="O189" s="2">
        <f t="shared" ref="O189:P189" ca="1" si="11">O188+1</f>
        <v>604</v>
      </c>
      <c r="P189" s="2">
        <f t="shared" ca="1" si="11"/>
        <v>1304</v>
      </c>
    </row>
    <row r="190" spans="1:16" s="2" customFormat="1" x14ac:dyDescent="0.25">
      <c r="A190" s="124" t="s">
        <v>251</v>
      </c>
      <c r="B190" s="125"/>
      <c r="C190" s="125"/>
      <c r="D190" s="125"/>
      <c r="E190" s="125"/>
      <c r="F190" s="125"/>
      <c r="G190" s="125"/>
      <c r="H190" s="126"/>
      <c r="I190" s="31">
        <v>1</v>
      </c>
    </row>
    <row r="191" spans="1:16" s="2" customFormat="1" ht="15.75" customHeight="1" x14ac:dyDescent="0.25">
      <c r="A191" s="127">
        <v>1</v>
      </c>
      <c r="B191" s="128"/>
      <c r="C191" s="30" t="s">
        <v>206</v>
      </c>
      <c r="D191" s="30">
        <f>77.77*10.764</f>
        <v>837.11627999999996</v>
      </c>
      <c r="E191" s="30">
        <v>0</v>
      </c>
      <c r="F191" s="30">
        <f>D191*(($F$169)+1)+(IF(E191&lt;101,E191,IF(E191&lt;201,E191/2,IF(E191&lt;=301,E191/3,E191/4))))</f>
        <v>1339.3860480000001</v>
      </c>
      <c r="G191" s="71" t="str">
        <f>A190</f>
        <v>20th floor (Part Refuge Area)</v>
      </c>
      <c r="H191" s="72"/>
      <c r="I191" s="31"/>
      <c r="N191" s="2" t="str">
        <f t="shared" ref="N191:N195" ca="1" si="12">O191&amp;""&amp;" to "&amp;""&amp;P191</f>
        <v>2001 to 2001</v>
      </c>
      <c r="O191" s="2">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f>
        <v>2001</v>
      </c>
      <c r="P191" s="2">
        <f ca="1">(SUMPRODUCT(MID(0&amp;(--TRIM(RIGHT(SUBSTITUTE(LEFT(A190,_xlfn.AGGREGATE(16,6,FIND({0,1,2,3,4,5,6,7,8,9},A190,ROW(INDIRECT("1:"&amp;LEN(A190)))),1)),"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2001</v>
      </c>
    </row>
    <row r="192" spans="1:16" s="2" customFormat="1" ht="15.75" customHeight="1" x14ac:dyDescent="0.25">
      <c r="A192" s="127">
        <v>2</v>
      </c>
      <c r="B192" s="128"/>
      <c r="C192" s="30" t="s">
        <v>161</v>
      </c>
      <c r="D192" s="30">
        <f>(72.18)*10.764</f>
        <v>776.94551999999999</v>
      </c>
      <c r="E192" s="30">
        <v>0</v>
      </c>
      <c r="F192" s="30">
        <f>D192*(($F$169)+1)+(IF(E192&lt;101,E192,IF(E192&lt;201,E192/2,IF(E192&lt;=301,E192/3,E192/4))))</f>
        <v>1243.112832</v>
      </c>
      <c r="G192" s="73" t="str">
        <f>G191</f>
        <v>20th floor (Part Refuge Area)</v>
      </c>
      <c r="H192" s="74"/>
      <c r="I192" s="31"/>
      <c r="N192" s="2" t="str">
        <f t="shared" ca="1" si="12"/>
        <v>2002 to 2002</v>
      </c>
      <c r="O192" s="2">
        <f t="shared" ref="O192:P192" ca="1" si="13">O191+1</f>
        <v>2002</v>
      </c>
      <c r="P192" s="2">
        <f t="shared" ca="1" si="13"/>
        <v>2002</v>
      </c>
    </row>
    <row r="193" spans="1:16" s="2" customFormat="1" ht="15.75" customHeight="1" x14ac:dyDescent="0.25">
      <c r="A193" s="127">
        <v>3</v>
      </c>
      <c r="B193" s="128"/>
      <c r="C193" s="30" t="s">
        <v>206</v>
      </c>
      <c r="D193" s="30">
        <f>(78.76)*10.764</f>
        <v>847.77264000000002</v>
      </c>
      <c r="E193" s="30">
        <v>0</v>
      </c>
      <c r="F193" s="30">
        <f>D193*(($F$169)+1)+(IF(E193&lt;101,E193,IF(E193&lt;201,E193/2,IF(E193&lt;=301,E193/3,E193/4))))</f>
        <v>1356.436224</v>
      </c>
      <c r="G193" s="73" t="str">
        <f>G192</f>
        <v>20th floor (Part Refuge Area)</v>
      </c>
      <c r="H193" s="74"/>
      <c r="I193" s="31"/>
      <c r="N193" s="2" t="str">
        <f t="shared" ca="1" si="12"/>
        <v>2003 to 2003</v>
      </c>
      <c r="O193" s="2">
        <f t="shared" ref="O193:P193" ca="1" si="14">O192+1</f>
        <v>2003</v>
      </c>
      <c r="P193" s="2">
        <f t="shared" ca="1" si="14"/>
        <v>2003</v>
      </c>
    </row>
    <row r="194" spans="1:16" s="2" customFormat="1" ht="15.75" customHeight="1" x14ac:dyDescent="0.25">
      <c r="A194" s="127" t="s">
        <v>254</v>
      </c>
      <c r="B194" s="128"/>
      <c r="C194" s="127" t="s">
        <v>162</v>
      </c>
      <c r="D194" s="195"/>
      <c r="E194" s="195"/>
      <c r="F194" s="128"/>
      <c r="G194" s="73"/>
      <c r="H194" s="74"/>
      <c r="I194" s="31"/>
    </row>
    <row r="195" spans="1:16" s="2" customFormat="1" ht="15.75" customHeight="1" x14ac:dyDescent="0.25">
      <c r="A195" s="127">
        <v>4</v>
      </c>
      <c r="B195" s="128"/>
      <c r="C195" s="30" t="s">
        <v>252</v>
      </c>
      <c r="D195" s="30">
        <f>(33.1)*10.764</f>
        <v>356.28839999999997</v>
      </c>
      <c r="E195" s="30">
        <v>0</v>
      </c>
      <c r="F195" s="30">
        <f>D195*(($F$169)+1)+(IF(E195&lt;101,E195,IF(E195&lt;201,E195/2,IF(E195&lt;=301,E195/3,E195/4))))</f>
        <v>570.06143999999995</v>
      </c>
      <c r="G195" s="73" t="str">
        <f>G193</f>
        <v>20th floor (Part Refuge Area)</v>
      </c>
      <c r="H195" s="74"/>
      <c r="I195" s="31">
        <f>3.35*3.25+2.65*3.05+1.37*1.5+1.6*1.39+1.54*2.06+1.15*1.52+2.33*1.05</f>
        <v>30.6159</v>
      </c>
      <c r="N195" s="2" t="str">
        <f t="shared" ca="1" si="12"/>
        <v>2004 to 2004</v>
      </c>
      <c r="O195" s="2">
        <f t="shared" ref="O195:P195" ca="1" si="15">O193+1</f>
        <v>2004</v>
      </c>
      <c r="P195" s="2">
        <f t="shared" ca="1" si="15"/>
        <v>2004</v>
      </c>
    </row>
    <row r="196" spans="1:16" x14ac:dyDescent="0.25">
      <c r="A196" s="95" t="s">
        <v>283</v>
      </c>
      <c r="B196" s="95"/>
      <c r="C196" s="95"/>
      <c r="D196" s="95"/>
      <c r="E196" s="95"/>
      <c r="F196" s="95"/>
      <c r="G196" s="95"/>
      <c r="H196" s="95"/>
      <c r="I196" s="30">
        <v>10.763999999999999</v>
      </c>
      <c r="K196" s="3">
        <f>0.3+1.52+0.15+2.84+1.02+2.91</f>
        <v>8.74</v>
      </c>
    </row>
    <row r="197" spans="1:16" x14ac:dyDescent="0.25">
      <c r="A197" s="96" t="s">
        <v>158</v>
      </c>
      <c r="B197" s="96"/>
      <c r="C197" s="96"/>
      <c r="D197" s="96"/>
      <c r="E197" s="96"/>
      <c r="F197" s="96"/>
      <c r="G197" s="96"/>
      <c r="H197" s="96"/>
    </row>
    <row r="198" spans="1:16" x14ac:dyDescent="0.25">
      <c r="A198" s="96" t="s">
        <v>284</v>
      </c>
      <c r="B198" s="96"/>
      <c r="C198" s="96"/>
      <c r="D198" s="96"/>
      <c r="E198" s="96"/>
      <c r="F198" s="96"/>
      <c r="G198" s="96"/>
      <c r="H198" s="96"/>
    </row>
    <row r="199" spans="1:16" x14ac:dyDescent="0.25">
      <c r="A199" s="96" t="s">
        <v>235</v>
      </c>
      <c r="B199" s="96"/>
      <c r="C199" s="96"/>
      <c r="D199" s="96"/>
      <c r="E199" s="96"/>
      <c r="F199" s="96"/>
      <c r="G199" s="96"/>
      <c r="H199" s="96"/>
    </row>
    <row r="200" spans="1:16" x14ac:dyDescent="0.25">
      <c r="A200" s="96" t="s">
        <v>192</v>
      </c>
      <c r="B200" s="96"/>
      <c r="C200" s="96"/>
      <c r="D200" s="96"/>
      <c r="E200" s="96"/>
      <c r="F200" s="96"/>
      <c r="G200" s="96"/>
      <c r="H200" s="96"/>
    </row>
    <row r="201" spans="1:16" s="2" customFormat="1" ht="31.5" customHeight="1" x14ac:dyDescent="0.25">
      <c r="A201" s="94" t="s">
        <v>228</v>
      </c>
      <c r="B201" s="94"/>
      <c r="C201" s="94"/>
      <c r="D201" s="94"/>
      <c r="E201" s="94"/>
      <c r="F201" s="94"/>
      <c r="G201" s="94"/>
      <c r="H201" s="94"/>
      <c r="I201" s="31">
        <f>4+6+6+6+6+6+6</f>
        <v>40</v>
      </c>
    </row>
    <row r="202" spans="1:16" s="2" customFormat="1" ht="15.75" customHeight="1" x14ac:dyDescent="0.25">
      <c r="A202" s="70">
        <v>1</v>
      </c>
      <c r="B202" s="70"/>
      <c r="C202" s="30" t="s">
        <v>161</v>
      </c>
      <c r="D202" s="30">
        <f>(63.08)*10.764</f>
        <v>678.99311999999998</v>
      </c>
      <c r="E202" s="30">
        <v>0</v>
      </c>
      <c r="F202" s="30">
        <f t="shared" ref="F202:F205" si="16">D202*(($F$169)+1)+(IF(E202&lt;101,E202,IF(E202&lt;201,E202/2,IF(E202&lt;=301,E202/3,E202/4))))</f>
        <v>1086.3889919999999</v>
      </c>
      <c r="G202" s="71" t="str">
        <f>A201</f>
        <v>1st to 4th, 6th to 11th, 13th to 18th, 20th to 25th, 27th to 32nd, 34th to 39th, 41st to 46th Floor for Residential</v>
      </c>
      <c r="H202" s="72"/>
      <c r="I202" s="31">
        <f>(5.13*3.25+2.6*3.22+3.05*(4.03+3.51)+1.53*(2.45+2.45)+2.75+2.55*0.9+2.53*0.2)</f>
        <v>61.089500000000001</v>
      </c>
      <c r="N202" s="2" t="str">
        <f t="shared" ref="N202:N205" ca="1" si="17">O202&amp;""&amp;" to "&amp;""&amp;P202</f>
        <v>1401 to 4601</v>
      </c>
      <c r="O202" s="2">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10^ROW(INDIRECT("1:"&amp;LEN((LEFT(A201,SUM(LEN(A201)-LEN(SUBSTITUTE(A201,{"0","1","2"},""))))))))/10))*100+1</f>
        <v>1401</v>
      </c>
      <c r="P202" s="2">
        <f ca="1">(SUMPRODUCT(MID(0&amp;(--TRIM(RIGHT(SUBSTITUTE(LEFT(A201,_xlfn.AGGREGATE(16,6,FIND({0,1,2,3,4,5,6,7,8,9},A201,ROW(INDIRECT("1:"&amp;LEN(A201)))),1)),"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",LEN(A201))),LEN(A201)))))))/10))*100+1</f>
        <v>4601</v>
      </c>
    </row>
    <row r="203" spans="1:16" s="2" customFormat="1" ht="15.75" customHeight="1" x14ac:dyDescent="0.25">
      <c r="A203" s="70">
        <v>2</v>
      </c>
      <c r="B203" s="70"/>
      <c r="C203" s="30" t="s">
        <v>161</v>
      </c>
      <c r="D203" s="30">
        <f>(63.08)*10.764</f>
        <v>678.99311999999998</v>
      </c>
      <c r="E203" s="30">
        <v>0</v>
      </c>
      <c r="F203" s="30">
        <f t="shared" si="16"/>
        <v>1086.3889919999999</v>
      </c>
      <c r="G203" s="73"/>
      <c r="H203" s="74"/>
      <c r="I203" s="31"/>
      <c r="N203" s="2" t="str">
        <f t="shared" ca="1" si="17"/>
        <v>1402 to 4602</v>
      </c>
      <c r="O203" s="2">
        <f t="shared" ref="O203:P203" ca="1" si="18">O202+1</f>
        <v>1402</v>
      </c>
      <c r="P203" s="2">
        <f t="shared" ca="1" si="18"/>
        <v>4602</v>
      </c>
    </row>
    <row r="204" spans="1:16" s="2" customFormat="1" ht="15.75" customHeight="1" x14ac:dyDescent="0.25">
      <c r="A204" s="70">
        <v>3</v>
      </c>
      <c r="B204" s="70"/>
      <c r="C204" s="30" t="s">
        <v>161</v>
      </c>
      <c r="D204" s="30">
        <f>(61.91)*10.764</f>
        <v>666.39923999999996</v>
      </c>
      <c r="E204" s="30">
        <v>0</v>
      </c>
      <c r="F204" s="30">
        <f t="shared" si="16"/>
        <v>1066.2387839999999</v>
      </c>
      <c r="G204" s="73"/>
      <c r="H204" s="74"/>
      <c r="I204" s="31">
        <f>(3.05*5.46+2.45*3.36+3.05*(3.35+3.65)+2.45*(1.52+1.53)+6.2)</f>
        <v>59.907499999999999</v>
      </c>
      <c r="N204" s="2" t="str">
        <f t="shared" ca="1" si="17"/>
        <v>1403 to 4603</v>
      </c>
      <c r="O204" s="2">
        <f t="shared" ref="O204:P204" ca="1" si="19">O203+1</f>
        <v>1403</v>
      </c>
      <c r="P204" s="2">
        <f t="shared" ca="1" si="19"/>
        <v>4603</v>
      </c>
    </row>
    <row r="205" spans="1:16" s="2" customFormat="1" ht="15.75" customHeight="1" x14ac:dyDescent="0.25">
      <c r="A205" s="70">
        <v>4</v>
      </c>
      <c r="B205" s="70"/>
      <c r="C205" s="30" t="s">
        <v>206</v>
      </c>
      <c r="D205" s="30">
        <f>(71.73)*10.764</f>
        <v>772.10172</v>
      </c>
      <c r="E205" s="30">
        <v>0</v>
      </c>
      <c r="F205" s="30">
        <f t="shared" si="16"/>
        <v>1235.362752</v>
      </c>
      <c r="G205" s="73"/>
      <c r="H205" s="74"/>
      <c r="I205" s="31">
        <f>(3.05*5.46+2.45*3.3+3.05*(3.35+3.65)+2.45*2.55+2.45*(1.52+1.53)+8.7)</f>
        <v>68.507999999999996</v>
      </c>
      <c r="N205" s="2" t="str">
        <f t="shared" ca="1" si="17"/>
        <v>1404 to 4604</v>
      </c>
      <c r="O205" s="2">
        <f t="shared" ref="O205:P205" ca="1" si="20">O204+1</f>
        <v>1404</v>
      </c>
      <c r="P205" s="2">
        <f t="shared" ca="1" si="20"/>
        <v>4604</v>
      </c>
    </row>
    <row r="206" spans="1:16" s="2" customFormat="1" ht="15.75" customHeight="1" x14ac:dyDescent="0.25">
      <c r="A206" s="70">
        <v>5</v>
      </c>
      <c r="B206" s="70"/>
      <c r="C206" s="30" t="s">
        <v>206</v>
      </c>
      <c r="D206" s="30">
        <f>(71.73)*10.764</f>
        <v>772.10172</v>
      </c>
      <c r="E206" s="30">
        <v>0</v>
      </c>
      <c r="F206" s="30">
        <f t="shared" ref="F206:F207" si="21">D206*(($F$169)+1)+(IF(E206&lt;101,E206,IF(E206&lt;201,E206/2,IF(E206&lt;=301,E206/3,E206/4))))</f>
        <v>1235.362752</v>
      </c>
      <c r="G206" s="73"/>
      <c r="H206" s="74"/>
      <c r="I206" s="31">
        <f>(3.05*5.76+2.45*3.3+3.05*(3.35+3.65)+2.45*2.55+2.45*(1.52+1.53)+8.7)</f>
        <v>69.423000000000002</v>
      </c>
      <c r="N206" s="2" t="str">
        <f t="shared" ref="N206:N207" ca="1" si="22">O206&amp;""&amp;" to "&amp;""&amp;P206</f>
        <v>1405 to 4605</v>
      </c>
      <c r="O206" s="2">
        <f t="shared" ref="O206:P206" ca="1" si="23">O205+1</f>
        <v>1405</v>
      </c>
      <c r="P206" s="2">
        <f t="shared" ca="1" si="23"/>
        <v>4605</v>
      </c>
    </row>
    <row r="207" spans="1:16" s="2" customFormat="1" ht="15.75" customHeight="1" x14ac:dyDescent="0.25">
      <c r="A207" s="70">
        <v>6</v>
      </c>
      <c r="B207" s="70"/>
      <c r="C207" s="30" t="s">
        <v>161</v>
      </c>
      <c r="D207" s="30">
        <f>(61.91)*10.764</f>
        <v>666.39923999999996</v>
      </c>
      <c r="E207" s="30">
        <v>0</v>
      </c>
      <c r="F207" s="30">
        <f t="shared" si="21"/>
        <v>1066.2387839999999</v>
      </c>
      <c r="G207" s="75"/>
      <c r="H207" s="76"/>
      <c r="I207" s="31"/>
      <c r="N207" s="2" t="str">
        <f t="shared" ca="1" si="22"/>
        <v>1406 to 4606</v>
      </c>
      <c r="O207" s="2">
        <f t="shared" ref="O207:P207" ca="1" si="24">O206+1</f>
        <v>1406</v>
      </c>
      <c r="P207" s="2">
        <f t="shared" ca="1" si="24"/>
        <v>4606</v>
      </c>
    </row>
    <row r="208" spans="1:16" s="2" customFormat="1" x14ac:dyDescent="0.25">
      <c r="A208" s="94" t="s">
        <v>224</v>
      </c>
      <c r="B208" s="94"/>
      <c r="C208" s="94"/>
      <c r="D208" s="94"/>
      <c r="E208" s="94"/>
      <c r="F208" s="94"/>
      <c r="G208" s="94"/>
      <c r="H208" s="94"/>
      <c r="I208" s="31">
        <v>6</v>
      </c>
    </row>
    <row r="209" spans="1:16" s="2" customFormat="1" ht="15.75" customHeight="1" x14ac:dyDescent="0.25">
      <c r="A209" s="70">
        <v>1</v>
      </c>
      <c r="B209" s="70"/>
      <c r="C209" s="71" t="s">
        <v>162</v>
      </c>
      <c r="D209" s="77"/>
      <c r="E209" s="77"/>
      <c r="F209" s="72"/>
      <c r="G209" s="71" t="str">
        <f>A208</f>
        <v>5th, 12th, 19th, 26th, 33rd &amp; 40th floor (Part Refuge Area)</v>
      </c>
      <c r="H209" s="72"/>
      <c r="I209" s="31"/>
      <c r="N209" s="2" t="str">
        <f t="shared" ref="N209:N212" ca="1" si="25">O209&amp;""&amp;" to "&amp;""&amp;P209</f>
        <v>501 to 4001</v>
      </c>
      <c r="O209" s="2">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10^ROW(INDIRECT("1:"&amp;LEN((LEFT(A208,SUM(LEN(A208)-LEN(SUBSTITUTE(A208,{"0","1","2"},""))))))))/10))*100+1</f>
        <v>501</v>
      </c>
      <c r="P209" s="2">
        <f ca="1">(SUMPRODUCT(MID(0&amp;(--TRIM(RIGHT(SUBSTITUTE(LEFT(A208,_xlfn.AGGREGATE(16,6,FIND({0,1,2,3,4,5,6,7,8,9},A208,ROW(INDIRECT("1:"&amp;LEN(A208)))),1)),"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",LEN(A208))),LEN(A208)))))))/10))*100+1</f>
        <v>4001</v>
      </c>
    </row>
    <row r="210" spans="1:16" s="2" customFormat="1" ht="15.75" customHeight="1" x14ac:dyDescent="0.25">
      <c r="A210" s="70">
        <v>2</v>
      </c>
      <c r="B210" s="70"/>
      <c r="C210" s="75"/>
      <c r="D210" s="78"/>
      <c r="E210" s="78"/>
      <c r="F210" s="76"/>
      <c r="G210" s="73"/>
      <c r="H210" s="74"/>
      <c r="I210" s="31"/>
      <c r="N210" s="2" t="str">
        <f t="shared" ca="1" si="25"/>
        <v>502 to 4002</v>
      </c>
      <c r="O210" s="2">
        <f t="shared" ref="O210:P210" ca="1" si="26">O209+1</f>
        <v>502</v>
      </c>
      <c r="P210" s="2">
        <f t="shared" ca="1" si="26"/>
        <v>4002</v>
      </c>
    </row>
    <row r="211" spans="1:16" s="2" customFormat="1" ht="15.75" customHeight="1" x14ac:dyDescent="0.25">
      <c r="A211" s="70">
        <v>3</v>
      </c>
      <c r="B211" s="70"/>
      <c r="C211" s="30" t="s">
        <v>161</v>
      </c>
      <c r="D211" s="30">
        <f>(61.91)*10.764</f>
        <v>666.39923999999996</v>
      </c>
      <c r="E211" s="30">
        <v>0</v>
      </c>
      <c r="F211" s="30">
        <f t="shared" ref="F211:F212" si="27">D211*(($F$169)+1)+(IF(E211&lt;101,E211,IF(E211&lt;201,E211/2,IF(E211&lt;=301,E211/3,E211/4))))</f>
        <v>1066.2387839999999</v>
      </c>
      <c r="G211" s="73"/>
      <c r="H211" s="74"/>
      <c r="I211" s="31"/>
      <c r="N211" s="2" t="str">
        <f t="shared" ca="1" si="25"/>
        <v>503 to 4003</v>
      </c>
      <c r="O211" s="2">
        <f t="shared" ref="O211:P211" ca="1" si="28">O210+1</f>
        <v>503</v>
      </c>
      <c r="P211" s="2">
        <f t="shared" ca="1" si="28"/>
        <v>4003</v>
      </c>
    </row>
    <row r="212" spans="1:16" s="2" customFormat="1" ht="15.75" customHeight="1" x14ac:dyDescent="0.25">
      <c r="A212" s="70">
        <v>4</v>
      </c>
      <c r="B212" s="70"/>
      <c r="C212" s="30" t="s">
        <v>206</v>
      </c>
      <c r="D212" s="30">
        <f>(71.73)*10.764</f>
        <v>772.10172</v>
      </c>
      <c r="E212" s="30">
        <v>0</v>
      </c>
      <c r="F212" s="30">
        <f t="shared" si="27"/>
        <v>1235.362752</v>
      </c>
      <c r="G212" s="73"/>
      <c r="H212" s="74"/>
      <c r="I212" s="31"/>
      <c r="N212" s="2" t="str">
        <f t="shared" ca="1" si="25"/>
        <v>504 to 4004</v>
      </c>
      <c r="O212" s="2">
        <f t="shared" ref="O212:P212" ca="1" si="29">O211+1</f>
        <v>504</v>
      </c>
      <c r="P212" s="2">
        <f t="shared" ca="1" si="29"/>
        <v>4004</v>
      </c>
    </row>
    <row r="213" spans="1:16" s="2" customFormat="1" ht="15.75" customHeight="1" x14ac:dyDescent="0.25">
      <c r="A213" s="70">
        <v>5</v>
      </c>
      <c r="B213" s="70"/>
      <c r="C213" s="30" t="s">
        <v>206</v>
      </c>
      <c r="D213" s="30">
        <f>(71.73)*10.764</f>
        <v>772.10172</v>
      </c>
      <c r="E213" s="30">
        <v>0</v>
      </c>
      <c r="F213" s="30">
        <f t="shared" ref="F213:F214" si="30">D213*(($F$169)+1)+(IF(E213&lt;101,E213,IF(E213&lt;201,E213/2,IF(E213&lt;=301,E213/3,E213/4))))</f>
        <v>1235.362752</v>
      </c>
      <c r="G213" s="73"/>
      <c r="H213" s="74"/>
      <c r="I213" s="31"/>
      <c r="N213" s="2" t="str">
        <f t="shared" ref="N213:N214" ca="1" si="31">O213&amp;""&amp;" to "&amp;""&amp;P213</f>
        <v>505 to 4005</v>
      </c>
      <c r="O213" s="2">
        <f t="shared" ref="O213:P213" ca="1" si="32">O212+1</f>
        <v>505</v>
      </c>
      <c r="P213" s="2">
        <f t="shared" ca="1" si="32"/>
        <v>4005</v>
      </c>
    </row>
    <row r="214" spans="1:16" s="2" customFormat="1" ht="15.75" customHeight="1" x14ac:dyDescent="0.25">
      <c r="A214" s="70">
        <v>6</v>
      </c>
      <c r="B214" s="70"/>
      <c r="C214" s="30" t="s">
        <v>161</v>
      </c>
      <c r="D214" s="30">
        <f>(61.91)*10.764</f>
        <v>666.39923999999996</v>
      </c>
      <c r="E214" s="30">
        <v>0</v>
      </c>
      <c r="F214" s="30">
        <f t="shared" si="30"/>
        <v>1066.2387839999999</v>
      </c>
      <c r="G214" s="75"/>
      <c r="H214" s="76"/>
      <c r="I214" s="31"/>
      <c r="N214" s="2" t="str">
        <f t="shared" ca="1" si="31"/>
        <v>506 to 4006</v>
      </c>
      <c r="O214" s="2">
        <f t="shared" ref="O214:P214" ca="1" si="33">O213+1</f>
        <v>506</v>
      </c>
      <c r="P214" s="2">
        <f t="shared" ca="1" si="33"/>
        <v>4006</v>
      </c>
    </row>
    <row r="215" spans="1:16" x14ac:dyDescent="0.25">
      <c r="A215" s="95" t="s">
        <v>193</v>
      </c>
      <c r="B215" s="95"/>
      <c r="C215" s="95"/>
      <c r="D215" s="95"/>
      <c r="E215" s="95"/>
      <c r="F215" s="95"/>
      <c r="G215" s="95"/>
      <c r="H215" s="95"/>
    </row>
    <row r="216" spans="1:16" x14ac:dyDescent="0.25">
      <c r="A216" s="96" t="s">
        <v>158</v>
      </c>
      <c r="B216" s="96"/>
      <c r="C216" s="96"/>
      <c r="D216" s="96"/>
      <c r="E216" s="96"/>
      <c r="F216" s="96"/>
      <c r="G216" s="96"/>
      <c r="H216" s="96"/>
    </row>
    <row r="217" spans="1:16" x14ac:dyDescent="0.25">
      <c r="A217" s="96" t="s">
        <v>264</v>
      </c>
      <c r="B217" s="96"/>
      <c r="C217" s="96"/>
      <c r="D217" s="96"/>
      <c r="E217" s="96"/>
      <c r="F217" s="96"/>
      <c r="G217" s="96"/>
      <c r="H217" s="96"/>
    </row>
    <row r="218" spans="1:16" x14ac:dyDescent="0.25">
      <c r="A218" s="96" t="s">
        <v>235</v>
      </c>
      <c r="B218" s="96"/>
      <c r="C218" s="96"/>
      <c r="D218" s="96"/>
      <c r="E218" s="96"/>
      <c r="F218" s="96"/>
      <c r="G218" s="96"/>
      <c r="H218" s="96"/>
    </row>
    <row r="219" spans="1:16" x14ac:dyDescent="0.25">
      <c r="A219" s="96" t="s">
        <v>192</v>
      </c>
      <c r="B219" s="96"/>
      <c r="C219" s="96"/>
      <c r="D219" s="96"/>
      <c r="E219" s="96"/>
      <c r="F219" s="96"/>
      <c r="G219" s="96"/>
      <c r="H219" s="96"/>
    </row>
    <row r="220" spans="1:16" s="2" customFormat="1" x14ac:dyDescent="0.25">
      <c r="A220" s="94" t="s">
        <v>256</v>
      </c>
      <c r="B220" s="94"/>
      <c r="C220" s="94"/>
      <c r="D220" s="94"/>
      <c r="E220" s="94"/>
      <c r="F220" s="94"/>
      <c r="G220" s="94"/>
      <c r="H220" s="94"/>
      <c r="I220" s="31">
        <f>4+6+6+4</f>
        <v>20</v>
      </c>
    </row>
    <row r="221" spans="1:16" s="2" customFormat="1" ht="15.75" customHeight="1" x14ac:dyDescent="0.25">
      <c r="A221" s="70">
        <v>1</v>
      </c>
      <c r="B221" s="70"/>
      <c r="C221" s="30" t="s">
        <v>160</v>
      </c>
      <c r="D221" s="30">
        <f>(3.35*6.09+2.73*3.05+2.98*(3.28+3.5)+3.35*3.89+1.35*(2.22+2.3)+1.37*2.25+1.47*(1.97+1.55)+2.69*2.75+4.4*1.05+1.37*0.8+(1.5*0.9)*2+2.33*1.04)*10.764</f>
        <v>1017.8384579999999</v>
      </c>
      <c r="E221" s="30">
        <v>0</v>
      </c>
      <c r="F221" s="30">
        <f t="shared" ref="F221:F224" si="34">D221*(($F$169)+1)+(IF(E221&lt;101,E221,IF(E221&lt;201,E221/2,IF(E221&lt;=301,E221/3,E221/4))))</f>
        <v>1628.5415327999999</v>
      </c>
      <c r="G221" s="70" t="str">
        <f>A220</f>
        <v>2nd to 5th, 7th to 12th, 14th to 19th &amp; 21st to 24th</v>
      </c>
      <c r="H221" s="70"/>
      <c r="I221" s="31"/>
      <c r="N221" s="2" t="str">
        <f t="shared" ref="N221:N224" ca="1" si="35">O221&amp;""&amp;" to "&amp;""&amp;P221</f>
        <v>2501 to 2401</v>
      </c>
      <c r="O221" s="2">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10^ROW(INDIRECT("1:"&amp;LEN((LEFT(A220,SUM(LEN(A220)-LEN(SUBSTITUTE(A220,{"0","1","2"},""))))))))/10))*100+1</f>
        <v>2501</v>
      </c>
      <c r="P221" s="2">
        <f ca="1">(SUMPRODUCT(MID(0&amp;(--TRIM(RIGHT(SUBSTITUTE(LEFT(A220,_xlfn.AGGREGATE(16,6,FIND({0,1,2,3,4,5,6,7,8,9},A220,ROW(INDIRECT("1:"&amp;LEN(A220)))),1)),"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",LEN(A220))),LEN(A220)))))))/10))*100+1</f>
        <v>2401</v>
      </c>
    </row>
    <row r="222" spans="1:16" s="2" customFormat="1" ht="15.75" customHeight="1" x14ac:dyDescent="0.25">
      <c r="A222" s="70">
        <v>2</v>
      </c>
      <c r="B222" s="70"/>
      <c r="C222" s="30" t="s">
        <v>206</v>
      </c>
      <c r="D222" s="30">
        <f>(3.28*6.09+2.44*2.75+2.44*2.14+3.05*(4.2+3.58)+1.37*2.28+1.44*2.37+2.74*1.05+1.37*2.1+1.94*1.46+1.94*1.05)*10.764</f>
        <v>783.57183840000005</v>
      </c>
      <c r="E222" s="30">
        <v>0</v>
      </c>
      <c r="F222" s="30">
        <f t="shared" si="34"/>
        <v>1253.7149414400001</v>
      </c>
      <c r="G222" s="70" t="str">
        <f>G221</f>
        <v>2nd to 5th, 7th to 12th, 14th to 19th &amp; 21st to 24th</v>
      </c>
      <c r="H222" s="70"/>
      <c r="I222" s="31">
        <f>3.28*6.09+2.44*2.75+2.44*2.14+3.05*(4.2+3.58)+1.37*2.28+1.44*2.37+2.74*1.05+1.37*2.1+1.94*1.46+1.94*1.05</f>
        <v>72.795600000000007</v>
      </c>
      <c r="N222" s="2" t="str">
        <f t="shared" ca="1" si="35"/>
        <v>2502 to 2402</v>
      </c>
      <c r="O222" s="2">
        <f t="shared" ref="O222:P222" ca="1" si="36">O221+1</f>
        <v>2502</v>
      </c>
      <c r="P222" s="2">
        <f t="shared" ca="1" si="36"/>
        <v>2402</v>
      </c>
    </row>
    <row r="223" spans="1:16" s="2" customFormat="1" ht="15.75" customHeight="1" x14ac:dyDescent="0.25">
      <c r="A223" s="70">
        <v>3</v>
      </c>
      <c r="B223" s="70"/>
      <c r="C223" s="30" t="s">
        <v>161</v>
      </c>
      <c r="D223" s="30">
        <f>(2.05*1.35+1.84*2.05+3.35*6.09+2.44*2.75+1.94*1.05+3.58*3.05+3.05*3.95+1.17*1.06+2.94*1.06+1.37*0.75)*10.764</f>
        <v>689.3114903999998</v>
      </c>
      <c r="E223" s="30">
        <v>0</v>
      </c>
      <c r="F223" s="30">
        <f t="shared" si="34"/>
        <v>1102.8983846399997</v>
      </c>
      <c r="G223" s="70" t="str">
        <f>G222</f>
        <v>2nd to 5th, 7th to 12th, 14th to 19th &amp; 21st to 24th</v>
      </c>
      <c r="H223" s="70"/>
      <c r="I223" s="31">
        <f>3.28*6.09+2.44*2.75+2.44*2.14+3.05*(4.2+3.58)+1.37*2.28+1.44*2.37+1.94*1.46+2.74*1.05+1.37*2.1+1.94*1.05</f>
        <v>72.795599999999993</v>
      </c>
      <c r="N223" s="2" t="str">
        <f t="shared" ca="1" si="35"/>
        <v>2503 to 2403</v>
      </c>
      <c r="O223" s="2">
        <f t="shared" ref="O223:P223" ca="1" si="37">O222+1</f>
        <v>2503</v>
      </c>
      <c r="P223" s="2">
        <f t="shared" ca="1" si="37"/>
        <v>2403</v>
      </c>
    </row>
    <row r="224" spans="1:16" s="2" customFormat="1" ht="15.75" customHeight="1" x14ac:dyDescent="0.25">
      <c r="A224" s="70">
        <v>4</v>
      </c>
      <c r="B224" s="70"/>
      <c r="C224" s="30" t="s">
        <v>206</v>
      </c>
      <c r="D224" s="30">
        <f>(3.35*6.09+2.44*2.68+2.44*2.14+2.97*(3.5+4.2)+1.29*2.32+1.37*2.37+4.11*1.05+1.29*1.03+1.37*2+1.3*1.48+1.94*1.05)*10.764</f>
        <v>792.40477680000004</v>
      </c>
      <c r="E224" s="30">
        <v>0</v>
      </c>
      <c r="F224" s="30">
        <f t="shared" si="34"/>
        <v>1267.8476428800002</v>
      </c>
      <c r="G224" s="70" t="str">
        <f>G223</f>
        <v>2nd to 5th, 7th to 12th, 14th to 19th &amp; 21st to 24th</v>
      </c>
      <c r="H224" s="70"/>
      <c r="I224" s="31">
        <f>3.35*6.09+2.44*2.68+2.44*2.14+2.97*(3.5+4.2)+1.29*2.32+1.37*2.37+4.11*1.05+1.29*1.03+1.37*2+1.3*1.48+1.94*1.05</f>
        <v>73.616200000000006</v>
      </c>
      <c r="N224" s="2" t="str">
        <f t="shared" ca="1" si="35"/>
        <v>2504 to 2404</v>
      </c>
      <c r="O224" s="2">
        <f t="shared" ref="O224:P224" ca="1" si="38">O223+1</f>
        <v>2504</v>
      </c>
      <c r="P224" s="2">
        <f t="shared" ca="1" si="38"/>
        <v>2404</v>
      </c>
    </row>
    <row r="225" spans="1:16" s="2" customFormat="1" x14ac:dyDescent="0.25">
      <c r="A225" s="124" t="s">
        <v>250</v>
      </c>
      <c r="B225" s="125"/>
      <c r="C225" s="125"/>
      <c r="D225" s="125"/>
      <c r="E225" s="125"/>
      <c r="F225" s="125"/>
      <c r="G225" s="125"/>
      <c r="H225" s="126"/>
      <c r="I225" s="31">
        <v>2</v>
      </c>
    </row>
    <row r="226" spans="1:16" s="2" customFormat="1" ht="15.75" customHeight="1" x14ac:dyDescent="0.25">
      <c r="A226" s="127">
        <v>1</v>
      </c>
      <c r="B226" s="128"/>
      <c r="C226" s="127" t="s">
        <v>162</v>
      </c>
      <c r="D226" s="195"/>
      <c r="E226" s="195"/>
      <c r="F226" s="128"/>
      <c r="G226" s="71" t="str">
        <f>A225</f>
        <v>6th &amp; 13th floor (Part Refuge Area)</v>
      </c>
      <c r="H226" s="72"/>
      <c r="I226" s="31"/>
      <c r="N226" s="2" t="str">
        <f t="shared" ref="N226:N229" ca="1" si="39">O226&amp;""&amp;" to "&amp;""&amp;P226</f>
        <v>601 to 1301</v>
      </c>
      <c r="O226" s="2">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10^ROW(INDIRECT("1:"&amp;LEN((LEFT(A225,SUM(LEN(A225)-LEN(SUBSTITUTE(A225,{"0","1","2"},""))))))))/10))*100+1</f>
        <v>601</v>
      </c>
      <c r="P226" s="2">
        <f ca="1">(SUMPRODUCT(MID(0&amp;(--TRIM(RIGHT(SUBSTITUTE(LEFT(A225,_xlfn.AGGREGATE(16,6,FIND({0,1,2,3,4,5,6,7,8,9},A225,ROW(INDIRECT("1:"&amp;LEN(A225)))),1)),"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",LEN(A225))),LEN(A225)))))))/10))*100+1</f>
        <v>1301</v>
      </c>
    </row>
    <row r="227" spans="1:16" s="2" customFormat="1" ht="15.75" customHeight="1" x14ac:dyDescent="0.25">
      <c r="A227" s="127">
        <v>2</v>
      </c>
      <c r="B227" s="128"/>
      <c r="C227" s="30" t="s">
        <v>206</v>
      </c>
      <c r="D227" s="30">
        <f>(3.28*6.09+2.44*2.75+2.44*2.14+3.05*(4.2+3.58)+1.37*2.28+1.44*2.37+2.74*1.05+1.37*2.1+1.94*1.46+1.94*1.05)*10.764</f>
        <v>783.57183840000005</v>
      </c>
      <c r="E227" s="30">
        <v>0</v>
      </c>
      <c r="F227" s="30">
        <f t="shared" ref="F227:F229" si="40">D227*(($F$169)+1)+(IF(E227&lt;101,E227,IF(E227&lt;201,E227/2,IF(E227&lt;=301,E227/3,E227/4))))</f>
        <v>1253.7149414400001</v>
      </c>
      <c r="G227" s="73" t="str">
        <f>G226</f>
        <v>6th &amp; 13th floor (Part Refuge Area)</v>
      </c>
      <c r="H227" s="74"/>
      <c r="I227" s="31"/>
      <c r="N227" s="2" t="str">
        <f t="shared" ca="1" si="39"/>
        <v>602 to 1302</v>
      </c>
      <c r="O227" s="2">
        <f t="shared" ref="O227:P227" ca="1" si="41">O226+1</f>
        <v>602</v>
      </c>
      <c r="P227" s="2">
        <f t="shared" ca="1" si="41"/>
        <v>1302</v>
      </c>
    </row>
    <row r="228" spans="1:16" s="2" customFormat="1" ht="15.75" customHeight="1" x14ac:dyDescent="0.25">
      <c r="A228" s="127">
        <v>3</v>
      </c>
      <c r="B228" s="128"/>
      <c r="C228" s="30" t="s">
        <v>161</v>
      </c>
      <c r="D228" s="30">
        <f>(2.05*1.35+1.84*2.05+3.35*6.09+2.44*2.75+1.94*1.05+3.58*3.05+3.05*3.95+1.17*1.06+2.94*1.06+1.37*0.75)*10.764</f>
        <v>689.3114903999998</v>
      </c>
      <c r="E228" s="30">
        <v>0</v>
      </c>
      <c r="F228" s="30">
        <f t="shared" si="40"/>
        <v>1102.8983846399997</v>
      </c>
      <c r="G228" s="73" t="str">
        <f>G227</f>
        <v>6th &amp; 13th floor (Part Refuge Area)</v>
      </c>
      <c r="H228" s="74"/>
      <c r="I228" s="31"/>
      <c r="N228" s="2" t="str">
        <f t="shared" ca="1" si="39"/>
        <v>603 to 1303</v>
      </c>
      <c r="O228" s="2">
        <f t="shared" ref="O228:P228" ca="1" si="42">O227+1</f>
        <v>603</v>
      </c>
      <c r="P228" s="2">
        <f t="shared" ca="1" si="42"/>
        <v>1303</v>
      </c>
    </row>
    <row r="229" spans="1:16" s="2" customFormat="1" ht="15.75" customHeight="1" x14ac:dyDescent="0.25">
      <c r="A229" s="127">
        <v>4</v>
      </c>
      <c r="B229" s="128"/>
      <c r="C229" s="30" t="s">
        <v>206</v>
      </c>
      <c r="D229" s="30">
        <f>(3.35*6.09+2.44*2.68+2.44*2.14+2.97*(3.5+4.2)+1.29*2.32+1.37*2.37+4.11*1.05+1.29*1.03+1.37*2+1.3*1.48+1.94*1.05)*10.764</f>
        <v>792.40477680000004</v>
      </c>
      <c r="E229" s="30">
        <v>0</v>
      </c>
      <c r="F229" s="30">
        <f t="shared" si="40"/>
        <v>1267.8476428800002</v>
      </c>
      <c r="G229" s="73" t="str">
        <f>G228</f>
        <v>6th &amp; 13th floor (Part Refuge Area)</v>
      </c>
      <c r="H229" s="74"/>
      <c r="I229" s="31"/>
      <c r="N229" s="2" t="str">
        <f t="shared" ca="1" si="39"/>
        <v>604 to 1304</v>
      </c>
      <c r="O229" s="2">
        <f t="shared" ref="O229:P229" ca="1" si="43">O228+1</f>
        <v>604</v>
      </c>
      <c r="P229" s="2">
        <f t="shared" ca="1" si="43"/>
        <v>1304</v>
      </c>
    </row>
    <row r="230" spans="1:16" s="2" customFormat="1" ht="15.75" customHeight="1" x14ac:dyDescent="0.25">
      <c r="A230" s="124" t="s">
        <v>251</v>
      </c>
      <c r="B230" s="125"/>
      <c r="C230" s="125"/>
      <c r="D230" s="125"/>
      <c r="E230" s="125"/>
      <c r="F230" s="125"/>
      <c r="G230" s="125"/>
      <c r="H230" s="126"/>
      <c r="I230" s="31">
        <v>1</v>
      </c>
    </row>
    <row r="231" spans="1:16" s="2" customFormat="1" ht="15.75" customHeight="1" x14ac:dyDescent="0.25">
      <c r="A231" s="127">
        <v>1</v>
      </c>
      <c r="B231" s="128"/>
      <c r="C231" s="30" t="s">
        <v>252</v>
      </c>
      <c r="D231" s="30">
        <f>30.1*10.764</f>
        <v>323.99639999999999</v>
      </c>
      <c r="E231" s="30">
        <v>0</v>
      </c>
      <c r="F231" s="30">
        <f t="shared" ref="F231" si="44">D231*(($F$169)+1)+(IF(E231&lt;101,E231,IF(E231&lt;201,E231/2,IF(E231&lt;=301,E231/3,E231/4))))</f>
        <v>518.39423999999997</v>
      </c>
      <c r="G231" s="71" t="str">
        <f>A230</f>
        <v>20th floor (Part Refuge Area)</v>
      </c>
      <c r="H231" s="72"/>
      <c r="I231" s="31">
        <f>3.35*3.25+2.65*3.05+1.6*1.39+1.37*1.5+1.47*1.97+1.15*1.52+2.33*1.04</f>
        <v>30.316100000000002</v>
      </c>
      <c r="N231" s="2" t="str">
        <f t="shared" ref="N231" si="45">O231&amp;""&amp;" to "&amp;""&amp;P231</f>
        <v>1 to 1</v>
      </c>
      <c r="O231" s="2">
        <f t="shared" ref="O231:P233" si="46">O230+1</f>
        <v>1</v>
      </c>
      <c r="P231" s="2">
        <f t="shared" si="46"/>
        <v>1</v>
      </c>
    </row>
    <row r="232" spans="1:16" s="2" customFormat="1" ht="15.75" customHeight="1" x14ac:dyDescent="0.25">
      <c r="A232" s="127" t="s">
        <v>254</v>
      </c>
      <c r="B232" s="128"/>
      <c r="C232" s="127" t="s">
        <v>162</v>
      </c>
      <c r="D232" s="195"/>
      <c r="E232" s="195"/>
      <c r="F232" s="128"/>
      <c r="G232" s="73"/>
      <c r="H232" s="74"/>
      <c r="I232" s="31"/>
      <c r="N232" s="2" t="str">
        <f t="shared" ref="N232:N235" ca="1" si="47">O232&amp;""&amp;" to "&amp;""&amp;P232</f>
        <v>2001 to 2001</v>
      </c>
      <c r="O232" s="2">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10^ROW(INDIRECT("1:"&amp;LEN((LEFT(A230,SUM(LEN(A230)-LEN(SUBSTITUTE(A230,{"0","1","2"},""))))))))/10))*100+1</f>
        <v>2001</v>
      </c>
      <c r="P232" s="2">
        <f ca="1">(SUMPRODUCT(MID(0&amp;(--TRIM(RIGHT(SUBSTITUTE(LEFT(A230,_xlfn.AGGREGATE(16,6,FIND({0,1,2,3,4,5,6,7,8,9},A230,ROW(INDIRECT("1:"&amp;LEN(A230)))),1)),"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",LEN(A230))),LEN(A230)))))))/10))*100+1</f>
        <v>2001</v>
      </c>
    </row>
    <row r="233" spans="1:16" s="2" customFormat="1" ht="15.75" customHeight="1" x14ac:dyDescent="0.25">
      <c r="A233" s="127">
        <v>2</v>
      </c>
      <c r="B233" s="128"/>
      <c r="C233" s="30" t="s">
        <v>206</v>
      </c>
      <c r="D233" s="30">
        <f>(3.28*6.09+2.44*2.75+2.44*2.14+3.05*(4.2+3.58)+1.37*2.28+1.44*2.37+2.74*1.05+1.37*2.1+1.94*1.46+1.94*1.05)*10.764</f>
        <v>783.57183840000005</v>
      </c>
      <c r="E233" s="30">
        <v>0</v>
      </c>
      <c r="F233" s="30">
        <f t="shared" ref="F233:F235" si="48">D233*(($F$169)+1)+(IF(E233&lt;101,E233,IF(E233&lt;201,E233/2,IF(E233&lt;=301,E233/3,E233/4))))</f>
        <v>1253.7149414400001</v>
      </c>
      <c r="G233" s="73"/>
      <c r="H233" s="74"/>
      <c r="I233" s="31"/>
      <c r="N233" s="2" t="str">
        <f t="shared" ca="1" si="47"/>
        <v>2002 to 2002</v>
      </c>
      <c r="O233" s="2">
        <f t="shared" ca="1" si="46"/>
        <v>2002</v>
      </c>
      <c r="P233" s="2">
        <f t="shared" ca="1" si="46"/>
        <v>2002</v>
      </c>
    </row>
    <row r="234" spans="1:16" s="2" customFormat="1" ht="15.75" customHeight="1" x14ac:dyDescent="0.25">
      <c r="A234" s="127">
        <v>3</v>
      </c>
      <c r="B234" s="128"/>
      <c r="C234" s="30" t="s">
        <v>161</v>
      </c>
      <c r="D234" s="30">
        <f>(2.05*1.35+1.84*2.05+3.35*6.09+2.44*2.75+1.94*1.05+3.58*3.05+3.05*3.95+1.17*1.06+2.94*1.06+1.37*0.75)*10.764</f>
        <v>689.3114903999998</v>
      </c>
      <c r="E234" s="30">
        <v>0</v>
      </c>
      <c r="F234" s="30">
        <f t="shared" si="48"/>
        <v>1102.8983846399997</v>
      </c>
      <c r="G234" s="73"/>
      <c r="H234" s="74"/>
      <c r="I234" s="31"/>
      <c r="N234" s="2" t="str">
        <f t="shared" ca="1" si="47"/>
        <v>2003 to 2003</v>
      </c>
      <c r="O234" s="2">
        <f t="shared" ref="O234:P234" ca="1" si="49">O233+1</f>
        <v>2003</v>
      </c>
      <c r="P234" s="2">
        <f t="shared" ca="1" si="49"/>
        <v>2003</v>
      </c>
    </row>
    <row r="235" spans="1:16" s="2" customFormat="1" ht="15.75" customHeight="1" x14ac:dyDescent="0.25">
      <c r="A235" s="127">
        <v>4</v>
      </c>
      <c r="B235" s="128"/>
      <c r="C235" s="30" t="s">
        <v>206</v>
      </c>
      <c r="D235" s="30">
        <f>(3.35*6.09+2.44*2.68+2.44*2.14+2.97*(3.5+4.2)+1.29*2.32+1.37*2.37+4.11*1.05+1.29*1.03+1.37*2+1.3*1.48+1.94*1.05)*10.764</f>
        <v>792.40477680000004</v>
      </c>
      <c r="E235" s="30">
        <v>0</v>
      </c>
      <c r="F235" s="30">
        <f t="shared" si="48"/>
        <v>1267.8476428800002</v>
      </c>
      <c r="G235" s="75"/>
      <c r="H235" s="76"/>
      <c r="I235" s="31"/>
      <c r="N235" s="2" t="str">
        <f t="shared" ca="1" si="47"/>
        <v>2004 to 2004</v>
      </c>
      <c r="O235" s="2">
        <f t="shared" ref="O235:P235" ca="1" si="50">O234+1</f>
        <v>2004</v>
      </c>
      <c r="P235" s="2">
        <f t="shared" ca="1" si="50"/>
        <v>2004</v>
      </c>
    </row>
    <row r="236" spans="1:16" x14ac:dyDescent="0.25">
      <c r="A236" s="95" t="s">
        <v>189</v>
      </c>
      <c r="B236" s="95"/>
      <c r="C236" s="95"/>
      <c r="D236" s="95"/>
      <c r="E236" s="95"/>
      <c r="F236" s="95"/>
      <c r="G236" s="95"/>
      <c r="H236" s="95"/>
    </row>
    <row r="237" spans="1:16" x14ac:dyDescent="0.25">
      <c r="A237" s="96" t="s">
        <v>158</v>
      </c>
      <c r="B237" s="96"/>
      <c r="C237" s="96"/>
      <c r="D237" s="96"/>
      <c r="E237" s="96"/>
      <c r="F237" s="96"/>
      <c r="G237" s="96"/>
      <c r="H237" s="96"/>
    </row>
    <row r="238" spans="1:16" x14ac:dyDescent="0.25">
      <c r="A238" s="96" t="s">
        <v>157</v>
      </c>
      <c r="B238" s="96"/>
      <c r="C238" s="96"/>
      <c r="D238" s="96"/>
      <c r="E238" s="96"/>
      <c r="F238" s="96"/>
      <c r="G238" s="96"/>
      <c r="H238" s="96"/>
    </row>
    <row r="239" spans="1:16" x14ac:dyDescent="0.25">
      <c r="A239" s="96" t="s">
        <v>235</v>
      </c>
      <c r="B239" s="96"/>
      <c r="C239" s="96"/>
      <c r="D239" s="96"/>
      <c r="E239" s="96"/>
      <c r="F239" s="96"/>
      <c r="G239" s="96"/>
      <c r="H239" s="96"/>
    </row>
    <row r="240" spans="1:16" x14ac:dyDescent="0.25">
      <c r="A240" s="96" t="s">
        <v>159</v>
      </c>
      <c r="B240" s="96"/>
      <c r="C240" s="96"/>
      <c r="D240" s="96"/>
      <c r="E240" s="96"/>
      <c r="F240" s="96"/>
      <c r="G240" s="96"/>
      <c r="H240" s="96"/>
    </row>
    <row r="241" spans="1:16" s="2" customFormat="1" ht="30.75" customHeight="1" x14ac:dyDescent="0.25">
      <c r="A241" s="124" t="s">
        <v>228</v>
      </c>
      <c r="B241" s="125"/>
      <c r="C241" s="125"/>
      <c r="D241" s="125"/>
      <c r="E241" s="125"/>
      <c r="F241" s="125"/>
      <c r="G241" s="125"/>
      <c r="H241" s="126"/>
      <c r="I241" s="31"/>
    </row>
    <row r="242" spans="1:16" s="2" customFormat="1" ht="15.75" customHeight="1" x14ac:dyDescent="0.25">
      <c r="A242" s="127">
        <v>1</v>
      </c>
      <c r="B242" s="128"/>
      <c r="C242" s="30" t="s">
        <v>160</v>
      </c>
      <c r="D242" s="30">
        <f>(92.21)*10.764</f>
        <v>992.54843999999991</v>
      </c>
      <c r="E242" s="30">
        <v>0</v>
      </c>
      <c r="F242" s="30">
        <f t="shared" ref="F242:F247" si="51">D242*(($F$169)+1)+(IF(E242&lt;101,E242,IF(E242&lt;201,E242/2,IF(E242&lt;=301,E242/3,E242/4))))</f>
        <v>1588.0775039999999</v>
      </c>
      <c r="G242" s="71" t="str">
        <f>A241</f>
        <v>1st to 4th, 6th to 11th, 13th to 18th, 20th to 25th, 27th to 32nd, 34th to 39th, 41st to 46th Floor for Residential</v>
      </c>
      <c r="H242" s="72"/>
      <c r="I242" s="31"/>
      <c r="N242" s="2" t="str">
        <f t="shared" ref="N242:N247" ca="1" si="52">O242&amp;""&amp;" to "&amp;""&amp;P242</f>
        <v>1401 to 4601</v>
      </c>
      <c r="O242" s="2">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10^ROW(INDIRECT("1:"&amp;LEN((LEFT(A241,SUM(LEN(A241)-LEN(SUBSTITUTE(A241,{"0","1","2"},""))))))))/10))*100+1</f>
        <v>1401</v>
      </c>
      <c r="P242" s="2">
        <f ca="1">(SUMPRODUCT(MID(0&amp;(--TRIM(RIGHT(SUBSTITUTE(LEFT(A241,_xlfn.AGGREGATE(16,6,FIND({0,1,2,3,4,5,6,7,8,9},A241,ROW(INDIRECT("1:"&amp;LEN(A241)))),1)),"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",LEN(A241))),LEN(A241)))))))/10))*100+1</f>
        <v>4601</v>
      </c>
    </row>
    <row r="243" spans="1:16" s="2" customFormat="1" ht="15.75" customHeight="1" x14ac:dyDescent="0.25">
      <c r="A243" s="127">
        <v>2</v>
      </c>
      <c r="B243" s="128"/>
      <c r="C243" s="30" t="s">
        <v>160</v>
      </c>
      <c r="D243" s="30">
        <f>(92.21)*10.764</f>
        <v>992.54843999999991</v>
      </c>
      <c r="E243" s="30">
        <v>0</v>
      </c>
      <c r="F243" s="30">
        <f t="shared" si="51"/>
        <v>1588.0775039999999</v>
      </c>
      <c r="G243" s="73"/>
      <c r="H243" s="74"/>
      <c r="I243" s="31"/>
      <c r="N243" s="2" t="str">
        <f t="shared" ca="1" si="52"/>
        <v>1402 to 4602</v>
      </c>
      <c r="O243" s="2">
        <f t="shared" ref="O243:P246" ca="1" si="53">O242+1</f>
        <v>1402</v>
      </c>
      <c r="P243" s="2">
        <f t="shared" ca="1" si="53"/>
        <v>4602</v>
      </c>
    </row>
    <row r="244" spans="1:16" s="2" customFormat="1" ht="15.75" customHeight="1" x14ac:dyDescent="0.25">
      <c r="A244" s="127">
        <v>3</v>
      </c>
      <c r="B244" s="128"/>
      <c r="C244" s="30" t="s">
        <v>161</v>
      </c>
      <c r="D244" s="30">
        <f>(59.91)*10.764</f>
        <v>644.87123999999994</v>
      </c>
      <c r="E244" s="30">
        <v>0</v>
      </c>
      <c r="F244" s="30">
        <f t="shared" si="51"/>
        <v>1031.7939839999999</v>
      </c>
      <c r="G244" s="73"/>
      <c r="H244" s="74"/>
      <c r="I244" s="31"/>
      <c r="N244" s="2" t="str">
        <f t="shared" ca="1" si="52"/>
        <v>1403 to 4603</v>
      </c>
      <c r="O244" s="2">
        <f t="shared" ca="1" si="53"/>
        <v>1403</v>
      </c>
      <c r="P244" s="2">
        <f t="shared" ca="1" si="53"/>
        <v>4603</v>
      </c>
    </row>
    <row r="245" spans="1:16" s="2" customFormat="1" ht="15.75" customHeight="1" x14ac:dyDescent="0.25">
      <c r="A245" s="127">
        <v>4</v>
      </c>
      <c r="B245" s="128"/>
      <c r="C245" s="30" t="s">
        <v>161</v>
      </c>
      <c r="D245" s="30">
        <f t="shared" ref="D245:D247" si="54">(59.91)*10.764</f>
        <v>644.87123999999994</v>
      </c>
      <c r="E245" s="30">
        <v>0</v>
      </c>
      <c r="F245" s="30">
        <f t="shared" si="51"/>
        <v>1031.7939839999999</v>
      </c>
      <c r="G245" s="73"/>
      <c r="H245" s="74"/>
      <c r="I245" s="31"/>
      <c r="N245" s="2" t="str">
        <f t="shared" ca="1" si="52"/>
        <v>1404 to 4604</v>
      </c>
      <c r="O245" s="2">
        <f t="shared" ca="1" si="53"/>
        <v>1404</v>
      </c>
      <c r="P245" s="2">
        <f t="shared" ca="1" si="53"/>
        <v>4604</v>
      </c>
    </row>
    <row r="246" spans="1:16" s="2" customFormat="1" ht="15.75" customHeight="1" x14ac:dyDescent="0.25">
      <c r="A246" s="127">
        <v>5</v>
      </c>
      <c r="B246" s="128"/>
      <c r="C246" s="30" t="s">
        <v>161</v>
      </c>
      <c r="D246" s="30">
        <f t="shared" si="54"/>
        <v>644.87123999999994</v>
      </c>
      <c r="E246" s="30">
        <v>0</v>
      </c>
      <c r="F246" s="30">
        <f t="shared" si="51"/>
        <v>1031.7939839999999</v>
      </c>
      <c r="G246" s="73"/>
      <c r="H246" s="74"/>
      <c r="I246" s="31"/>
      <c r="N246" s="2" t="str">
        <f t="shared" ca="1" si="52"/>
        <v>1405 to 4605</v>
      </c>
      <c r="O246" s="2">
        <f t="shared" ca="1" si="53"/>
        <v>1405</v>
      </c>
      <c r="P246" s="2">
        <f t="shared" ca="1" si="53"/>
        <v>4605</v>
      </c>
    </row>
    <row r="247" spans="1:16" s="2" customFormat="1" ht="15.75" customHeight="1" x14ac:dyDescent="0.25">
      <c r="A247" s="127">
        <v>6</v>
      </c>
      <c r="B247" s="128"/>
      <c r="C247" s="30" t="s">
        <v>161</v>
      </c>
      <c r="D247" s="30">
        <f t="shared" si="54"/>
        <v>644.87123999999994</v>
      </c>
      <c r="E247" s="30">
        <v>0</v>
      </c>
      <c r="F247" s="30">
        <f t="shared" si="51"/>
        <v>1031.7939839999999</v>
      </c>
      <c r="G247" s="75"/>
      <c r="H247" s="76"/>
      <c r="I247" s="31">
        <f>14900000/F247</f>
        <v>14440.867296237309</v>
      </c>
      <c r="N247" s="2" t="str">
        <f t="shared" ca="1" si="52"/>
        <v>1406 to 4606</v>
      </c>
      <c r="O247" s="2">
        <f ca="1">O246+1</f>
        <v>1406</v>
      </c>
      <c r="P247" s="2">
        <f ca="1">P246+1</f>
        <v>4606</v>
      </c>
    </row>
    <row r="248" spans="1:16" s="2" customFormat="1" x14ac:dyDescent="0.25">
      <c r="A248" s="124" t="s">
        <v>224</v>
      </c>
      <c r="B248" s="125"/>
      <c r="C248" s="125"/>
      <c r="D248" s="125"/>
      <c r="E248" s="125"/>
      <c r="F248" s="125"/>
      <c r="G248" s="125"/>
      <c r="H248" s="126"/>
      <c r="I248" s="31"/>
    </row>
    <row r="249" spans="1:16" s="2" customFormat="1" ht="15.75" customHeight="1" x14ac:dyDescent="0.25">
      <c r="A249" s="127">
        <v>1</v>
      </c>
      <c r="B249" s="128"/>
      <c r="C249" s="30" t="s">
        <v>160</v>
      </c>
      <c r="D249" s="30">
        <f>(92.21)*10.764</f>
        <v>992.54843999999991</v>
      </c>
      <c r="E249" s="30">
        <v>0</v>
      </c>
      <c r="F249" s="30">
        <f>D249*(($F$169)+1)+(IF(E249&lt;101,E249,IF(E249&lt;201,E249/2,IF(E249&lt;=301,E249/3,E249/4))))</f>
        <v>1588.0775039999999</v>
      </c>
      <c r="G249" s="71" t="str">
        <f>A248</f>
        <v>5th, 12th, 19th, 26th, 33rd &amp; 40th floor (Part Refuge Area)</v>
      </c>
      <c r="H249" s="72"/>
      <c r="I249" s="31"/>
      <c r="N249" s="2" t="str">
        <f t="shared" ref="N249:N254" ca="1" si="55">O249&amp;""&amp;" to "&amp;""&amp;P249</f>
        <v>501 to 4001</v>
      </c>
      <c r="O249" s="2">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10^ROW(INDIRECT("1:"&amp;LEN((LEFT(A248,SUM(LEN(A248)-LEN(SUBSTITUTE(A248,{"0","1","2"},""))))))))/10))*100+1</f>
        <v>501</v>
      </c>
      <c r="P249" s="2">
        <f ca="1">(SUMPRODUCT(MID(0&amp;(--TRIM(RIGHT(SUBSTITUTE(LEFT(A248,_xlfn.AGGREGATE(16,6,FIND({0,1,2,3,4,5,6,7,8,9},A248,ROW(INDIRECT("1:"&amp;LEN(A248)))),1)),"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",LEN(A248))),LEN(A248)))))))/10))*100+1</f>
        <v>4001</v>
      </c>
    </row>
    <row r="250" spans="1:16" s="2" customFormat="1" ht="15.75" customHeight="1" x14ac:dyDescent="0.25">
      <c r="A250" s="127">
        <v>2</v>
      </c>
      <c r="B250" s="128"/>
      <c r="C250" s="30" t="s">
        <v>160</v>
      </c>
      <c r="D250" s="30">
        <f>(92.21)*10.764</f>
        <v>992.54843999999991</v>
      </c>
      <c r="E250" s="30">
        <v>0</v>
      </c>
      <c r="F250" s="30">
        <f>D250*(($F$169)+1)+(IF(E250&lt;101,E250,IF(E250&lt;201,E250/2,IF(E250&lt;=301,E250/3,E250/4))))</f>
        <v>1588.0775039999999</v>
      </c>
      <c r="G250" s="73" t="str">
        <f>G249</f>
        <v>5th, 12th, 19th, 26th, 33rd &amp; 40th floor (Part Refuge Area)</v>
      </c>
      <c r="H250" s="74"/>
      <c r="I250" s="31"/>
      <c r="N250" s="2" t="str">
        <f t="shared" ca="1" si="55"/>
        <v>502 to 4002</v>
      </c>
      <c r="O250" s="2">
        <f t="shared" ref="O250:P250" ca="1" si="56">O249+1</f>
        <v>502</v>
      </c>
      <c r="P250" s="2">
        <f t="shared" ca="1" si="56"/>
        <v>4002</v>
      </c>
    </row>
    <row r="251" spans="1:16" s="2" customFormat="1" ht="15.75" customHeight="1" x14ac:dyDescent="0.25">
      <c r="A251" s="127">
        <v>3</v>
      </c>
      <c r="B251" s="128"/>
      <c r="C251" s="71" t="s">
        <v>162</v>
      </c>
      <c r="D251" s="77"/>
      <c r="E251" s="77"/>
      <c r="F251" s="72"/>
      <c r="G251" s="73" t="str">
        <f>G250</f>
        <v>5th, 12th, 19th, 26th, 33rd &amp; 40th floor (Part Refuge Area)</v>
      </c>
      <c r="H251" s="74"/>
      <c r="I251" s="31"/>
      <c r="N251" s="2" t="str">
        <f t="shared" ca="1" si="55"/>
        <v>503 to 4003</v>
      </c>
      <c r="O251" s="2">
        <f t="shared" ref="O251:P251" ca="1" si="57">O250+1</f>
        <v>503</v>
      </c>
      <c r="P251" s="2">
        <f t="shared" ca="1" si="57"/>
        <v>4003</v>
      </c>
    </row>
    <row r="252" spans="1:16" s="2" customFormat="1" ht="15.75" customHeight="1" x14ac:dyDescent="0.25">
      <c r="A252" s="127">
        <v>4</v>
      </c>
      <c r="B252" s="128"/>
      <c r="C252" s="75"/>
      <c r="D252" s="78"/>
      <c r="E252" s="78"/>
      <c r="F252" s="76"/>
      <c r="G252" s="73" t="str">
        <f>G251</f>
        <v>5th, 12th, 19th, 26th, 33rd &amp; 40th floor (Part Refuge Area)</v>
      </c>
      <c r="H252" s="74"/>
      <c r="I252" s="31"/>
      <c r="N252" s="2" t="str">
        <f t="shared" ca="1" si="55"/>
        <v>504 to 4004</v>
      </c>
      <c r="O252" s="2">
        <f t="shared" ref="O252:P252" ca="1" si="58">O251+1</f>
        <v>504</v>
      </c>
      <c r="P252" s="2">
        <f t="shared" ca="1" si="58"/>
        <v>4004</v>
      </c>
    </row>
    <row r="253" spans="1:16" s="2" customFormat="1" ht="15.75" customHeight="1" x14ac:dyDescent="0.25">
      <c r="A253" s="127">
        <v>5</v>
      </c>
      <c r="B253" s="128"/>
      <c r="C253" s="30" t="s">
        <v>161</v>
      </c>
      <c r="D253" s="30">
        <f t="shared" ref="D253:D254" si="59">(59.91)*10.764</f>
        <v>644.87123999999994</v>
      </c>
      <c r="E253" s="30">
        <v>0</v>
      </c>
      <c r="F253" s="30">
        <f>D253*(($F$169)+1)+(IF(E253&lt;101,E253,IF(E253&lt;201,E253/2,IF(E253&lt;=301,E253/3,E253/4))))</f>
        <v>1031.7939839999999</v>
      </c>
      <c r="G253" s="73" t="str">
        <f>G252</f>
        <v>5th, 12th, 19th, 26th, 33rd &amp; 40th floor (Part Refuge Area)</v>
      </c>
      <c r="H253" s="74"/>
      <c r="I253" s="31"/>
      <c r="N253" s="2" t="str">
        <f t="shared" ca="1" si="55"/>
        <v>505 to 4005</v>
      </c>
      <c r="O253" s="2">
        <f t="shared" ref="O253:P253" ca="1" si="60">O252+1</f>
        <v>505</v>
      </c>
      <c r="P253" s="2">
        <f t="shared" ca="1" si="60"/>
        <v>4005</v>
      </c>
    </row>
    <row r="254" spans="1:16" s="2" customFormat="1" ht="15.75" customHeight="1" x14ac:dyDescent="0.25">
      <c r="A254" s="127">
        <v>6</v>
      </c>
      <c r="B254" s="128"/>
      <c r="C254" s="30" t="s">
        <v>161</v>
      </c>
      <c r="D254" s="30">
        <f t="shared" si="59"/>
        <v>644.87123999999994</v>
      </c>
      <c r="E254" s="30">
        <v>0</v>
      </c>
      <c r="F254" s="30">
        <f>D254*(($F$169)+1)+(IF(E254&lt;101,E254,IF(E254&lt;201,E254/2,IF(E254&lt;=301,E254/3,E254/4))))</f>
        <v>1031.7939839999999</v>
      </c>
      <c r="G254" s="75" t="str">
        <f>G253</f>
        <v>5th, 12th, 19th, 26th, 33rd &amp; 40th floor (Part Refuge Area)</v>
      </c>
      <c r="H254" s="76"/>
      <c r="I254" s="31"/>
      <c r="N254" s="2" t="str">
        <f t="shared" ca="1" si="55"/>
        <v>506 to 4006</v>
      </c>
      <c r="O254" s="2">
        <f ca="1">O253+1</f>
        <v>506</v>
      </c>
      <c r="P254" s="2">
        <f ca="1">P253+1</f>
        <v>4006</v>
      </c>
    </row>
    <row r="255" spans="1:16" x14ac:dyDescent="0.25">
      <c r="A255" s="95" t="s">
        <v>190</v>
      </c>
      <c r="B255" s="95"/>
      <c r="C255" s="95"/>
      <c r="D255" s="95"/>
      <c r="E255" s="95"/>
      <c r="F255" s="95"/>
      <c r="G255" s="95"/>
      <c r="H255" s="95"/>
    </row>
    <row r="256" spans="1:16" x14ac:dyDescent="0.25">
      <c r="A256" s="96" t="s">
        <v>158</v>
      </c>
      <c r="B256" s="96"/>
      <c r="C256" s="96"/>
      <c r="D256" s="96"/>
      <c r="E256" s="96"/>
      <c r="F256" s="96"/>
      <c r="G256" s="96"/>
      <c r="H256" s="96"/>
    </row>
    <row r="257" spans="1:16" x14ac:dyDescent="0.25">
      <c r="A257" s="96" t="s">
        <v>157</v>
      </c>
      <c r="B257" s="96"/>
      <c r="C257" s="96"/>
      <c r="D257" s="96"/>
      <c r="E257" s="96"/>
      <c r="F257" s="96"/>
      <c r="G257" s="96"/>
      <c r="H257" s="96"/>
    </row>
    <row r="258" spans="1:16" x14ac:dyDescent="0.25">
      <c r="A258" s="96" t="s">
        <v>225</v>
      </c>
      <c r="B258" s="96"/>
      <c r="C258" s="96"/>
      <c r="D258" s="96"/>
      <c r="E258" s="96"/>
      <c r="F258" s="96"/>
      <c r="G258" s="96"/>
      <c r="H258" s="96"/>
    </row>
    <row r="259" spans="1:16" x14ac:dyDescent="0.25">
      <c r="A259" s="96" t="s">
        <v>226</v>
      </c>
      <c r="B259" s="96"/>
      <c r="C259" s="96"/>
      <c r="D259" s="96"/>
      <c r="E259" s="96"/>
      <c r="F259" s="96"/>
      <c r="G259" s="96"/>
      <c r="H259" s="96"/>
    </row>
    <row r="260" spans="1:16" x14ac:dyDescent="0.25">
      <c r="A260" s="96" t="s">
        <v>159</v>
      </c>
      <c r="B260" s="96"/>
      <c r="C260" s="96"/>
      <c r="D260" s="96"/>
      <c r="E260" s="96"/>
      <c r="F260" s="96"/>
      <c r="G260" s="96"/>
      <c r="H260" s="96"/>
    </row>
    <row r="261" spans="1:16" s="2" customFormat="1" ht="33.75" customHeight="1" x14ac:dyDescent="0.25">
      <c r="A261" s="94" t="s">
        <v>228</v>
      </c>
      <c r="B261" s="94"/>
      <c r="C261" s="94"/>
      <c r="D261" s="94"/>
      <c r="E261" s="94"/>
      <c r="F261" s="94"/>
      <c r="G261" s="94"/>
      <c r="H261" s="94"/>
      <c r="I261" s="31"/>
    </row>
    <row r="262" spans="1:16" s="2" customFormat="1" ht="15.75" customHeight="1" x14ac:dyDescent="0.25">
      <c r="A262" s="70">
        <v>1</v>
      </c>
      <c r="B262" s="70"/>
      <c r="C262" s="30" t="s">
        <v>160</v>
      </c>
      <c r="D262" s="30">
        <f>(2.8*1.2+3.58*2.7+3.48*6.2+3.55*1+2.45*1.53+3.45*3.05+2.45*1.53+2.45*1.53+3.4*3.8+3.05*3.35+2.45*1+0.9*1.53+3.35*1.2)*10.764</f>
        <v>978.49603799999988</v>
      </c>
      <c r="E262" s="30">
        <v>0</v>
      </c>
      <c r="F262" s="30">
        <f t="shared" ref="F262:F267" si="61">D262*(($F$169)+1)+(IF(E262&lt;101,E262,IF(E262&lt;201,E262/2,IF(E262&lt;=301,E262/3,E262/4))))</f>
        <v>1565.5936608</v>
      </c>
      <c r="G262" s="70" t="str">
        <f>A261</f>
        <v>1st to 4th, 6th to 11th, 13th to 18th, 20th to 25th, 27th to 32nd, 34th to 39th, 41st to 46th Floor for Residential</v>
      </c>
      <c r="H262" s="70"/>
      <c r="I262" s="31"/>
      <c r="N262" s="2" t="e">
        <f t="shared" ref="N262" ca="1" si="62">O262&amp;""&amp;" to "&amp;""&amp;P262</f>
        <v>#REF!</v>
      </c>
      <c r="O262" s="2" t="e">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10^ROW(INDIRECT("1:"&amp;LEN((LEFT(A260,SUM(LEN(A260)-LEN(SUBSTITUTE(A260,{"0","1","2"},""))))))))/10))*100+1</f>
        <v>#REF!</v>
      </c>
      <c r="P262" s="2" t="e">
        <f ca="1">(SUMPRODUCT(MID(0&amp;(--TRIM(RIGHT(SUBSTITUTE(LEFT(A260,_xlfn.AGGREGATE(16,6,FIND({0,1,2,3,4,5,6,7,8,9},A260,ROW(INDIRECT("1:"&amp;LEN(A260)))),1)),"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",LEN(A260))),LEN(A260)))))))/10))*100+1</f>
        <v>#NUM!</v>
      </c>
    </row>
    <row r="263" spans="1:16" s="2" customFormat="1" ht="15.75" customHeight="1" x14ac:dyDescent="0.25">
      <c r="A263" s="70">
        <v>2</v>
      </c>
      <c r="B263" s="70"/>
      <c r="C263" s="30" t="s">
        <v>160</v>
      </c>
      <c r="D263" s="30">
        <f>(2.8*1.2+3.58*2.7+3.48*6.2+3.55*1+2.45*1.53+3.45*3.05+2.45*1.53+2.45*1.53+3.4*3.8+3.05*3.35+2.45*1+0.9*1.53+3.35*1.2)*10.764</f>
        <v>978.49603799999988</v>
      </c>
      <c r="E263" s="30">
        <v>0</v>
      </c>
      <c r="F263" s="30">
        <f t="shared" si="61"/>
        <v>1565.5936608</v>
      </c>
      <c r="G263" s="70"/>
      <c r="H263" s="70"/>
      <c r="I263" s="31">
        <f>25200000/F263</f>
        <v>16096.130580346817</v>
      </c>
      <c r="N263" s="2" t="str">
        <f t="shared" ref="N263:N266" ca="1" si="63">O263&amp;""&amp;" to "&amp;""&amp;P263</f>
        <v>1401 to 4601</v>
      </c>
      <c r="O263" s="2">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10^ROW(INDIRECT("1:"&amp;LEN((LEFT(A261,SUM(LEN(A261)-LEN(SUBSTITUTE(A261,{"0","1","2"},""))))))))/10))*100+1</f>
        <v>1401</v>
      </c>
      <c r="P263" s="2">
        <f ca="1">(SUMPRODUCT(MID(0&amp;(--TRIM(RIGHT(SUBSTITUTE(LEFT(A261,_xlfn.AGGREGATE(16,6,FIND({0,1,2,3,4,5,6,7,8,9},A261,ROW(INDIRECT("1:"&amp;LEN(A261)))),1)),"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",LEN(A261))),LEN(A261)))))))/10))*100+1</f>
        <v>4601</v>
      </c>
    </row>
    <row r="264" spans="1:16" s="2" customFormat="1" ht="15.75" customHeight="1" x14ac:dyDescent="0.25">
      <c r="A264" s="70">
        <v>3</v>
      </c>
      <c r="B264" s="70"/>
      <c r="C264" s="30" t="s">
        <v>161</v>
      </c>
      <c r="D264" s="30">
        <f>(2.73*1+2.42*3.31+4.7*3.55+2.45*1.52+3.05*3.35+3.65*3.05+2.45*1.52+2.45*1+3.35*1.2)*10.764</f>
        <v>674.82960479999986</v>
      </c>
      <c r="E264" s="30">
        <v>0</v>
      </c>
      <c r="F264" s="30">
        <f t="shared" si="61"/>
        <v>1079.7273676799998</v>
      </c>
      <c r="G264" s="70"/>
      <c r="H264" s="70"/>
      <c r="I264" s="31">
        <f>I263/F263</f>
        <v>10.281167446808569</v>
      </c>
      <c r="N264" s="2" t="str">
        <f t="shared" ca="1" si="63"/>
        <v>1402 to 4602</v>
      </c>
      <c r="O264" s="2">
        <f t="shared" ref="O264:P264" ca="1" si="64">O263+1</f>
        <v>1402</v>
      </c>
      <c r="P264" s="2">
        <f t="shared" ca="1" si="64"/>
        <v>4602</v>
      </c>
    </row>
    <row r="265" spans="1:16" s="2" customFormat="1" ht="15.75" customHeight="1" x14ac:dyDescent="0.25">
      <c r="A265" s="70">
        <v>4</v>
      </c>
      <c r="B265" s="70"/>
      <c r="C265" s="30" t="s">
        <v>161</v>
      </c>
      <c r="D265" s="30">
        <f>(2.73*1+2.42*3.31+4.7*3.55+2.45*1.52+3.05*3.35+3.65*3.05+2.45*1.52+2.45*1+3.35*1.2)*10.764</f>
        <v>674.82960479999986</v>
      </c>
      <c r="E265" s="30">
        <v>0</v>
      </c>
      <c r="F265" s="30">
        <f t="shared" si="61"/>
        <v>1079.7273676799998</v>
      </c>
      <c r="G265" s="70"/>
      <c r="H265" s="70"/>
      <c r="I265" s="31">
        <f>22500000/F265</f>
        <v>20838.593772375651</v>
      </c>
      <c r="N265" s="2" t="str">
        <f t="shared" ca="1" si="63"/>
        <v>1403 to 4603</v>
      </c>
      <c r="O265" s="2">
        <f t="shared" ref="O265:P265" ca="1" si="65">O264+1</f>
        <v>1403</v>
      </c>
      <c r="P265" s="2">
        <f t="shared" ca="1" si="65"/>
        <v>4603</v>
      </c>
    </row>
    <row r="266" spans="1:16" s="2" customFormat="1" ht="15.75" customHeight="1" x14ac:dyDescent="0.25">
      <c r="A266" s="70">
        <v>5</v>
      </c>
      <c r="B266" s="70"/>
      <c r="C266" s="30" t="s">
        <v>161</v>
      </c>
      <c r="D266" s="30">
        <f>(2.73*1+2.42*3.31+4.7*3.55+2.45*1.52+3.05*3.35+3.65*3.05+2.45*1.52+2.45*1+3.35*1.2)*10.764</f>
        <v>674.82960479999986</v>
      </c>
      <c r="E266" s="30">
        <v>0</v>
      </c>
      <c r="F266" s="30">
        <f t="shared" si="61"/>
        <v>1079.7273676799998</v>
      </c>
      <c r="G266" s="70"/>
      <c r="H266" s="70"/>
      <c r="I266" s="31"/>
      <c r="N266" s="2" t="str">
        <f t="shared" ca="1" si="63"/>
        <v>1404 to 4604</v>
      </c>
      <c r="O266" s="2">
        <f t="shared" ref="O266:P267" ca="1" si="66">O265+1</f>
        <v>1404</v>
      </c>
      <c r="P266" s="2">
        <f t="shared" ca="1" si="66"/>
        <v>4604</v>
      </c>
    </row>
    <row r="267" spans="1:16" s="2" customFormat="1" ht="15.75" customHeight="1" x14ac:dyDescent="0.25">
      <c r="A267" s="70">
        <v>6</v>
      </c>
      <c r="B267" s="70"/>
      <c r="C267" s="30" t="s">
        <v>161</v>
      </c>
      <c r="D267" s="30">
        <f>(2.73*1+2.42*3.31+4.7*3.55+2.45*1.52+3.05*3.35+3.65*3.05+2.45*1.52+2.45*1+3.35*1.2)*10.764</f>
        <v>674.82960479999986</v>
      </c>
      <c r="E267" s="30">
        <v>0</v>
      </c>
      <c r="F267" s="30">
        <f t="shared" si="61"/>
        <v>1079.7273676799998</v>
      </c>
      <c r="G267" s="70"/>
      <c r="H267" s="70"/>
      <c r="I267" s="31"/>
      <c r="N267" s="2" t="str">
        <f t="shared" ref="N267" ca="1" si="67">O267&amp;""&amp;" to "&amp;""&amp;P267</f>
        <v>1405 to 4605</v>
      </c>
      <c r="O267" s="2">
        <f t="shared" ca="1" si="66"/>
        <v>1405</v>
      </c>
      <c r="P267" s="2">
        <f t="shared" ca="1" si="66"/>
        <v>4605</v>
      </c>
    </row>
    <row r="268" spans="1:16" s="2" customFormat="1" x14ac:dyDescent="0.25">
      <c r="A268" s="124" t="s">
        <v>224</v>
      </c>
      <c r="B268" s="125"/>
      <c r="C268" s="125"/>
      <c r="D268" s="125"/>
      <c r="E268" s="125"/>
      <c r="F268" s="125"/>
      <c r="G268" s="125"/>
      <c r="H268" s="126"/>
      <c r="I268" s="31"/>
    </row>
    <row r="269" spans="1:16" s="2" customFormat="1" ht="15.75" customHeight="1" x14ac:dyDescent="0.25">
      <c r="A269" s="127">
        <v>1</v>
      </c>
      <c r="B269" s="128"/>
      <c r="C269" s="30" t="s">
        <v>160</v>
      </c>
      <c r="D269" s="30">
        <f>(2.8*1.2+3.58*2.7+3.48*6.2+3.55*1+2.45*1.53+3.45*3.05+2.45*1.53+2.45*1.53+3.4*3.8+3.05*3.35+2.45*1+0.9*1.53+3.35*1.2)*10.764</f>
        <v>978.49603799999988</v>
      </c>
      <c r="E269" s="30">
        <v>0</v>
      </c>
      <c r="F269" s="30">
        <f>D269*(($F$169)+1)+(IF(E269&lt;101,E269,IF(E269&lt;201,E269/2,IF(E269&lt;=301,E269/3,E269/4))))</f>
        <v>1565.5936608</v>
      </c>
      <c r="G269" s="71" t="str">
        <f>A268</f>
        <v>5th, 12th, 19th, 26th, 33rd &amp; 40th floor (Part Refuge Area)</v>
      </c>
      <c r="H269" s="72"/>
      <c r="I269" s="31"/>
      <c r="N269" s="2" t="e">
        <f t="shared" ref="N269:N272" ca="1" si="68">O269&amp;""&amp;" to "&amp;""&amp;P269</f>
        <v>#REF!</v>
      </c>
      <c r="O269" s="2" t="e">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10^ROW(INDIRECT("1:"&amp;LEN((LEFT(A267,SUM(LEN(A267)-LEN(SUBSTITUTE(A267,{"0","1","2"},""))))))))/10))*100+1</f>
        <v>#REF!</v>
      </c>
      <c r="P269" s="2">
        <f ca="1">(SUMPRODUCT(MID(0&amp;(--TRIM(RIGHT(SUBSTITUTE(LEFT(A267,_xlfn.AGGREGATE(16,6,FIND({0,1,2,3,4,5,6,7,8,9},A267,ROW(INDIRECT("1:"&amp;LEN(A267)))),1)),"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",LEN(A267))),LEN(A267)))))))/10))*100+1</f>
        <v>601</v>
      </c>
    </row>
    <row r="270" spans="1:16" s="2" customFormat="1" ht="15.75" customHeight="1" x14ac:dyDescent="0.25">
      <c r="A270" s="127">
        <v>2</v>
      </c>
      <c r="B270" s="128"/>
      <c r="C270" s="30" t="s">
        <v>160</v>
      </c>
      <c r="D270" s="30">
        <f>(2.8*1.2+3.58*2.7+3.48*6.2+3.55*1+2.45*1.53+3.45*3.05+2.45*1.53+2.45*1.53+3.4*3.8+3.05*3.35+2.45*1+0.9*1.53+3.35*1.2)*10.764</f>
        <v>978.49603799999988</v>
      </c>
      <c r="E270" s="30">
        <v>0</v>
      </c>
      <c r="F270" s="30">
        <f>D270*(($F$169)+1)+(IF(E270&lt;101,E270,IF(E270&lt;201,E270/2,IF(E270&lt;=301,E270/3,E270/4))))</f>
        <v>1565.5936608</v>
      </c>
      <c r="G270" s="73"/>
      <c r="H270" s="74"/>
      <c r="I270" s="31"/>
      <c r="N270" s="2" t="str">
        <f t="shared" ca="1" si="68"/>
        <v>501 to 4001</v>
      </c>
      <c r="O270" s="2">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10^ROW(INDIRECT("1:"&amp;LEN((LEFT(A268,SUM(LEN(A268)-LEN(SUBSTITUTE(A268,{"0","1","2"},""))))))))/10))*100+1</f>
        <v>501</v>
      </c>
      <c r="P270" s="2">
        <f ca="1">(SUMPRODUCT(MID(0&amp;(--TRIM(RIGHT(SUBSTITUTE(LEFT(A268,_xlfn.AGGREGATE(16,6,FIND({0,1,2,3,4,5,6,7,8,9},A268,ROW(INDIRECT("1:"&amp;LEN(A268)))),1)),"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",LEN(A268))),LEN(A268)))))))/10))*100+1</f>
        <v>4001</v>
      </c>
    </row>
    <row r="271" spans="1:16" s="2" customFormat="1" ht="15.75" customHeight="1" x14ac:dyDescent="0.25">
      <c r="A271" s="127">
        <v>3</v>
      </c>
      <c r="B271" s="128"/>
      <c r="C271" s="30" t="s">
        <v>161</v>
      </c>
      <c r="D271" s="30">
        <f>(2.73*1+2.42*3.31+4.7*3.55+2.45*1.52+3.05*3.35+3.65*3.05+2.45*1.52+2.45*1+3.35*1.2)*10.764</f>
        <v>674.82960479999986</v>
      </c>
      <c r="E271" s="30">
        <v>0</v>
      </c>
      <c r="F271" s="30">
        <f>D271*(($F$169)+1)+(IF(E271&lt;101,E271,IF(E271&lt;201,E271/2,IF(E271&lt;=301,E271/3,E271/4))))</f>
        <v>1079.7273676799998</v>
      </c>
      <c r="G271" s="73"/>
      <c r="H271" s="74"/>
      <c r="I271" s="31"/>
      <c r="N271" s="2" t="str">
        <f t="shared" ca="1" si="68"/>
        <v>502 to 4002</v>
      </c>
      <c r="O271" s="2">
        <f t="shared" ref="O271:P271" ca="1" si="69">O270+1</f>
        <v>502</v>
      </c>
      <c r="P271" s="2">
        <f t="shared" ca="1" si="69"/>
        <v>4002</v>
      </c>
    </row>
    <row r="272" spans="1:16" s="2" customFormat="1" ht="15.75" customHeight="1" x14ac:dyDescent="0.25">
      <c r="A272" s="127">
        <v>4</v>
      </c>
      <c r="B272" s="128"/>
      <c r="C272" s="30" t="s">
        <v>161</v>
      </c>
      <c r="D272" s="30">
        <f>(2.73*1+2.42*3.31+4.7*3.55+2.45*1.52+3.05*3.35+3.65*3.05+2.45*1.52+2.45*1+3.35*1.2)*10.764</f>
        <v>674.82960479999986</v>
      </c>
      <c r="E272" s="30">
        <v>0</v>
      </c>
      <c r="F272" s="30">
        <f>D272*(($F$169)+1)+(IF(E272&lt;101,E272,IF(E272&lt;201,E272/2,IF(E272&lt;=301,E272/3,E272/4))))</f>
        <v>1079.7273676799998</v>
      </c>
      <c r="G272" s="73"/>
      <c r="H272" s="74"/>
      <c r="I272" s="31">
        <f>22500000/F272</f>
        <v>20838.593772375651</v>
      </c>
      <c r="N272" s="2" t="str">
        <f t="shared" ca="1" si="68"/>
        <v>503 to 4003</v>
      </c>
      <c r="O272" s="2">
        <f t="shared" ref="O272:P272" ca="1" si="70">O271+1</f>
        <v>503</v>
      </c>
      <c r="P272" s="2">
        <f t="shared" ca="1" si="70"/>
        <v>4003</v>
      </c>
    </row>
    <row r="273" spans="1:8" s="1" customFormat="1" x14ac:dyDescent="0.25">
      <c r="A273" s="194" t="s">
        <v>67</v>
      </c>
      <c r="B273" s="194"/>
      <c r="C273" s="194"/>
      <c r="D273" s="194"/>
      <c r="E273" s="194"/>
      <c r="F273" s="194"/>
      <c r="G273" s="194"/>
      <c r="H273" s="194"/>
    </row>
    <row r="274" spans="1:8" s="1" customFormat="1" ht="47.25" customHeight="1" x14ac:dyDescent="0.25">
      <c r="A274" s="37">
        <v>1</v>
      </c>
      <c r="B274" s="79" t="s">
        <v>297</v>
      </c>
      <c r="C274" s="80"/>
      <c r="D274" s="80"/>
      <c r="E274" s="80"/>
      <c r="F274" s="80"/>
      <c r="G274" s="80"/>
      <c r="H274" s="81"/>
    </row>
    <row r="275" spans="1:8" s="1" customFormat="1" x14ac:dyDescent="0.25">
      <c r="A275" s="37">
        <f t="shared" ref="A275:A279" si="71">A274+1</f>
        <v>2</v>
      </c>
      <c r="B275" s="79" t="str">
        <f>(IF(F168="Saleable area Loading :","We have considered Saleable area of Flats as per our Calculation.","We considered Saleable area of Flat as per Builder area Sheet."))</f>
        <v>We have considered Saleable area of Flats as per our Calculation.</v>
      </c>
      <c r="C275" s="80"/>
      <c r="D275" s="80"/>
      <c r="E275" s="80"/>
      <c r="F275" s="80"/>
      <c r="G275" s="80"/>
      <c r="H275" s="81"/>
    </row>
    <row r="276" spans="1:8" s="1" customFormat="1" x14ac:dyDescent="0.25">
      <c r="A276" s="37">
        <v>3</v>
      </c>
      <c r="B276" s="129" t="s">
        <v>128</v>
      </c>
      <c r="C276" s="130"/>
      <c r="D276" s="130"/>
      <c r="E276" s="130"/>
      <c r="F276" s="130"/>
      <c r="G276" s="130"/>
      <c r="H276" s="131"/>
    </row>
    <row r="277" spans="1:8" s="1" customFormat="1" x14ac:dyDescent="0.25">
      <c r="A277" s="37">
        <f t="shared" si="71"/>
        <v>4</v>
      </c>
      <c r="B277" s="129" t="s">
        <v>182</v>
      </c>
      <c r="C277" s="130"/>
      <c r="D277" s="130"/>
      <c r="E277" s="130"/>
      <c r="F277" s="130"/>
      <c r="G277" s="130"/>
      <c r="H277" s="131"/>
    </row>
    <row r="278" spans="1:8" s="1" customFormat="1" x14ac:dyDescent="0.25">
      <c r="A278" s="37">
        <f t="shared" si="71"/>
        <v>5</v>
      </c>
      <c r="B278" s="129" t="s">
        <v>129</v>
      </c>
      <c r="C278" s="130"/>
      <c r="D278" s="130"/>
      <c r="E278" s="130"/>
      <c r="F278" s="130"/>
      <c r="G278" s="130"/>
      <c r="H278" s="131"/>
    </row>
    <row r="279" spans="1:8" s="1" customFormat="1" x14ac:dyDescent="0.25">
      <c r="A279" s="37">
        <f t="shared" si="71"/>
        <v>6</v>
      </c>
      <c r="B279" s="129" t="s">
        <v>130</v>
      </c>
      <c r="C279" s="130"/>
      <c r="D279" s="130"/>
      <c r="E279" s="130"/>
      <c r="F279" s="130"/>
      <c r="G279" s="130"/>
      <c r="H279" s="131"/>
    </row>
    <row r="280" spans="1:8" s="1" customFormat="1" hidden="1" x14ac:dyDescent="0.25">
      <c r="A280" s="37">
        <v>7</v>
      </c>
      <c r="B280" s="79" t="s">
        <v>205</v>
      </c>
      <c r="C280" s="80"/>
      <c r="D280" s="80"/>
      <c r="E280" s="80"/>
      <c r="F280" s="80"/>
      <c r="G280" s="80"/>
      <c r="H280" s="81"/>
    </row>
    <row r="281" spans="1:8" s="1" customFormat="1" x14ac:dyDescent="0.25">
      <c r="A281" s="37">
        <v>7</v>
      </c>
      <c r="B281" s="79" t="s">
        <v>211</v>
      </c>
      <c r="C281" s="80"/>
      <c r="D281" s="80"/>
      <c r="E281" s="80"/>
      <c r="F281" s="80"/>
      <c r="G281" s="80"/>
      <c r="H281" s="81"/>
    </row>
    <row r="282" spans="1:8" s="1" customFormat="1" hidden="1" x14ac:dyDescent="0.25">
      <c r="A282" s="37">
        <v>8</v>
      </c>
      <c r="B282" s="79" t="s">
        <v>217</v>
      </c>
      <c r="C282" s="80"/>
      <c r="D282" s="80"/>
      <c r="E282" s="80"/>
      <c r="F282" s="80"/>
      <c r="G282" s="80"/>
      <c r="H282" s="81"/>
    </row>
    <row r="283" spans="1:8" s="1" customFormat="1" x14ac:dyDescent="0.25">
      <c r="A283" s="37">
        <v>8</v>
      </c>
      <c r="B283" s="79" t="s">
        <v>212</v>
      </c>
      <c r="C283" s="80"/>
      <c r="D283" s="80"/>
      <c r="E283" s="80"/>
      <c r="F283" s="80"/>
      <c r="G283" s="80"/>
      <c r="H283" s="81"/>
    </row>
    <row r="284" spans="1:8" s="1" customFormat="1" x14ac:dyDescent="0.25">
      <c r="A284" s="37">
        <v>9</v>
      </c>
      <c r="B284" s="79" t="s">
        <v>227</v>
      </c>
      <c r="C284" s="80"/>
      <c r="D284" s="80"/>
      <c r="E284" s="80"/>
      <c r="F284" s="80"/>
      <c r="G284" s="80"/>
      <c r="H284" s="81"/>
    </row>
    <row r="285" spans="1:8" s="1" customFormat="1" x14ac:dyDescent="0.25">
      <c r="A285" s="37">
        <v>10</v>
      </c>
      <c r="B285" s="79" t="s">
        <v>231</v>
      </c>
      <c r="C285" s="80"/>
      <c r="D285" s="80"/>
      <c r="E285" s="80"/>
      <c r="F285" s="80"/>
      <c r="G285" s="80"/>
      <c r="H285" s="81"/>
    </row>
    <row r="286" spans="1:8" s="1" customFormat="1" x14ac:dyDescent="0.25">
      <c r="A286" s="37">
        <v>11</v>
      </c>
      <c r="B286" s="79" t="s">
        <v>233</v>
      </c>
      <c r="C286" s="80"/>
      <c r="D286" s="80"/>
      <c r="E286" s="80"/>
      <c r="F286" s="80"/>
      <c r="G286" s="80"/>
      <c r="H286" s="81"/>
    </row>
    <row r="287" spans="1:8" s="1" customFormat="1" x14ac:dyDescent="0.25">
      <c r="A287" s="37">
        <v>12</v>
      </c>
      <c r="B287" s="79" t="s">
        <v>239</v>
      </c>
      <c r="C287" s="80"/>
      <c r="D287" s="80"/>
      <c r="E287" s="80"/>
      <c r="F287" s="80"/>
      <c r="G287" s="80"/>
      <c r="H287" s="81"/>
    </row>
    <row r="288" spans="1:8" s="1" customFormat="1" ht="15.75" customHeight="1" x14ac:dyDescent="0.25">
      <c r="A288" s="37">
        <v>13</v>
      </c>
      <c r="B288" s="79" t="s">
        <v>307</v>
      </c>
      <c r="C288" s="80"/>
      <c r="D288" s="80"/>
      <c r="E288" s="80"/>
      <c r="F288" s="80"/>
      <c r="G288" s="80"/>
      <c r="H288" s="81"/>
    </row>
    <row r="289" spans="1:8" s="1" customFormat="1" ht="35.25" customHeight="1" x14ac:dyDescent="0.25">
      <c r="A289" s="37">
        <v>14</v>
      </c>
      <c r="B289" s="79" t="s">
        <v>309</v>
      </c>
      <c r="C289" s="80"/>
      <c r="D289" s="80"/>
      <c r="E289" s="80"/>
      <c r="F289" s="80"/>
      <c r="G289" s="80"/>
      <c r="H289" s="81"/>
    </row>
    <row r="290" spans="1:8" s="1" customFormat="1" x14ac:dyDescent="0.25">
      <c r="A290" s="37">
        <v>15</v>
      </c>
      <c r="B290" s="79" t="s">
        <v>257</v>
      </c>
      <c r="C290" s="80"/>
      <c r="D290" s="80"/>
      <c r="E290" s="80"/>
      <c r="F290" s="80"/>
      <c r="G290" s="80"/>
      <c r="H290" s="81"/>
    </row>
    <row r="291" spans="1:8" s="1" customFormat="1" x14ac:dyDescent="0.25">
      <c r="A291" s="37">
        <v>16</v>
      </c>
      <c r="B291" s="79" t="s">
        <v>296</v>
      </c>
      <c r="C291" s="80"/>
      <c r="D291" s="80"/>
      <c r="E291" s="80"/>
      <c r="F291" s="80"/>
      <c r="G291" s="80"/>
      <c r="H291" s="81"/>
    </row>
    <row r="292" spans="1:8" s="1" customFormat="1" ht="32.25" customHeight="1" x14ac:dyDescent="0.25">
      <c r="A292" s="37">
        <f>A291+1</f>
        <v>17</v>
      </c>
      <c r="B292" s="79" t="s">
        <v>308</v>
      </c>
      <c r="C292" s="80"/>
      <c r="D292" s="80"/>
      <c r="E292" s="80"/>
      <c r="F292" s="80"/>
      <c r="G292" s="80"/>
      <c r="H292" s="81"/>
    </row>
    <row r="293" spans="1:8" s="1" customFormat="1" ht="15.75" customHeight="1" x14ac:dyDescent="0.25">
      <c r="A293" s="37">
        <f t="shared" ref="A293:A294" si="72">A292+1</f>
        <v>18</v>
      </c>
      <c r="B293" s="79" t="s">
        <v>289</v>
      </c>
      <c r="C293" s="80"/>
      <c r="D293" s="80"/>
      <c r="E293" s="80"/>
      <c r="F293" s="80"/>
      <c r="G293" s="80"/>
      <c r="H293" s="81"/>
    </row>
    <row r="294" spans="1:8" s="1" customFormat="1" ht="15.75" customHeight="1" x14ac:dyDescent="0.25">
      <c r="A294" s="69">
        <f t="shared" si="72"/>
        <v>19</v>
      </c>
      <c r="B294" s="79" t="s">
        <v>311</v>
      </c>
      <c r="C294" s="80"/>
      <c r="D294" s="80"/>
      <c r="E294" s="80"/>
      <c r="F294" s="80"/>
      <c r="G294" s="80"/>
      <c r="H294" s="81"/>
    </row>
    <row r="295" spans="1:8" x14ac:dyDescent="0.25">
      <c r="A295" s="150" t="s">
        <v>61</v>
      </c>
      <c r="B295" s="150"/>
      <c r="C295" s="150"/>
      <c r="D295" s="150"/>
      <c r="E295" s="150"/>
      <c r="F295" s="150"/>
      <c r="G295" s="150"/>
      <c r="H295" s="150"/>
    </row>
    <row r="296" spans="1:8" ht="15.75" customHeight="1" x14ac:dyDescent="0.25">
      <c r="A296" s="203" t="s">
        <v>62</v>
      </c>
      <c r="B296" s="203"/>
      <c r="C296" s="203"/>
      <c r="D296" s="203"/>
      <c r="E296" s="203"/>
      <c r="F296" s="203"/>
      <c r="G296" s="203"/>
      <c r="H296" s="203"/>
    </row>
    <row r="297" spans="1:8" x14ac:dyDescent="0.25">
      <c r="A297" s="150" t="s">
        <v>63</v>
      </c>
      <c r="B297" s="150"/>
      <c r="C297" s="150"/>
      <c r="D297" s="150"/>
      <c r="E297" s="150"/>
      <c r="F297" s="150"/>
      <c r="G297" s="150"/>
      <c r="H297" s="150"/>
    </row>
    <row r="298" spans="1:8" x14ac:dyDescent="0.25">
      <c r="A298" s="150" t="s">
        <v>64</v>
      </c>
      <c r="B298" s="150"/>
      <c r="C298" s="150"/>
      <c r="D298" s="150"/>
      <c r="E298" s="150"/>
      <c r="F298" s="150"/>
      <c r="G298" s="150"/>
      <c r="H298" s="150"/>
    </row>
    <row r="299" spans="1:8" x14ac:dyDescent="0.25">
      <c r="A299" s="150" t="s">
        <v>131</v>
      </c>
      <c r="B299" s="150"/>
      <c r="C299" s="150"/>
      <c r="D299" s="150"/>
      <c r="E299" s="150"/>
      <c r="F299" s="150"/>
      <c r="G299" s="150"/>
      <c r="H299" s="150"/>
    </row>
    <row r="300" spans="1:8" ht="35.25" customHeight="1" x14ac:dyDescent="0.25">
      <c r="A300" s="159" t="s">
        <v>132</v>
      </c>
      <c r="B300" s="159"/>
      <c r="C300" s="159"/>
      <c r="D300" s="159"/>
      <c r="E300" s="159"/>
      <c r="F300" s="159"/>
      <c r="G300" s="159"/>
      <c r="H300" s="159"/>
    </row>
    <row r="301" spans="1:8" x14ac:dyDescent="0.25">
      <c r="A301" s="192" t="s">
        <v>77</v>
      </c>
      <c r="B301" s="192"/>
      <c r="C301" s="192" t="s">
        <v>220</v>
      </c>
      <c r="D301" s="192"/>
      <c r="E301" s="192" t="s">
        <v>110</v>
      </c>
      <c r="F301" s="192"/>
      <c r="G301" s="192" t="s">
        <v>268</v>
      </c>
      <c r="H301" s="192"/>
    </row>
    <row r="302" spans="1:8" x14ac:dyDescent="0.25">
      <c r="A302" s="191" t="s">
        <v>79</v>
      </c>
      <c r="B302" s="191"/>
      <c r="C302" s="191"/>
      <c r="D302" s="191"/>
      <c r="E302" s="191"/>
      <c r="F302" s="191"/>
      <c r="G302" s="191"/>
      <c r="H302" s="191"/>
    </row>
    <row r="303" spans="1:8" x14ac:dyDescent="0.25">
      <c r="A303" s="191"/>
      <c r="B303" s="191"/>
      <c r="C303" s="191"/>
      <c r="D303" s="191"/>
      <c r="E303" s="191"/>
      <c r="F303" s="191"/>
      <c r="G303" s="191"/>
      <c r="H303" s="191"/>
    </row>
    <row r="304" spans="1:8" x14ac:dyDescent="0.25">
      <c r="A304" s="191"/>
      <c r="B304" s="191"/>
      <c r="C304" s="191"/>
      <c r="D304" s="191"/>
      <c r="E304" s="191"/>
      <c r="F304" s="191"/>
      <c r="G304" s="191"/>
      <c r="H304" s="191"/>
    </row>
    <row r="305" spans="1:8" x14ac:dyDescent="0.25">
      <c r="A305" s="191"/>
      <c r="B305" s="191"/>
      <c r="C305" s="191"/>
      <c r="D305" s="191"/>
      <c r="E305" s="191"/>
      <c r="F305" s="191"/>
      <c r="G305" s="191"/>
      <c r="H305" s="191"/>
    </row>
    <row r="306" spans="1:8" x14ac:dyDescent="0.25">
      <c r="A306" s="9" t="s">
        <v>65</v>
      </c>
      <c r="B306" s="10"/>
      <c r="C306" s="10"/>
      <c r="D306" s="9" t="str">
        <f>E8</f>
        <v>The Sanctuary</v>
      </c>
      <c r="F306" s="10"/>
      <c r="G306" s="10"/>
      <c r="H306" s="10"/>
    </row>
    <row r="307" spans="1:8" x14ac:dyDescent="0.25">
      <c r="A307" s="10"/>
      <c r="B307" s="10"/>
      <c r="C307" s="10"/>
      <c r="D307" s="10"/>
      <c r="E307" s="10"/>
      <c r="F307" s="10"/>
      <c r="G307" s="10"/>
      <c r="H307" s="10"/>
    </row>
    <row r="308" spans="1:8" x14ac:dyDescent="0.25">
      <c r="A308" s="10"/>
      <c r="B308" s="10"/>
      <c r="C308" s="10"/>
      <c r="D308" s="10"/>
      <c r="E308" s="10"/>
      <c r="F308" s="10"/>
      <c r="G308" s="10"/>
      <c r="H308" s="10"/>
    </row>
    <row r="309" spans="1:8" ht="15" customHeight="1" x14ac:dyDescent="0.25"/>
    <row r="345" spans="1:1" x14ac:dyDescent="0.25">
      <c r="A345" s="12"/>
    </row>
    <row r="349" spans="1:1" x14ac:dyDescent="0.25">
      <c r="A349" s="12" t="s">
        <v>234</v>
      </c>
    </row>
    <row r="392" spans="1:1" x14ac:dyDescent="0.25">
      <c r="A392" s="12" t="s">
        <v>66</v>
      </c>
    </row>
  </sheetData>
  <mergeCells count="500">
    <mergeCell ref="B294:H294"/>
    <mergeCell ref="I10:L10"/>
    <mergeCell ref="B290:H290"/>
    <mergeCell ref="B288:H288"/>
    <mergeCell ref="C31:E31"/>
    <mergeCell ref="B289:H289"/>
    <mergeCell ref="A194:B194"/>
    <mergeCell ref="C194:F194"/>
    <mergeCell ref="C80:E80"/>
    <mergeCell ref="G80:H80"/>
    <mergeCell ref="B286:H286"/>
    <mergeCell ref="A191:B191"/>
    <mergeCell ref="A192:B192"/>
    <mergeCell ref="B284:H284"/>
    <mergeCell ref="B283:H283"/>
    <mergeCell ref="B281:H281"/>
    <mergeCell ref="A162:B162"/>
    <mergeCell ref="C162:D162"/>
    <mergeCell ref="E162:F162"/>
    <mergeCell ref="G162:H162"/>
    <mergeCell ref="A72:B73"/>
    <mergeCell ref="A215:H215"/>
    <mergeCell ref="A132:B132"/>
    <mergeCell ref="E132:F132"/>
    <mergeCell ref="A90:C90"/>
    <mergeCell ref="A91:C91"/>
    <mergeCell ref="C68:E68"/>
    <mergeCell ref="D88:H88"/>
    <mergeCell ref="C81:H81"/>
    <mergeCell ref="A80:B81"/>
    <mergeCell ref="B291:H291"/>
    <mergeCell ref="I53:K53"/>
    <mergeCell ref="I51:J51"/>
    <mergeCell ref="A50:B50"/>
    <mergeCell ref="C50:E50"/>
    <mergeCell ref="G50:H50"/>
    <mergeCell ref="A48:B48"/>
    <mergeCell ref="C48:E48"/>
    <mergeCell ref="G48:H48"/>
    <mergeCell ref="A49:B49"/>
    <mergeCell ref="C49:E49"/>
    <mergeCell ref="G49:H49"/>
    <mergeCell ref="L53:M53"/>
    <mergeCell ref="A220:H220"/>
    <mergeCell ref="A221:B221"/>
    <mergeCell ref="G221:H224"/>
    <mergeCell ref="A222:B222"/>
    <mergeCell ref="A223:B223"/>
    <mergeCell ref="A224:B224"/>
    <mergeCell ref="A175:H175"/>
    <mergeCell ref="A176:B176"/>
    <mergeCell ref="G176:H179"/>
    <mergeCell ref="A177:B177"/>
    <mergeCell ref="A178:B178"/>
    <mergeCell ref="A179:B179"/>
    <mergeCell ref="A185:H185"/>
    <mergeCell ref="A186:B186"/>
    <mergeCell ref="G186:H189"/>
    <mergeCell ref="A187:B187"/>
    <mergeCell ref="A188:B188"/>
    <mergeCell ref="A189:B189"/>
    <mergeCell ref="C189:F189"/>
    <mergeCell ref="A100:B100"/>
    <mergeCell ref="C100:D100"/>
    <mergeCell ref="A182:B182"/>
    <mergeCell ref="A184:B184"/>
    <mergeCell ref="A10:D10"/>
    <mergeCell ref="E10:H10"/>
    <mergeCell ref="A37:B37"/>
    <mergeCell ref="C37:H37"/>
    <mergeCell ref="G242:H247"/>
    <mergeCell ref="G249:H254"/>
    <mergeCell ref="G226:H229"/>
    <mergeCell ref="G191:H195"/>
    <mergeCell ref="G181:H184"/>
    <mergeCell ref="G53:H53"/>
    <mergeCell ref="A56:B57"/>
    <mergeCell ref="C56:E56"/>
    <mergeCell ref="G56:H56"/>
    <mergeCell ref="A54:B54"/>
    <mergeCell ref="A193:B193"/>
    <mergeCell ref="A66:B67"/>
    <mergeCell ref="C66:E66"/>
    <mergeCell ref="G66:H66"/>
    <mergeCell ref="G68:H68"/>
    <mergeCell ref="C69:E69"/>
    <mergeCell ref="G69:H69"/>
    <mergeCell ref="A70:B71"/>
    <mergeCell ref="C57:H57"/>
    <mergeCell ref="A51:B51"/>
    <mergeCell ref="C226:F226"/>
    <mergeCell ref="A226:B226"/>
    <mergeCell ref="A227:B227"/>
    <mergeCell ref="G72:H72"/>
    <mergeCell ref="G73:H73"/>
    <mergeCell ref="C71:E71"/>
    <mergeCell ref="G71:H71"/>
    <mergeCell ref="A74:B75"/>
    <mergeCell ref="C74:E74"/>
    <mergeCell ref="G74:H74"/>
    <mergeCell ref="C75:H75"/>
    <mergeCell ref="A119:B119"/>
    <mergeCell ref="E119:F128"/>
    <mergeCell ref="G119:H128"/>
    <mergeCell ref="A154:E154"/>
    <mergeCell ref="A117:B117"/>
    <mergeCell ref="C117:H117"/>
    <mergeCell ref="A118:B118"/>
    <mergeCell ref="E100:F100"/>
    <mergeCell ref="G100:H100"/>
    <mergeCell ref="A190:H190"/>
    <mergeCell ref="D92:H92"/>
    <mergeCell ref="C129:H129"/>
    <mergeCell ref="A131:B131"/>
    <mergeCell ref="D89:H89"/>
    <mergeCell ref="A86:C89"/>
    <mergeCell ref="A129:B129"/>
    <mergeCell ref="A233:B233"/>
    <mergeCell ref="A234:B234"/>
    <mergeCell ref="A235:B235"/>
    <mergeCell ref="A231:B231"/>
    <mergeCell ref="G231:H235"/>
    <mergeCell ref="A254:B254"/>
    <mergeCell ref="A228:B228"/>
    <mergeCell ref="A229:B229"/>
    <mergeCell ref="A230:H230"/>
    <mergeCell ref="A232:B232"/>
    <mergeCell ref="C232:F232"/>
    <mergeCell ref="A171:H171"/>
    <mergeCell ref="A216:H216"/>
    <mergeCell ref="A99:B99"/>
    <mergeCell ref="A97:B97"/>
    <mergeCell ref="C97:H97"/>
    <mergeCell ref="E158:F158"/>
    <mergeCell ref="A165:H165"/>
    <mergeCell ref="F151:H151"/>
    <mergeCell ref="F154:H154"/>
    <mergeCell ref="F152:H152"/>
    <mergeCell ref="A299:H299"/>
    <mergeCell ref="A296:H296"/>
    <mergeCell ref="A158:B158"/>
    <mergeCell ref="D168:D169"/>
    <mergeCell ref="E168:E169"/>
    <mergeCell ref="G168:H169"/>
    <mergeCell ref="A125:B125"/>
    <mergeCell ref="F144:H144"/>
    <mergeCell ref="A143:H143"/>
    <mergeCell ref="G159:H159"/>
    <mergeCell ref="A128:B128"/>
    <mergeCell ref="A153:E153"/>
    <mergeCell ref="G132:H132"/>
    <mergeCell ref="A133:B133"/>
    <mergeCell ref="E133:F142"/>
    <mergeCell ref="G133:H142"/>
    <mergeCell ref="A134:B134"/>
    <mergeCell ref="A135:B135"/>
    <mergeCell ref="A136:B136"/>
    <mergeCell ref="A137:B137"/>
    <mergeCell ref="A217:H217"/>
    <mergeCell ref="A218:H218"/>
    <mergeCell ref="A219:H219"/>
    <mergeCell ref="A225:H225"/>
    <mergeCell ref="A268:H268"/>
    <mergeCell ref="A255:H255"/>
    <mergeCell ref="A256:H256"/>
    <mergeCell ref="A257:H257"/>
    <mergeCell ref="A258:H258"/>
    <mergeCell ref="A260:H260"/>
    <mergeCell ref="A261:H261"/>
    <mergeCell ref="A138:B138"/>
    <mergeCell ref="A139:B139"/>
    <mergeCell ref="A140:B140"/>
    <mergeCell ref="A141:B141"/>
    <mergeCell ref="A142:B142"/>
    <mergeCell ref="A262:B262"/>
    <mergeCell ref="A267:B267"/>
    <mergeCell ref="A259:H259"/>
    <mergeCell ref="G262:H267"/>
    <mergeCell ref="A242:B242"/>
    <mergeCell ref="A237:H237"/>
    <mergeCell ref="F147:H147"/>
    <mergeCell ref="A170:H170"/>
    <mergeCell ref="A172:H172"/>
    <mergeCell ref="G164:H164"/>
    <mergeCell ref="A166:H166"/>
    <mergeCell ref="A250:B250"/>
    <mergeCell ref="A269:B269"/>
    <mergeCell ref="G269:H272"/>
    <mergeCell ref="A270:B270"/>
    <mergeCell ref="A271:B271"/>
    <mergeCell ref="A272:B272"/>
    <mergeCell ref="A36:B36"/>
    <mergeCell ref="A22:D22"/>
    <mergeCell ref="A263:B263"/>
    <mergeCell ref="A264:B264"/>
    <mergeCell ref="A265:B265"/>
    <mergeCell ref="A266:B266"/>
    <mergeCell ref="A253:B253"/>
    <mergeCell ref="A55:B55"/>
    <mergeCell ref="C55:E55"/>
    <mergeCell ref="C78:E78"/>
    <mergeCell ref="A58:B59"/>
    <mergeCell ref="C58:E58"/>
    <mergeCell ref="C59:E59"/>
    <mergeCell ref="A68:B69"/>
    <mergeCell ref="C73:E73"/>
    <mergeCell ref="C72:E72"/>
    <mergeCell ref="C67:H67"/>
    <mergeCell ref="A92:C92"/>
    <mergeCell ref="C251:F252"/>
    <mergeCell ref="A302:H305"/>
    <mergeCell ref="A301:B301"/>
    <mergeCell ref="E301:F301"/>
    <mergeCell ref="C301:D301"/>
    <mergeCell ref="G301:H301"/>
    <mergeCell ref="A155:E155"/>
    <mergeCell ref="F155:H155"/>
    <mergeCell ref="A156:E156"/>
    <mergeCell ref="F156:H156"/>
    <mergeCell ref="A159:B159"/>
    <mergeCell ref="A297:H297"/>
    <mergeCell ref="A157:H157"/>
    <mergeCell ref="A300:H300"/>
    <mergeCell ref="A298:H298"/>
    <mergeCell ref="A273:H273"/>
    <mergeCell ref="A241:H241"/>
    <mergeCell ref="A167:H167"/>
    <mergeCell ref="A168:A169"/>
    <mergeCell ref="A247:B247"/>
    <mergeCell ref="A295:H295"/>
    <mergeCell ref="B279:H279"/>
    <mergeCell ref="B280:H280"/>
    <mergeCell ref="A195:B195"/>
    <mergeCell ref="A183:B183"/>
    <mergeCell ref="A11:D11"/>
    <mergeCell ref="E11:H11"/>
    <mergeCell ref="E12:H12"/>
    <mergeCell ref="A13:D13"/>
    <mergeCell ref="A20:D21"/>
    <mergeCell ref="E20:H21"/>
    <mergeCell ref="E13:H13"/>
    <mergeCell ref="A14:B14"/>
    <mergeCell ref="C14:H14"/>
    <mergeCell ref="C15:H15"/>
    <mergeCell ref="A16:B16"/>
    <mergeCell ref="C16:D16"/>
    <mergeCell ref="E16:F16"/>
    <mergeCell ref="G16:H16"/>
    <mergeCell ref="A15:B15"/>
    <mergeCell ref="A12:D12"/>
    <mergeCell ref="A17:B17"/>
    <mergeCell ref="C17:D17"/>
    <mergeCell ref="E17:F17"/>
    <mergeCell ref="G17:H17"/>
    <mergeCell ref="A18:B18"/>
    <mergeCell ref="G18:H18"/>
    <mergeCell ref="C18:D18"/>
    <mergeCell ref="E18:F18"/>
    <mergeCell ref="A27:D27"/>
    <mergeCell ref="E27:H27"/>
    <mergeCell ref="A33:B33"/>
    <mergeCell ref="A28:D28"/>
    <mergeCell ref="E28:H28"/>
    <mergeCell ref="A29:D29"/>
    <mergeCell ref="E29:H29"/>
    <mergeCell ref="C30:E30"/>
    <mergeCell ref="F33:H33"/>
    <mergeCell ref="A19:B19"/>
    <mergeCell ref="C19:D19"/>
    <mergeCell ref="E19:F19"/>
    <mergeCell ref="G19:H19"/>
    <mergeCell ref="E24:H24"/>
    <mergeCell ref="A26:D26"/>
    <mergeCell ref="E26:H26"/>
    <mergeCell ref="A23:D23"/>
    <mergeCell ref="E23:H23"/>
    <mergeCell ref="A24:D24"/>
    <mergeCell ref="A25:D25"/>
    <mergeCell ref="C32:E32"/>
    <mergeCell ref="A82:H82"/>
    <mergeCell ref="A83:C83"/>
    <mergeCell ref="A84:C84"/>
    <mergeCell ref="D84:H84"/>
    <mergeCell ref="G55:H55"/>
    <mergeCell ref="G78:H78"/>
    <mergeCell ref="G58:H58"/>
    <mergeCell ref="G59:H59"/>
    <mergeCell ref="E22:H22"/>
    <mergeCell ref="E40:H40"/>
    <mergeCell ref="A40:D40"/>
    <mergeCell ref="C46:E46"/>
    <mergeCell ref="G46:H46"/>
    <mergeCell ref="C70:E70"/>
    <mergeCell ref="G70:H70"/>
    <mergeCell ref="E41:H41"/>
    <mergeCell ref="E42:H42"/>
    <mergeCell ref="E43:H43"/>
    <mergeCell ref="E44:H44"/>
    <mergeCell ref="A42:D42"/>
    <mergeCell ref="A43:D43"/>
    <mergeCell ref="A44:D44"/>
    <mergeCell ref="A45:H45"/>
    <mergeCell ref="A239:H239"/>
    <mergeCell ref="G51:H51"/>
    <mergeCell ref="A53:B53"/>
    <mergeCell ref="C53:E53"/>
    <mergeCell ref="C99:H99"/>
    <mergeCell ref="D96:H96"/>
    <mergeCell ref="A94:C94"/>
    <mergeCell ref="D94:H94"/>
    <mergeCell ref="A96:C96"/>
    <mergeCell ref="A95:C95"/>
    <mergeCell ref="D95:H95"/>
    <mergeCell ref="D91:H91"/>
    <mergeCell ref="D85:H85"/>
    <mergeCell ref="A85:C85"/>
    <mergeCell ref="G54:H54"/>
    <mergeCell ref="C51:E51"/>
    <mergeCell ref="C79:H79"/>
    <mergeCell ref="A78:B7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F30:H30"/>
    <mergeCell ref="A31:B31"/>
    <mergeCell ref="A30:B30"/>
    <mergeCell ref="C33:E33"/>
    <mergeCell ref="A32:B32"/>
    <mergeCell ref="A41:D41"/>
    <mergeCell ref="A35:H35"/>
    <mergeCell ref="A34:B34"/>
    <mergeCell ref="C34:E34"/>
    <mergeCell ref="F31:H31"/>
    <mergeCell ref="F32:H32"/>
    <mergeCell ref="F34:H34"/>
    <mergeCell ref="E25:H25"/>
    <mergeCell ref="C36:H36"/>
    <mergeCell ref="A115:B115"/>
    <mergeCell ref="C115:H115"/>
    <mergeCell ref="A39:D39"/>
    <mergeCell ref="E39:H39"/>
    <mergeCell ref="A38:H38"/>
    <mergeCell ref="A93:C93"/>
    <mergeCell ref="D93:H93"/>
    <mergeCell ref="D90:H90"/>
    <mergeCell ref="A46:B46"/>
    <mergeCell ref="D83:H83"/>
    <mergeCell ref="D86:H86"/>
    <mergeCell ref="C54:E54"/>
    <mergeCell ref="A112:B112"/>
    <mergeCell ref="A113:B113"/>
    <mergeCell ref="A114:B114"/>
    <mergeCell ref="A47:B47"/>
    <mergeCell ref="G118:H118"/>
    <mergeCell ref="A149:E149"/>
    <mergeCell ref="F149:H149"/>
    <mergeCell ref="A150:E150"/>
    <mergeCell ref="A152:E152"/>
    <mergeCell ref="F146:H146"/>
    <mergeCell ref="A151:E151"/>
    <mergeCell ref="A122:B122"/>
    <mergeCell ref="A123:B123"/>
    <mergeCell ref="A124:B124"/>
    <mergeCell ref="A126:B126"/>
    <mergeCell ref="A127:B127"/>
    <mergeCell ref="A146:E146"/>
    <mergeCell ref="F150:H150"/>
    <mergeCell ref="A144:E144"/>
    <mergeCell ref="C131:H131"/>
    <mergeCell ref="A120:B120"/>
    <mergeCell ref="A121:B121"/>
    <mergeCell ref="F145:H145"/>
    <mergeCell ref="A145:E145"/>
    <mergeCell ref="A147:E147"/>
    <mergeCell ref="A148:E148"/>
    <mergeCell ref="F148:H148"/>
    <mergeCell ref="E118:F118"/>
    <mergeCell ref="C168:C169"/>
    <mergeCell ref="B168:B169"/>
    <mergeCell ref="A161:B161"/>
    <mergeCell ref="C161:D161"/>
    <mergeCell ref="E161:F161"/>
    <mergeCell ref="G161:H161"/>
    <mergeCell ref="A164:B164"/>
    <mergeCell ref="C164:D164"/>
    <mergeCell ref="E164:F164"/>
    <mergeCell ref="E163:F163"/>
    <mergeCell ref="G163:H163"/>
    <mergeCell ref="F153:H153"/>
    <mergeCell ref="C159:D159"/>
    <mergeCell ref="E159:F159"/>
    <mergeCell ref="C158:D158"/>
    <mergeCell ref="A160:B160"/>
    <mergeCell ref="C160:D160"/>
    <mergeCell ref="E160:F160"/>
    <mergeCell ref="G160:H160"/>
    <mergeCell ref="B287:H287"/>
    <mergeCell ref="B285:H285"/>
    <mergeCell ref="A173:H173"/>
    <mergeCell ref="A174:H174"/>
    <mergeCell ref="A180:H180"/>
    <mergeCell ref="A181:B181"/>
    <mergeCell ref="A240:H240"/>
    <mergeCell ref="A243:B243"/>
    <mergeCell ref="A236:H236"/>
    <mergeCell ref="A238:H238"/>
    <mergeCell ref="A248:H248"/>
    <mergeCell ref="B282:H282"/>
    <mergeCell ref="A244:B244"/>
    <mergeCell ref="A245:B245"/>
    <mergeCell ref="A246:B246"/>
    <mergeCell ref="B278:H278"/>
    <mergeCell ref="B274:H274"/>
    <mergeCell ref="B275:H275"/>
    <mergeCell ref="B276:H276"/>
    <mergeCell ref="B277:H277"/>
    <mergeCell ref="A249:B249"/>
    <mergeCell ref="A251:B251"/>
    <mergeCell ref="A252:B252"/>
    <mergeCell ref="A199:H199"/>
    <mergeCell ref="C47:E47"/>
    <mergeCell ref="G47:H47"/>
    <mergeCell ref="A52:B52"/>
    <mergeCell ref="C52:E52"/>
    <mergeCell ref="G52:H52"/>
    <mergeCell ref="A64:B65"/>
    <mergeCell ref="C64:E64"/>
    <mergeCell ref="G64:H64"/>
    <mergeCell ref="A62:B63"/>
    <mergeCell ref="C62:E62"/>
    <mergeCell ref="G62:H62"/>
    <mergeCell ref="C63:E63"/>
    <mergeCell ref="G63:H63"/>
    <mergeCell ref="A60:B61"/>
    <mergeCell ref="C60:E60"/>
    <mergeCell ref="G60:H60"/>
    <mergeCell ref="C61:E61"/>
    <mergeCell ref="G61:H61"/>
    <mergeCell ref="C65:H65"/>
    <mergeCell ref="A202:B202"/>
    <mergeCell ref="A203:B203"/>
    <mergeCell ref="A204:B204"/>
    <mergeCell ref="A205:B205"/>
    <mergeCell ref="D87:H87"/>
    <mergeCell ref="A101:B101"/>
    <mergeCell ref="C101:H101"/>
    <mergeCell ref="A103:B103"/>
    <mergeCell ref="C103:H103"/>
    <mergeCell ref="A104:B104"/>
    <mergeCell ref="E104:F104"/>
    <mergeCell ref="G104:H104"/>
    <mergeCell ref="A105:B105"/>
    <mergeCell ref="E105:F114"/>
    <mergeCell ref="G105:H114"/>
    <mergeCell ref="A106:B106"/>
    <mergeCell ref="A107:B107"/>
    <mergeCell ref="A108:B108"/>
    <mergeCell ref="A109:B109"/>
    <mergeCell ref="A110:B110"/>
    <mergeCell ref="A111:B111"/>
    <mergeCell ref="G158:H158"/>
    <mergeCell ref="A163:B163"/>
    <mergeCell ref="C163:D163"/>
    <mergeCell ref="A213:B213"/>
    <mergeCell ref="A214:B214"/>
    <mergeCell ref="G209:H214"/>
    <mergeCell ref="C209:F210"/>
    <mergeCell ref="B293:H293"/>
    <mergeCell ref="B292:H292"/>
    <mergeCell ref="C76:E76"/>
    <mergeCell ref="G76:H76"/>
    <mergeCell ref="C77:E77"/>
    <mergeCell ref="G77:H77"/>
    <mergeCell ref="A76:B77"/>
    <mergeCell ref="A206:B206"/>
    <mergeCell ref="A207:B207"/>
    <mergeCell ref="G202:H207"/>
    <mergeCell ref="A208:H208"/>
    <mergeCell ref="A209:B209"/>
    <mergeCell ref="A210:B210"/>
    <mergeCell ref="A211:B211"/>
    <mergeCell ref="A212:B212"/>
    <mergeCell ref="A196:H196"/>
    <mergeCell ref="A197:H197"/>
    <mergeCell ref="A198:H198"/>
    <mergeCell ref="A200:H200"/>
    <mergeCell ref="A201:H201"/>
  </mergeCells>
  <phoneticPr fontId="26" type="noConversion"/>
  <hyperlinks>
    <hyperlink ref="C37"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63" max="16383" man="1"/>
    <brk id="75" max="16383" man="1"/>
    <brk id="100" max="16383" man="1"/>
    <brk id="305" max="16383" man="1"/>
    <brk id="348" max="16383" man="1"/>
    <brk id="39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7"/>
    <col min="2" max="2" width="22.140625" style="17" customWidth="1"/>
    <col min="3" max="3" width="37" style="17" customWidth="1"/>
    <col min="4" max="5" width="11.42578125" style="17" customWidth="1"/>
    <col min="6" max="6" width="14" style="17" customWidth="1"/>
    <col min="7" max="7" width="20" style="17" customWidth="1"/>
    <col min="8" max="8" width="16.42578125" style="17" customWidth="1"/>
    <col min="9" max="16384" width="8.7109375" style="17"/>
  </cols>
  <sheetData>
    <row r="1" spans="1:9" ht="15" customHeight="1" x14ac:dyDescent="0.25"/>
    <row r="2" spans="1:9" ht="15" customHeight="1" x14ac:dyDescent="0.25">
      <c r="A2" s="18"/>
      <c r="B2" s="18"/>
      <c r="C2" s="18"/>
      <c r="D2" s="18"/>
      <c r="E2" s="18"/>
      <c r="F2" s="18"/>
      <c r="G2" s="18"/>
      <c r="H2" s="18"/>
    </row>
    <row r="3" spans="1:9" ht="15.75" customHeight="1" x14ac:dyDescent="0.25">
      <c r="A3" s="18"/>
      <c r="B3" s="225" t="s">
        <v>111</v>
      </c>
      <c r="C3" s="225"/>
      <c r="D3" s="225"/>
      <c r="E3" s="225"/>
      <c r="F3" s="225"/>
      <c r="G3" s="225"/>
      <c r="H3" s="225"/>
    </row>
    <row r="4" spans="1:9" x14ac:dyDescent="0.25">
      <c r="A4" s="18"/>
      <c r="B4" s="19" t="s">
        <v>112</v>
      </c>
      <c r="C4" s="19" t="s">
        <v>113</v>
      </c>
      <c r="D4" s="19" t="s">
        <v>68</v>
      </c>
      <c r="E4" s="19" t="s">
        <v>114</v>
      </c>
      <c r="F4" s="19" t="s">
        <v>120</v>
      </c>
      <c r="G4" s="19" t="s">
        <v>121</v>
      </c>
      <c r="H4" s="19" t="s">
        <v>115</v>
      </c>
    </row>
    <row r="5" spans="1:9" ht="15" customHeight="1" x14ac:dyDescent="0.25">
      <c r="A5" s="18"/>
      <c r="B5" s="21" t="s">
        <v>116</v>
      </c>
      <c r="C5" s="22"/>
      <c r="D5" s="21"/>
      <c r="E5" s="21"/>
      <c r="F5" s="23">
        <f>E5*1.6</f>
        <v>0</v>
      </c>
      <c r="G5" s="23" t="e">
        <f>H5/F5</f>
        <v>#DIV/0!</v>
      </c>
      <c r="H5" s="24"/>
    </row>
    <row r="6" spans="1:9" x14ac:dyDescent="0.25">
      <c r="A6" s="18"/>
      <c r="B6" s="21" t="s">
        <v>116</v>
      </c>
      <c r="C6" s="25"/>
      <c r="D6" s="21"/>
      <c r="E6" s="21"/>
      <c r="F6" s="23">
        <f t="shared" ref="F6:F11" si="0">E6*1.6</f>
        <v>0</v>
      </c>
      <c r="G6" s="23" t="e">
        <f t="shared" ref="G6:G11" si="1">H6/F6</f>
        <v>#DIV/0!</v>
      </c>
      <c r="H6" s="24"/>
    </row>
    <row r="7" spans="1:9" ht="15" customHeight="1" x14ac:dyDescent="0.25">
      <c r="A7" s="18"/>
      <c r="B7" s="21" t="s">
        <v>116</v>
      </c>
      <c r="C7" s="22"/>
      <c r="D7" s="21"/>
      <c r="E7" s="21"/>
      <c r="F7" s="23">
        <f t="shared" si="0"/>
        <v>0</v>
      </c>
      <c r="G7" s="23" t="e">
        <f t="shared" si="1"/>
        <v>#DIV/0!</v>
      </c>
      <c r="H7" s="24"/>
    </row>
    <row r="8" spans="1:9" x14ac:dyDescent="0.25">
      <c r="A8" s="18"/>
      <c r="B8" s="21" t="s">
        <v>116</v>
      </c>
      <c r="C8" s="25"/>
      <c r="D8" s="21"/>
      <c r="E8" s="21"/>
      <c r="F8" s="23">
        <f t="shared" si="0"/>
        <v>0</v>
      </c>
      <c r="G8" s="23" t="e">
        <f t="shared" si="1"/>
        <v>#DIV/0!</v>
      </c>
      <c r="H8" s="24"/>
    </row>
    <row r="9" spans="1:9" ht="15" customHeight="1" x14ac:dyDescent="0.25">
      <c r="A9" s="18"/>
      <c r="B9" s="21" t="s">
        <v>116</v>
      </c>
      <c r="C9" s="25"/>
      <c r="D9" s="21"/>
      <c r="E9" s="21"/>
      <c r="F9" s="23">
        <f t="shared" si="0"/>
        <v>0</v>
      </c>
      <c r="G9" s="23" t="e">
        <f t="shared" si="1"/>
        <v>#DIV/0!</v>
      </c>
      <c r="H9" s="24"/>
    </row>
    <row r="10" spans="1:9" ht="15" customHeight="1" x14ac:dyDescent="0.25">
      <c r="A10" s="18"/>
      <c r="B10" s="21" t="s">
        <v>117</v>
      </c>
      <c r="C10" s="22"/>
      <c r="D10" s="21"/>
      <c r="E10" s="21"/>
      <c r="F10" s="23">
        <f t="shared" si="0"/>
        <v>0</v>
      </c>
      <c r="G10" s="23" t="e">
        <f t="shared" si="1"/>
        <v>#DIV/0!</v>
      </c>
      <c r="H10" s="24"/>
    </row>
    <row r="11" spans="1:9" ht="15" customHeight="1" x14ac:dyDescent="0.25">
      <c r="A11" s="18"/>
      <c r="B11" s="21" t="s">
        <v>117</v>
      </c>
      <c r="C11" s="22"/>
      <c r="D11" s="21"/>
      <c r="E11" s="21"/>
      <c r="F11" s="23">
        <f t="shared" si="0"/>
        <v>0</v>
      </c>
      <c r="G11" s="23" t="e">
        <f t="shared" si="1"/>
        <v>#DIV/0!</v>
      </c>
      <c r="H11" s="24"/>
    </row>
    <row r="12" spans="1:9" ht="15" customHeight="1" x14ac:dyDescent="0.25">
      <c r="A12" s="18"/>
      <c r="B12" s="26" t="s">
        <v>118</v>
      </c>
      <c r="C12" s="21"/>
      <c r="D12" s="21"/>
      <c r="E12" s="21"/>
      <c r="F12" s="21"/>
      <c r="G12" s="27" t="e">
        <f>AVERAGE(G5:G11)</f>
        <v>#DIV/0!</v>
      </c>
      <c r="H12" s="21"/>
    </row>
    <row r="13" spans="1:9" ht="15" customHeight="1" x14ac:dyDescent="0.25">
      <c r="B13" s="26" t="s">
        <v>119</v>
      </c>
      <c r="C13" s="21"/>
      <c r="D13" s="21"/>
      <c r="E13" s="21"/>
      <c r="F13" s="28"/>
      <c r="G13" s="26"/>
      <c r="H13" s="26"/>
      <c r="I13" s="20"/>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2025-09-04T08:49:52Z</cp:lastPrinted>
  <dcterms:created xsi:type="dcterms:W3CDTF">2019-07-16T09:29:46Z</dcterms:created>
  <dcterms:modified xsi:type="dcterms:W3CDTF">2025-09-04T08:51:59Z</dcterms:modified>
</cp:coreProperties>
</file>