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SACHIN\Downloads\VSJCV - AXIS - APF Update - Aug 25 - 18665 - Runwal Pinnacle\Runwal Pinnacle\"/>
    </mc:Choice>
  </mc:AlternateContent>
  <xr:revisionPtr revIDLastSave="0" documentId="13_ncr:1_{C6AB5604-0737-48B1-95E3-701BA7436DB4}"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Note" sheetId="4" r:id="rId3"/>
  </sheets>
  <definedNames>
    <definedName name="_xlnm.Print_Area" localSheetId="0">Report!$A$1:$H$804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0" i="1" l="1"/>
  <c r="C78" i="1"/>
  <c r="C92" i="1"/>
  <c r="I293" i="1"/>
  <c r="I271" i="1"/>
  <c r="I150" i="1"/>
  <c r="E262" i="1"/>
  <c r="D262" i="1"/>
  <c r="D261" i="1"/>
  <c r="F261" i="1" s="1"/>
  <c r="H261" i="1" s="1"/>
  <c r="D260" i="1"/>
  <c r="F260" i="1" s="1"/>
  <c r="H260" i="1" s="1"/>
  <c r="E259" i="1"/>
  <c r="D259" i="1"/>
  <c r="A259" i="1"/>
  <c r="A260" i="1" s="1"/>
  <c r="A261" i="1" s="1"/>
  <c r="A262" i="1" s="1"/>
  <c r="A263" i="1" s="1"/>
  <c r="E258" i="1"/>
  <c r="D258" i="1"/>
  <c r="E651" i="1"/>
  <c r="D651" i="1"/>
  <c r="F651" i="1" s="1"/>
  <c r="H651" i="1" s="1"/>
  <c r="E654" i="1"/>
  <c r="D654" i="1"/>
  <c r="D653" i="1"/>
  <c r="F653" i="1" s="1"/>
  <c r="H653" i="1" s="1"/>
  <c r="D652" i="1"/>
  <c r="F652" i="1" s="1"/>
  <c r="H652" i="1" s="1"/>
  <c r="A651" i="1"/>
  <c r="A652" i="1" s="1"/>
  <c r="A653" i="1" s="1"/>
  <c r="A654" i="1" s="1"/>
  <c r="E650" i="1"/>
  <c r="D650" i="1"/>
  <c r="E644" i="1"/>
  <c r="D644" i="1"/>
  <c r="E648" i="1"/>
  <c r="D648" i="1"/>
  <c r="D647" i="1"/>
  <c r="F647" i="1" s="1"/>
  <c r="H647" i="1" s="1"/>
  <c r="D646" i="1"/>
  <c r="F646" i="1" s="1"/>
  <c r="H646" i="1" s="1"/>
  <c r="A645" i="1"/>
  <c r="A646" i="1" s="1"/>
  <c r="A647" i="1" s="1"/>
  <c r="A648" i="1" s="1"/>
  <c r="E642" i="1"/>
  <c r="D642" i="1"/>
  <c r="D641" i="1"/>
  <c r="F641" i="1" s="1"/>
  <c r="H641" i="1" s="1"/>
  <c r="D640" i="1"/>
  <c r="F640" i="1" s="1"/>
  <c r="H640" i="1" s="1"/>
  <c r="E639" i="1"/>
  <c r="D639" i="1"/>
  <c r="E633" i="1"/>
  <c r="D633" i="1"/>
  <c r="A639" i="1"/>
  <c r="A640" i="1" s="1"/>
  <c r="A641" i="1" s="1"/>
  <c r="A642" i="1" s="1"/>
  <c r="E636" i="1"/>
  <c r="D636" i="1"/>
  <c r="D635" i="1"/>
  <c r="F635" i="1" s="1"/>
  <c r="H635" i="1" s="1"/>
  <c r="D634" i="1"/>
  <c r="F634" i="1" s="1"/>
  <c r="H634" i="1" s="1"/>
  <c r="A633" i="1"/>
  <c r="A634" i="1" s="1"/>
  <c r="A635" i="1" s="1"/>
  <c r="A636" i="1" s="1"/>
  <c r="E556" i="1"/>
  <c r="D556" i="1"/>
  <c r="D555" i="1"/>
  <c r="F555" i="1" s="1"/>
  <c r="H555" i="1" s="1"/>
  <c r="E554" i="1"/>
  <c r="D554" i="1"/>
  <c r="A554" i="1"/>
  <c r="A555" i="1" s="1"/>
  <c r="A556" i="1" s="1"/>
  <c r="D550" i="1"/>
  <c r="F550" i="1" s="1"/>
  <c r="H550" i="1" s="1"/>
  <c r="E549" i="1"/>
  <c r="D549" i="1"/>
  <c r="A549" i="1"/>
  <c r="A550" i="1" s="1"/>
  <c r="A551" i="1" s="1"/>
  <c r="E536" i="1"/>
  <c r="D536" i="1"/>
  <c r="D535" i="1"/>
  <c r="F535" i="1" s="1"/>
  <c r="H535" i="1" s="1"/>
  <c r="E534" i="1"/>
  <c r="D534" i="1"/>
  <c r="A534" i="1"/>
  <c r="A535" i="1" s="1"/>
  <c r="A536" i="1" s="1"/>
  <c r="E533" i="1"/>
  <c r="D533" i="1"/>
  <c r="E546" i="1"/>
  <c r="D546" i="1"/>
  <c r="D545" i="1"/>
  <c r="F545" i="1" s="1"/>
  <c r="H545" i="1" s="1"/>
  <c r="E544" i="1"/>
  <c r="D544" i="1"/>
  <c r="A544" i="1"/>
  <c r="A545" i="1" s="1"/>
  <c r="A546" i="1" s="1"/>
  <c r="E543" i="1"/>
  <c r="D543" i="1"/>
  <c r="E458" i="1"/>
  <c r="D458" i="1"/>
  <c r="E457" i="1"/>
  <c r="D457" i="1"/>
  <c r="A457" i="1"/>
  <c r="A458" i="1" s="1"/>
  <c r="A459" i="1" s="1"/>
  <c r="E456" i="1"/>
  <c r="D456" i="1"/>
  <c r="E444" i="1"/>
  <c r="D444" i="1"/>
  <c r="E443" i="1"/>
  <c r="D443" i="1"/>
  <c r="E442" i="1"/>
  <c r="D442" i="1"/>
  <c r="A442" i="1"/>
  <c r="A443" i="1" s="1"/>
  <c r="A444" i="1" s="1"/>
  <c r="E441" i="1"/>
  <c r="D441" i="1"/>
  <c r="E449" i="1"/>
  <c r="D449" i="1"/>
  <c r="E448" i="1"/>
  <c r="D448" i="1"/>
  <c r="E447" i="1"/>
  <c r="D447" i="1"/>
  <c r="A447" i="1"/>
  <c r="A448" i="1" s="1"/>
  <c r="A449" i="1" s="1"/>
  <c r="E446" i="1"/>
  <c r="D446" i="1"/>
  <c r="E439" i="1"/>
  <c r="D439" i="1"/>
  <c r="E438" i="1"/>
  <c r="D438" i="1"/>
  <c r="E437" i="1"/>
  <c r="D437" i="1"/>
  <c r="A437" i="1"/>
  <c r="A438" i="1" s="1"/>
  <c r="A439" i="1" s="1"/>
  <c r="E436" i="1"/>
  <c r="D436" i="1"/>
  <c r="E362" i="1"/>
  <c r="D362" i="1"/>
  <c r="E361" i="1"/>
  <c r="D361" i="1"/>
  <c r="D360" i="1"/>
  <c r="F360" i="1" s="1"/>
  <c r="H360" i="1" s="1"/>
  <c r="D359" i="1"/>
  <c r="F359" i="1" s="1"/>
  <c r="H359" i="1" s="1"/>
  <c r="E358" i="1"/>
  <c r="D358" i="1"/>
  <c r="E357" i="1"/>
  <c r="D357" i="1"/>
  <c r="E355" i="1"/>
  <c r="D355" i="1"/>
  <c r="E354" i="1"/>
  <c r="D354" i="1"/>
  <c r="D353" i="1"/>
  <c r="F353" i="1" s="1"/>
  <c r="H353" i="1" s="1"/>
  <c r="D352" i="1"/>
  <c r="F352" i="1" s="1"/>
  <c r="H352" i="1" s="1"/>
  <c r="E351" i="1"/>
  <c r="D351" i="1"/>
  <c r="E350" i="1"/>
  <c r="D350" i="1"/>
  <c r="A351" i="1"/>
  <c r="A352" i="1" s="1"/>
  <c r="A353" i="1" s="1"/>
  <c r="A354" i="1" s="1"/>
  <c r="A355" i="1" s="1"/>
  <c r="E348" i="1"/>
  <c r="D348" i="1"/>
  <c r="D346" i="1"/>
  <c r="F346" i="1" s="1"/>
  <c r="H346" i="1" s="1"/>
  <c r="D345" i="1"/>
  <c r="F345" i="1" s="1"/>
  <c r="H345" i="1" s="1"/>
  <c r="E344" i="1"/>
  <c r="D344" i="1"/>
  <c r="E343" i="1"/>
  <c r="D343" i="1"/>
  <c r="A344" i="1"/>
  <c r="A345" i="1" s="1"/>
  <c r="A346" i="1" s="1"/>
  <c r="A347" i="1" s="1"/>
  <c r="A348" i="1" s="1"/>
  <c r="E340" i="1"/>
  <c r="D340" i="1"/>
  <c r="D339" i="1"/>
  <c r="F339" i="1" s="1"/>
  <c r="H339" i="1" s="1"/>
  <c r="D338" i="1"/>
  <c r="F338" i="1" s="1"/>
  <c r="H338" i="1" s="1"/>
  <c r="E337" i="1"/>
  <c r="D337" i="1"/>
  <c r="E336" i="1"/>
  <c r="D336" i="1"/>
  <c r="E333" i="1"/>
  <c r="D333" i="1"/>
  <c r="D332" i="1"/>
  <c r="F332" i="1" s="1"/>
  <c r="H332" i="1" s="1"/>
  <c r="D331" i="1"/>
  <c r="F331" i="1" s="1"/>
  <c r="H331" i="1" s="1"/>
  <c r="E330" i="1"/>
  <c r="D330" i="1"/>
  <c r="E329" i="1"/>
  <c r="D329" i="1"/>
  <c r="A330" i="1"/>
  <c r="A331" i="1" s="1"/>
  <c r="A332" i="1" s="1"/>
  <c r="A333" i="1" s="1"/>
  <c r="A334" i="1" s="1"/>
  <c r="A337" i="1"/>
  <c r="A338" i="1" s="1"/>
  <c r="A339" i="1" s="1"/>
  <c r="A340" i="1" s="1"/>
  <c r="A341" i="1" s="1"/>
  <c r="A358" i="1"/>
  <c r="A359" i="1" s="1"/>
  <c r="A360" i="1" s="1"/>
  <c r="A361" i="1" s="1"/>
  <c r="A362" i="1" s="1"/>
  <c r="E234" i="1"/>
  <c r="D234" i="1"/>
  <c r="E233" i="1"/>
  <c r="D233" i="1"/>
  <c r="E232" i="1"/>
  <c r="D232" i="1"/>
  <c r="A232" i="1"/>
  <c r="A233" i="1" s="1"/>
  <c r="A234" i="1" s="1"/>
  <c r="E231" i="1"/>
  <c r="D231" i="1"/>
  <c r="E229" i="1"/>
  <c r="D229" i="1"/>
  <c r="E228" i="1"/>
  <c r="D228" i="1"/>
  <c r="E227" i="1"/>
  <c r="D227" i="1"/>
  <c r="E226" i="1"/>
  <c r="D226" i="1"/>
  <c r="E224" i="1"/>
  <c r="D224" i="1"/>
  <c r="E223" i="1"/>
  <c r="D223" i="1"/>
  <c r="E222" i="1"/>
  <c r="D222" i="1"/>
  <c r="A222" i="1"/>
  <c r="A223" i="1" s="1"/>
  <c r="A224" i="1" s="1"/>
  <c r="E219" i="1"/>
  <c r="D219" i="1"/>
  <c r="E218" i="1"/>
  <c r="D218" i="1"/>
  <c r="E217" i="1"/>
  <c r="D217" i="1"/>
  <c r="E216" i="1"/>
  <c r="D216" i="1"/>
  <c r="A217" i="1"/>
  <c r="A218" i="1" s="1"/>
  <c r="A219" i="1" s="1"/>
  <c r="F262" i="1" l="1"/>
  <c r="H262" i="1" s="1"/>
  <c r="F258" i="1"/>
  <c r="H258" i="1" s="1"/>
  <c r="F259" i="1"/>
  <c r="H259" i="1" s="1"/>
  <c r="F648" i="1"/>
  <c r="H648" i="1" s="1"/>
  <c r="F650" i="1"/>
  <c r="H650" i="1" s="1"/>
  <c r="F554" i="1"/>
  <c r="H554" i="1" s="1"/>
  <c r="F644" i="1"/>
  <c r="H644" i="1" s="1"/>
  <c r="F654" i="1"/>
  <c r="H654" i="1" s="1"/>
  <c r="F443" i="1"/>
  <c r="H443" i="1" s="1"/>
  <c r="F456" i="1"/>
  <c r="H456" i="1" s="1"/>
  <c r="F544" i="1"/>
  <c r="H544" i="1" s="1"/>
  <c r="F639" i="1"/>
  <c r="H639" i="1" s="1"/>
  <c r="F642" i="1"/>
  <c r="H642" i="1" s="1"/>
  <c r="F636" i="1"/>
  <c r="H636" i="1" s="1"/>
  <c r="F556" i="1"/>
  <c r="H556" i="1" s="1"/>
  <c r="F633" i="1"/>
  <c r="H633" i="1" s="1"/>
  <c r="F533" i="1"/>
  <c r="H533" i="1" s="1"/>
  <c r="F536" i="1"/>
  <c r="H536" i="1" s="1"/>
  <c r="F534" i="1"/>
  <c r="H534" i="1" s="1"/>
  <c r="F549" i="1"/>
  <c r="H549" i="1" s="1"/>
  <c r="F447" i="1"/>
  <c r="H447" i="1" s="1"/>
  <c r="F442" i="1"/>
  <c r="H442" i="1" s="1"/>
  <c r="F546" i="1"/>
  <c r="H546" i="1" s="1"/>
  <c r="F543" i="1"/>
  <c r="H543" i="1" s="1"/>
  <c r="F457" i="1"/>
  <c r="H457" i="1" s="1"/>
  <c r="F458" i="1"/>
  <c r="H458" i="1" s="1"/>
  <c r="F348" i="1"/>
  <c r="H348" i="1" s="1"/>
  <c r="F330" i="1"/>
  <c r="H330" i="1" s="1"/>
  <c r="F333" i="1"/>
  <c r="H333" i="1" s="1"/>
  <c r="F337" i="1"/>
  <c r="H337" i="1" s="1"/>
  <c r="F340" i="1"/>
  <c r="H340" i="1" s="1"/>
  <c r="F343" i="1"/>
  <c r="H343" i="1" s="1"/>
  <c r="F437" i="1"/>
  <c r="H437" i="1" s="1"/>
  <c r="F448" i="1"/>
  <c r="H448" i="1" s="1"/>
  <c r="F441" i="1"/>
  <c r="H441" i="1" s="1"/>
  <c r="F444" i="1"/>
  <c r="H444" i="1" s="1"/>
  <c r="F351" i="1"/>
  <c r="H351" i="1" s="1"/>
  <c r="F354" i="1"/>
  <c r="H354" i="1" s="1"/>
  <c r="F357" i="1"/>
  <c r="H357" i="1" s="1"/>
  <c r="F362" i="1"/>
  <c r="H362" i="1" s="1"/>
  <c r="F446" i="1"/>
  <c r="H446" i="1" s="1"/>
  <c r="F449" i="1"/>
  <c r="H449" i="1" s="1"/>
  <c r="F344" i="1"/>
  <c r="H344" i="1" s="1"/>
  <c r="F438" i="1"/>
  <c r="H438" i="1" s="1"/>
  <c r="F350" i="1"/>
  <c r="H350" i="1" s="1"/>
  <c r="F355" i="1"/>
  <c r="H355" i="1" s="1"/>
  <c r="F358" i="1"/>
  <c r="H358" i="1" s="1"/>
  <c r="F361" i="1"/>
  <c r="H361" i="1" s="1"/>
  <c r="F436" i="1"/>
  <c r="H436" i="1" s="1"/>
  <c r="F439" i="1"/>
  <c r="H439" i="1" s="1"/>
  <c r="F218" i="1"/>
  <c r="H218" i="1" s="1"/>
  <c r="F329" i="1"/>
  <c r="H329" i="1" s="1"/>
  <c r="F217" i="1"/>
  <c r="H217" i="1" s="1"/>
  <c r="F219" i="1"/>
  <c r="H219" i="1" s="1"/>
  <c r="F232" i="1"/>
  <c r="H232" i="1" s="1"/>
  <c r="F234" i="1"/>
  <c r="H234" i="1" s="1"/>
  <c r="F336" i="1"/>
  <c r="H336" i="1" s="1"/>
  <c r="F223" i="1"/>
  <c r="H223" i="1" s="1"/>
  <c r="F231" i="1"/>
  <c r="H231" i="1" s="1"/>
  <c r="F222" i="1"/>
  <c r="H222" i="1" s="1"/>
  <c r="F224" i="1"/>
  <c r="H224" i="1" s="1"/>
  <c r="F233" i="1"/>
  <c r="H233" i="1" s="1"/>
  <c r="F216" i="1"/>
  <c r="H216" i="1" s="1"/>
  <c r="J98" i="1"/>
  <c r="C93" i="1"/>
  <c r="C94" i="1" l="1"/>
  <c r="C95" i="1"/>
  <c r="F11" i="5" l="1"/>
  <c r="G11" i="5" s="1"/>
  <c r="F10" i="5"/>
  <c r="G10" i="5" s="1"/>
  <c r="F9" i="5"/>
  <c r="G9" i="5" s="1"/>
  <c r="F8" i="5"/>
  <c r="G8" i="5" s="1"/>
  <c r="G12" i="5" s="1"/>
  <c r="F7" i="5"/>
  <c r="G7" i="5" s="1"/>
  <c r="G6" i="5"/>
  <c r="F6" i="5"/>
  <c r="F5" i="5"/>
  <c r="G5" i="5" s="1"/>
  <c r="D680" i="1"/>
  <c r="A664" i="1"/>
  <c r="A665" i="1" s="1"/>
  <c r="A666" i="1" s="1"/>
  <c r="A659" i="1"/>
  <c r="A660" i="1" s="1"/>
  <c r="A661" i="1" s="1"/>
  <c r="A662" i="1" s="1"/>
  <c r="B657" i="1"/>
  <c r="A657" i="1"/>
  <c r="E630" i="1"/>
  <c r="D630" i="1"/>
  <c r="D629" i="1"/>
  <c r="F629" i="1" s="1"/>
  <c r="H629" i="1" s="1"/>
  <c r="D628" i="1"/>
  <c r="F628" i="1" s="1"/>
  <c r="H628" i="1" s="1"/>
  <c r="E627" i="1"/>
  <c r="D627" i="1"/>
  <c r="A627" i="1"/>
  <c r="A628" i="1" s="1"/>
  <c r="A629" i="1" s="1"/>
  <c r="A630" i="1" s="1"/>
  <c r="E624" i="1"/>
  <c r="D624" i="1"/>
  <c r="D623" i="1"/>
  <c r="F623" i="1" s="1"/>
  <c r="H623" i="1" s="1"/>
  <c r="D622" i="1"/>
  <c r="F622" i="1" s="1"/>
  <c r="H622" i="1" s="1"/>
  <c r="E621" i="1"/>
  <c r="D621" i="1"/>
  <c r="A621" i="1"/>
  <c r="A622" i="1" s="1"/>
  <c r="A623" i="1" s="1"/>
  <c r="A624" i="1" s="1"/>
  <c r="E618" i="1"/>
  <c r="D618" i="1"/>
  <c r="D617" i="1"/>
  <c r="F617" i="1" s="1"/>
  <c r="H617" i="1" s="1"/>
  <c r="D616" i="1"/>
  <c r="F616" i="1" s="1"/>
  <c r="H616" i="1" s="1"/>
  <c r="A615" i="1"/>
  <c r="A616" i="1" s="1"/>
  <c r="A617" i="1" s="1"/>
  <c r="A618" i="1" s="1"/>
  <c r="E614" i="1"/>
  <c r="D614" i="1"/>
  <c r="E612" i="1"/>
  <c r="D612" i="1"/>
  <c r="D611" i="1"/>
  <c r="F611" i="1" s="1"/>
  <c r="H611" i="1" s="1"/>
  <c r="D610" i="1"/>
  <c r="F610" i="1" s="1"/>
  <c r="H610" i="1" s="1"/>
  <c r="A609" i="1"/>
  <c r="A610" i="1" s="1"/>
  <c r="A611" i="1" s="1"/>
  <c r="A612" i="1" s="1"/>
  <c r="E608" i="1"/>
  <c r="D608" i="1"/>
  <c r="E606" i="1"/>
  <c r="D606" i="1"/>
  <c r="D605" i="1"/>
  <c r="F605" i="1" s="1"/>
  <c r="H605" i="1" s="1"/>
  <c r="D604" i="1"/>
  <c r="F604" i="1" s="1"/>
  <c r="H604" i="1" s="1"/>
  <c r="E603" i="1"/>
  <c r="D603" i="1"/>
  <c r="A603" i="1"/>
  <c r="A604" i="1" s="1"/>
  <c r="A605" i="1" s="1"/>
  <c r="A606" i="1" s="1"/>
  <c r="E602" i="1"/>
  <c r="D602" i="1"/>
  <c r="E600" i="1"/>
  <c r="D600" i="1"/>
  <c r="D599" i="1"/>
  <c r="F599" i="1" s="1"/>
  <c r="H599" i="1" s="1"/>
  <c r="D598" i="1"/>
  <c r="F598" i="1" s="1"/>
  <c r="H598" i="1" s="1"/>
  <c r="A597" i="1"/>
  <c r="A598" i="1" s="1"/>
  <c r="A599" i="1" s="1"/>
  <c r="A600" i="1" s="1"/>
  <c r="E596" i="1"/>
  <c r="D596" i="1"/>
  <c r="E593" i="1"/>
  <c r="D593" i="1"/>
  <c r="D592" i="1"/>
  <c r="F592" i="1" s="1"/>
  <c r="H592" i="1" s="1"/>
  <c r="D591" i="1"/>
  <c r="F591" i="1" s="1"/>
  <c r="H591" i="1" s="1"/>
  <c r="A590" i="1"/>
  <c r="A591" i="1" s="1"/>
  <c r="A592" i="1" s="1"/>
  <c r="A593" i="1" s="1"/>
  <c r="E587" i="1"/>
  <c r="D587" i="1"/>
  <c r="D586" i="1"/>
  <c r="F586" i="1" s="1"/>
  <c r="H586" i="1" s="1"/>
  <c r="D585" i="1"/>
  <c r="F585" i="1" s="1"/>
  <c r="H585" i="1" s="1"/>
  <c r="E584" i="1"/>
  <c r="D584" i="1"/>
  <c r="A584" i="1"/>
  <c r="A585" i="1" s="1"/>
  <c r="A586" i="1" s="1"/>
  <c r="A587" i="1" s="1"/>
  <c r="E583" i="1"/>
  <c r="D583" i="1"/>
  <c r="E581" i="1"/>
  <c r="D581" i="1"/>
  <c r="D580" i="1"/>
  <c r="F580" i="1" s="1"/>
  <c r="H580" i="1" s="1"/>
  <c r="D579" i="1"/>
  <c r="F579" i="1" s="1"/>
  <c r="H579" i="1" s="1"/>
  <c r="A578" i="1"/>
  <c r="A579" i="1" s="1"/>
  <c r="A580" i="1" s="1"/>
  <c r="A581" i="1" s="1"/>
  <c r="E577" i="1"/>
  <c r="D577" i="1"/>
  <c r="E575" i="1"/>
  <c r="D575" i="1"/>
  <c r="D574" i="1"/>
  <c r="F574" i="1" s="1"/>
  <c r="H574" i="1" s="1"/>
  <c r="D573" i="1"/>
  <c r="F573" i="1" s="1"/>
  <c r="H573" i="1" s="1"/>
  <c r="E572" i="1"/>
  <c r="D572" i="1"/>
  <c r="A572" i="1"/>
  <c r="A573" i="1" s="1"/>
  <c r="A574" i="1" s="1"/>
  <c r="A575" i="1" s="1"/>
  <c r="E569" i="1"/>
  <c r="D569" i="1"/>
  <c r="D568" i="1"/>
  <c r="F568" i="1" s="1"/>
  <c r="H568" i="1" s="1"/>
  <c r="D567" i="1"/>
  <c r="F567" i="1" s="1"/>
  <c r="H567" i="1" s="1"/>
  <c r="A566" i="1"/>
  <c r="A567" i="1" s="1"/>
  <c r="A568" i="1" s="1"/>
  <c r="A569" i="1" s="1"/>
  <c r="E563" i="1"/>
  <c r="D563" i="1"/>
  <c r="D562" i="1"/>
  <c r="F562" i="1" s="1"/>
  <c r="H562" i="1" s="1"/>
  <c r="D561" i="1"/>
  <c r="A560" i="1"/>
  <c r="A561" i="1" s="1"/>
  <c r="A562" i="1" s="1"/>
  <c r="A563" i="1" s="1"/>
  <c r="E541" i="1"/>
  <c r="D541" i="1"/>
  <c r="D540" i="1"/>
  <c r="F540" i="1" s="1"/>
  <c r="H540" i="1" s="1"/>
  <c r="E539" i="1"/>
  <c r="D539" i="1"/>
  <c r="A539" i="1"/>
  <c r="A540" i="1" s="1"/>
  <c r="A541" i="1" s="1"/>
  <c r="E538" i="1"/>
  <c r="D538" i="1"/>
  <c r="D530" i="1"/>
  <c r="F530" i="1" s="1"/>
  <c r="H530" i="1" s="1"/>
  <c r="E529" i="1"/>
  <c r="D529" i="1"/>
  <c r="A529" i="1"/>
  <c r="A530" i="1" s="1"/>
  <c r="A531" i="1" s="1"/>
  <c r="E528" i="1"/>
  <c r="D528" i="1"/>
  <c r="E526" i="1"/>
  <c r="D526" i="1"/>
  <c r="D525" i="1"/>
  <c r="F525" i="1" s="1"/>
  <c r="H525" i="1" s="1"/>
  <c r="E524" i="1"/>
  <c r="D524" i="1"/>
  <c r="A524" i="1"/>
  <c r="A525" i="1" s="1"/>
  <c r="A526" i="1" s="1"/>
  <c r="G523" i="1"/>
  <c r="E521" i="1"/>
  <c r="D521" i="1"/>
  <c r="D520" i="1"/>
  <c r="F520" i="1" s="1"/>
  <c r="H520" i="1" s="1"/>
  <c r="E519" i="1"/>
  <c r="D519" i="1"/>
  <c r="A519" i="1"/>
  <c r="A520" i="1" s="1"/>
  <c r="A521" i="1" s="1"/>
  <c r="G518" i="1"/>
  <c r="E516" i="1"/>
  <c r="D516" i="1"/>
  <c r="D515" i="1"/>
  <c r="F515" i="1" s="1"/>
  <c r="H515" i="1" s="1"/>
  <c r="E514" i="1"/>
  <c r="D514" i="1"/>
  <c r="A514" i="1"/>
  <c r="A515" i="1" s="1"/>
  <c r="A516" i="1" s="1"/>
  <c r="G513" i="1"/>
  <c r="D510" i="1"/>
  <c r="F510" i="1" s="1"/>
  <c r="H510" i="1" s="1"/>
  <c r="E509" i="1"/>
  <c r="D509" i="1"/>
  <c r="A509" i="1"/>
  <c r="A510" i="1" s="1"/>
  <c r="A511" i="1" s="1"/>
  <c r="E508" i="1"/>
  <c r="D508" i="1"/>
  <c r="D505" i="1"/>
  <c r="F505" i="1" s="1"/>
  <c r="H505" i="1" s="1"/>
  <c r="E504" i="1"/>
  <c r="D504" i="1"/>
  <c r="A504" i="1"/>
  <c r="A505" i="1" s="1"/>
  <c r="A506" i="1" s="1"/>
  <c r="E503" i="1"/>
  <c r="D503" i="1"/>
  <c r="E501" i="1"/>
  <c r="D501" i="1"/>
  <c r="D500" i="1"/>
  <c r="F500" i="1" s="1"/>
  <c r="H500" i="1" s="1"/>
  <c r="E499" i="1"/>
  <c r="D499" i="1"/>
  <c r="A499" i="1"/>
  <c r="A500" i="1" s="1"/>
  <c r="A501" i="1" s="1"/>
  <c r="E498" i="1"/>
  <c r="D498" i="1"/>
  <c r="D495" i="1"/>
  <c r="F495" i="1" s="1"/>
  <c r="H495" i="1" s="1"/>
  <c r="E494" i="1"/>
  <c r="D494" i="1"/>
  <c r="A494" i="1"/>
  <c r="A495" i="1" s="1"/>
  <c r="A496" i="1" s="1"/>
  <c r="E493" i="1"/>
  <c r="D493" i="1"/>
  <c r="D489" i="1"/>
  <c r="F489" i="1" s="1"/>
  <c r="H489" i="1" s="1"/>
  <c r="E488" i="1"/>
  <c r="D488" i="1"/>
  <c r="A488" i="1"/>
  <c r="A489" i="1" s="1"/>
  <c r="A490" i="1" s="1"/>
  <c r="G487" i="1"/>
  <c r="E485" i="1"/>
  <c r="D485" i="1"/>
  <c r="D484" i="1"/>
  <c r="F484" i="1" s="1"/>
  <c r="H484" i="1" s="1"/>
  <c r="E483" i="1"/>
  <c r="D483" i="1"/>
  <c r="A483" i="1"/>
  <c r="A484" i="1" s="1"/>
  <c r="A485" i="1" s="1"/>
  <c r="E482" i="1"/>
  <c r="D482" i="1"/>
  <c r="D479" i="1"/>
  <c r="F479" i="1" s="1"/>
  <c r="H479" i="1" s="1"/>
  <c r="E478" i="1"/>
  <c r="D478" i="1"/>
  <c r="A478" i="1"/>
  <c r="A479" i="1" s="1"/>
  <c r="A480" i="1" s="1"/>
  <c r="E477" i="1"/>
  <c r="D477" i="1"/>
  <c r="E475" i="1"/>
  <c r="D475" i="1"/>
  <c r="D474" i="1"/>
  <c r="F474" i="1" s="1"/>
  <c r="H474" i="1" s="1"/>
  <c r="E473" i="1"/>
  <c r="D473" i="1"/>
  <c r="A473" i="1"/>
  <c r="A474" i="1" s="1"/>
  <c r="A475" i="1" s="1"/>
  <c r="G472" i="1"/>
  <c r="D469" i="1"/>
  <c r="F469" i="1" s="1"/>
  <c r="H469" i="1" s="1"/>
  <c r="E468" i="1"/>
  <c r="D468" i="1"/>
  <c r="A468" i="1"/>
  <c r="A469" i="1" s="1"/>
  <c r="A470" i="1" s="1"/>
  <c r="G467" i="1"/>
  <c r="D464" i="1"/>
  <c r="E463" i="1"/>
  <c r="D463" i="1"/>
  <c r="A463" i="1"/>
  <c r="A464" i="1" s="1"/>
  <c r="A465" i="1" s="1"/>
  <c r="E453" i="1"/>
  <c r="D453" i="1"/>
  <c r="E452" i="1"/>
  <c r="D452" i="1"/>
  <c r="A452" i="1"/>
  <c r="A453" i="1" s="1"/>
  <c r="A454" i="1" s="1"/>
  <c r="E434" i="1"/>
  <c r="D434" i="1"/>
  <c r="E433" i="1"/>
  <c r="D433" i="1"/>
  <c r="E432" i="1"/>
  <c r="D432" i="1"/>
  <c r="A432" i="1"/>
  <c r="A433" i="1" s="1"/>
  <c r="A434" i="1" s="1"/>
  <c r="G431" i="1"/>
  <c r="E428" i="1"/>
  <c r="D428" i="1"/>
  <c r="E427" i="1"/>
  <c r="D427" i="1"/>
  <c r="A427" i="1"/>
  <c r="A428" i="1" s="1"/>
  <c r="A429" i="1" s="1"/>
  <c r="E426" i="1"/>
  <c r="D426" i="1"/>
  <c r="D423" i="1"/>
  <c r="F423" i="1" s="1"/>
  <c r="H423" i="1" s="1"/>
  <c r="D422" i="1"/>
  <c r="F422" i="1" s="1"/>
  <c r="H422" i="1" s="1"/>
  <c r="A422" i="1"/>
  <c r="A423" i="1" s="1"/>
  <c r="A424" i="1" s="1"/>
  <c r="E421" i="1"/>
  <c r="D421" i="1"/>
  <c r="D418" i="1"/>
  <c r="F418" i="1" s="1"/>
  <c r="H418" i="1" s="1"/>
  <c r="D417" i="1"/>
  <c r="F417" i="1" s="1"/>
  <c r="H417" i="1" s="1"/>
  <c r="A417" i="1"/>
  <c r="A418" i="1" s="1"/>
  <c r="A419" i="1" s="1"/>
  <c r="E416" i="1"/>
  <c r="D416" i="1"/>
  <c r="E414" i="1"/>
  <c r="D414" i="1"/>
  <c r="D413" i="1"/>
  <c r="F413" i="1" s="1"/>
  <c r="H413" i="1" s="1"/>
  <c r="D412" i="1"/>
  <c r="F412" i="1" s="1"/>
  <c r="H412" i="1" s="1"/>
  <c r="A412" i="1"/>
  <c r="A413" i="1" s="1"/>
  <c r="A414" i="1" s="1"/>
  <c r="G411" i="1"/>
  <c r="E409" i="1"/>
  <c r="D409" i="1"/>
  <c r="D408" i="1"/>
  <c r="F408" i="1" s="1"/>
  <c r="H408" i="1" s="1"/>
  <c r="D407" i="1"/>
  <c r="F407" i="1" s="1"/>
  <c r="H407" i="1" s="1"/>
  <c r="A407" i="1"/>
  <c r="A408" i="1" s="1"/>
  <c r="A409" i="1" s="1"/>
  <c r="E404" i="1"/>
  <c r="D404" i="1"/>
  <c r="D403" i="1"/>
  <c r="F403" i="1" s="1"/>
  <c r="H403" i="1" s="1"/>
  <c r="D402" i="1"/>
  <c r="F402" i="1" s="1"/>
  <c r="H402" i="1" s="1"/>
  <c r="A402" i="1"/>
  <c r="A403" i="1" s="1"/>
  <c r="A404" i="1" s="1"/>
  <c r="E401" i="1"/>
  <c r="D401" i="1"/>
  <c r="E399" i="1"/>
  <c r="D399" i="1"/>
  <c r="D398" i="1"/>
  <c r="F398" i="1" s="1"/>
  <c r="H398" i="1" s="1"/>
  <c r="D397" i="1"/>
  <c r="F397" i="1" s="1"/>
  <c r="H397" i="1" s="1"/>
  <c r="A397" i="1"/>
  <c r="A398" i="1" s="1"/>
  <c r="A399" i="1" s="1"/>
  <c r="G396" i="1"/>
  <c r="D392" i="1"/>
  <c r="F392" i="1" s="1"/>
  <c r="H392" i="1" s="1"/>
  <c r="D391" i="1"/>
  <c r="F391" i="1" s="1"/>
  <c r="H391" i="1" s="1"/>
  <c r="A391" i="1"/>
  <c r="A392" i="1" s="1"/>
  <c r="A393" i="1" s="1"/>
  <c r="G390" i="1"/>
  <c r="E388" i="1"/>
  <c r="D388" i="1"/>
  <c r="D387" i="1"/>
  <c r="F387" i="1" s="1"/>
  <c r="H387" i="1" s="1"/>
  <c r="D386" i="1"/>
  <c r="F386" i="1" s="1"/>
  <c r="H386" i="1" s="1"/>
  <c r="A386" i="1"/>
  <c r="A387" i="1" s="1"/>
  <c r="A388" i="1" s="1"/>
  <c r="E385" i="1"/>
  <c r="D385" i="1"/>
  <c r="E383" i="1"/>
  <c r="D383" i="1"/>
  <c r="D382" i="1"/>
  <c r="F382" i="1" s="1"/>
  <c r="H382" i="1" s="1"/>
  <c r="D381" i="1"/>
  <c r="F381" i="1" s="1"/>
  <c r="H381" i="1" s="1"/>
  <c r="A381" i="1"/>
  <c r="A382" i="1" s="1"/>
  <c r="A383" i="1" s="1"/>
  <c r="D377" i="1"/>
  <c r="F377" i="1" s="1"/>
  <c r="H377" i="1" s="1"/>
  <c r="D376" i="1"/>
  <c r="F376" i="1" s="1"/>
  <c r="H376" i="1" s="1"/>
  <c r="A376" i="1"/>
  <c r="A377" i="1" s="1"/>
  <c r="A378" i="1" s="1"/>
  <c r="E375" i="1"/>
  <c r="D375" i="1"/>
  <c r="D372" i="1"/>
  <c r="F372" i="1" s="1"/>
  <c r="H372" i="1" s="1"/>
  <c r="D371" i="1"/>
  <c r="F371" i="1" s="1"/>
  <c r="A371" i="1"/>
  <c r="A372" i="1" s="1"/>
  <c r="A373" i="1" s="1"/>
  <c r="D367" i="1"/>
  <c r="F367" i="1" s="1"/>
  <c r="H367" i="1" s="1"/>
  <c r="D366" i="1"/>
  <c r="A366" i="1"/>
  <c r="A367" i="1" s="1"/>
  <c r="A368" i="1" s="1"/>
  <c r="E326" i="1"/>
  <c r="D326" i="1"/>
  <c r="D325" i="1"/>
  <c r="F325" i="1" s="1"/>
  <c r="H325" i="1" s="1"/>
  <c r="D324" i="1"/>
  <c r="F324" i="1" s="1"/>
  <c r="H324" i="1" s="1"/>
  <c r="E323" i="1"/>
  <c r="D323" i="1"/>
  <c r="A323" i="1"/>
  <c r="A324" i="1" s="1"/>
  <c r="A325" i="1" s="1"/>
  <c r="A326" i="1" s="1"/>
  <c r="A327" i="1" s="1"/>
  <c r="E322" i="1"/>
  <c r="D322" i="1"/>
  <c r="E319" i="1"/>
  <c r="D319" i="1"/>
  <c r="D318" i="1"/>
  <c r="F318" i="1" s="1"/>
  <c r="H318" i="1" s="1"/>
  <c r="D317" i="1"/>
  <c r="F317" i="1" s="1"/>
  <c r="H317" i="1" s="1"/>
  <c r="E316" i="1"/>
  <c r="D316" i="1"/>
  <c r="A316" i="1"/>
  <c r="A317" i="1" s="1"/>
  <c r="A318" i="1" s="1"/>
  <c r="A319" i="1" s="1"/>
  <c r="A320" i="1" s="1"/>
  <c r="E315" i="1"/>
  <c r="D315" i="1"/>
  <c r="D313" i="1"/>
  <c r="F313" i="1" s="1"/>
  <c r="H313" i="1" s="1"/>
  <c r="D311" i="1"/>
  <c r="F311" i="1" s="1"/>
  <c r="H311" i="1" s="1"/>
  <c r="D310" i="1"/>
  <c r="F310" i="1" s="1"/>
  <c r="H310" i="1" s="1"/>
  <c r="E309" i="1"/>
  <c r="D309" i="1"/>
  <c r="A309" i="1"/>
  <c r="A310" i="1" s="1"/>
  <c r="A311" i="1" s="1"/>
  <c r="A312" i="1" s="1"/>
  <c r="A313" i="1" s="1"/>
  <c r="E308" i="1"/>
  <c r="D308" i="1"/>
  <c r="D306" i="1"/>
  <c r="F306" i="1" s="1"/>
  <c r="H306" i="1" s="1"/>
  <c r="D304" i="1"/>
  <c r="F304" i="1" s="1"/>
  <c r="H304" i="1" s="1"/>
  <c r="D303" i="1"/>
  <c r="F303" i="1" s="1"/>
  <c r="H303" i="1" s="1"/>
  <c r="E302" i="1"/>
  <c r="D302" i="1"/>
  <c r="A302" i="1"/>
  <c r="A303" i="1" s="1"/>
  <c r="A304" i="1" s="1"/>
  <c r="A305" i="1" s="1"/>
  <c r="A306" i="1" s="1"/>
  <c r="E301" i="1"/>
  <c r="D301" i="1"/>
  <c r="E299" i="1"/>
  <c r="D299" i="1"/>
  <c r="E298" i="1"/>
  <c r="D298" i="1"/>
  <c r="D297" i="1"/>
  <c r="F297" i="1" s="1"/>
  <c r="H297" i="1" s="1"/>
  <c r="D296" i="1"/>
  <c r="F296" i="1" s="1"/>
  <c r="H296" i="1" s="1"/>
  <c r="E295" i="1"/>
  <c r="D295" i="1"/>
  <c r="A295" i="1"/>
  <c r="A296" i="1" s="1"/>
  <c r="A297" i="1" s="1"/>
  <c r="A298" i="1" s="1"/>
  <c r="A299" i="1" s="1"/>
  <c r="E294" i="1"/>
  <c r="D294" i="1"/>
  <c r="D292" i="1"/>
  <c r="F292" i="1" s="1"/>
  <c r="H292" i="1" s="1"/>
  <c r="D290" i="1"/>
  <c r="F290" i="1" s="1"/>
  <c r="H290" i="1" s="1"/>
  <c r="D289" i="1"/>
  <c r="F289" i="1" s="1"/>
  <c r="H289" i="1" s="1"/>
  <c r="E288" i="1"/>
  <c r="D288" i="1"/>
  <c r="A288" i="1"/>
  <c r="A289" i="1" s="1"/>
  <c r="A290" i="1" s="1"/>
  <c r="A291" i="1" s="1"/>
  <c r="A292" i="1" s="1"/>
  <c r="E287" i="1"/>
  <c r="D287" i="1"/>
  <c r="D282" i="1"/>
  <c r="F282" i="1" s="1"/>
  <c r="H282" i="1" s="1"/>
  <c r="D281" i="1"/>
  <c r="F281" i="1" s="1"/>
  <c r="H281" i="1" s="1"/>
  <c r="E280" i="1"/>
  <c r="D280" i="1"/>
  <c r="A280" i="1"/>
  <c r="A281" i="1" s="1"/>
  <c r="A282" i="1" s="1"/>
  <c r="A283" i="1" s="1"/>
  <c r="A284" i="1" s="1"/>
  <c r="E279" i="1"/>
  <c r="D279" i="1"/>
  <c r="E277" i="1"/>
  <c r="D277" i="1"/>
  <c r="E276" i="1"/>
  <c r="D276" i="1"/>
  <c r="D275" i="1"/>
  <c r="F275" i="1" s="1"/>
  <c r="H275" i="1" s="1"/>
  <c r="D274" i="1"/>
  <c r="F274" i="1" s="1"/>
  <c r="H274" i="1" s="1"/>
  <c r="E273" i="1"/>
  <c r="D273" i="1"/>
  <c r="A273" i="1"/>
  <c r="A274" i="1" s="1"/>
  <c r="A275" i="1" s="1"/>
  <c r="A276" i="1" s="1"/>
  <c r="A277" i="1" s="1"/>
  <c r="E272" i="1"/>
  <c r="D272" i="1"/>
  <c r="E270" i="1"/>
  <c r="D270" i="1"/>
  <c r="D268" i="1"/>
  <c r="F268" i="1" s="1"/>
  <c r="H268" i="1" s="1"/>
  <c r="D267" i="1"/>
  <c r="F267" i="1" s="1"/>
  <c r="H267" i="1" s="1"/>
  <c r="E266" i="1"/>
  <c r="D266" i="1"/>
  <c r="A266" i="1"/>
  <c r="A267" i="1" s="1"/>
  <c r="A268" i="1" s="1"/>
  <c r="A269" i="1" s="1"/>
  <c r="A270" i="1" s="1"/>
  <c r="E265" i="1"/>
  <c r="D265" i="1"/>
  <c r="E255" i="1"/>
  <c r="D255" i="1"/>
  <c r="D254" i="1"/>
  <c r="F254" i="1" s="1"/>
  <c r="H254" i="1" s="1"/>
  <c r="D253" i="1"/>
  <c r="F253" i="1" s="1"/>
  <c r="H253" i="1" s="1"/>
  <c r="E252" i="1"/>
  <c r="D252" i="1"/>
  <c r="A252" i="1"/>
  <c r="A253" i="1" s="1"/>
  <c r="A254" i="1" s="1"/>
  <c r="A255" i="1" s="1"/>
  <c r="A256" i="1" s="1"/>
  <c r="E251" i="1"/>
  <c r="D251" i="1"/>
  <c r="D247" i="1"/>
  <c r="F247" i="1" s="1"/>
  <c r="H247" i="1" s="1"/>
  <c r="D246" i="1"/>
  <c r="F246" i="1" s="1"/>
  <c r="H246" i="1" s="1"/>
  <c r="E245" i="1"/>
  <c r="D245" i="1"/>
  <c r="A245" i="1"/>
  <c r="A246" i="1" s="1"/>
  <c r="A247" i="1" s="1"/>
  <c r="A248" i="1" s="1"/>
  <c r="A249" i="1" s="1"/>
  <c r="E244" i="1"/>
  <c r="D244" i="1"/>
  <c r="D240" i="1"/>
  <c r="F240" i="1" s="1"/>
  <c r="H240" i="1" s="1"/>
  <c r="D239" i="1"/>
  <c r="F239" i="1" s="1"/>
  <c r="H239" i="1" s="1"/>
  <c r="E238" i="1"/>
  <c r="D238" i="1"/>
  <c r="A238" i="1"/>
  <c r="A239" i="1" s="1"/>
  <c r="A240" i="1" s="1"/>
  <c r="A241" i="1" s="1"/>
  <c r="A242" i="1" s="1"/>
  <c r="E237" i="1"/>
  <c r="D237" i="1"/>
  <c r="F229" i="1"/>
  <c r="H229" i="1" s="1"/>
  <c r="F228" i="1"/>
  <c r="H228" i="1" s="1"/>
  <c r="F227" i="1"/>
  <c r="H227" i="1" s="1"/>
  <c r="A227" i="1"/>
  <c r="A228" i="1" s="1"/>
  <c r="A229" i="1" s="1"/>
  <c r="F226" i="1"/>
  <c r="H226" i="1" s="1"/>
  <c r="E214" i="1"/>
  <c r="D214" i="1"/>
  <c r="E213" i="1"/>
  <c r="D213" i="1"/>
  <c r="E212" i="1"/>
  <c r="D212" i="1"/>
  <c r="A212" i="1"/>
  <c r="A213" i="1" s="1"/>
  <c r="A214" i="1" s="1"/>
  <c r="E211" i="1"/>
  <c r="D211" i="1"/>
  <c r="E209" i="1"/>
  <c r="D209" i="1"/>
  <c r="E208" i="1"/>
  <c r="D208" i="1"/>
  <c r="E207" i="1"/>
  <c r="D207" i="1"/>
  <c r="A207" i="1"/>
  <c r="A208" i="1" s="1"/>
  <c r="A209" i="1" s="1"/>
  <c r="E206" i="1"/>
  <c r="D206" i="1"/>
  <c r="E204" i="1"/>
  <c r="D204" i="1"/>
  <c r="E203" i="1"/>
  <c r="D203" i="1"/>
  <c r="E202" i="1"/>
  <c r="D202" i="1"/>
  <c r="A202" i="1"/>
  <c r="A203" i="1" s="1"/>
  <c r="A204" i="1" s="1"/>
  <c r="E199" i="1"/>
  <c r="D199" i="1"/>
  <c r="E198" i="1"/>
  <c r="D198" i="1"/>
  <c r="E197" i="1"/>
  <c r="D197" i="1"/>
  <c r="A197" i="1"/>
  <c r="A198" i="1" s="1"/>
  <c r="A199" i="1" s="1"/>
  <c r="E196" i="1"/>
  <c r="D196" i="1"/>
  <c r="E194" i="1"/>
  <c r="D194" i="1"/>
  <c r="E193" i="1"/>
  <c r="D193" i="1"/>
  <c r="E192" i="1"/>
  <c r="D192" i="1"/>
  <c r="A192" i="1"/>
  <c r="A193" i="1" s="1"/>
  <c r="A194" i="1" s="1"/>
  <c r="E188" i="1"/>
  <c r="D188" i="1"/>
  <c r="E187" i="1"/>
  <c r="D187" i="1"/>
  <c r="E186" i="1"/>
  <c r="D186" i="1"/>
  <c r="A186" i="1"/>
  <c r="A187" i="1" s="1"/>
  <c r="A188" i="1" s="1"/>
  <c r="E183" i="1"/>
  <c r="D183" i="1"/>
  <c r="E182" i="1"/>
  <c r="D182" i="1"/>
  <c r="E181" i="1"/>
  <c r="D181" i="1"/>
  <c r="A181" i="1"/>
  <c r="A182" i="1" s="1"/>
  <c r="A183" i="1" s="1"/>
  <c r="E180" i="1"/>
  <c r="D180" i="1"/>
  <c r="E178" i="1"/>
  <c r="D178" i="1"/>
  <c r="E177" i="1"/>
  <c r="D177" i="1"/>
  <c r="E176" i="1"/>
  <c r="D176" i="1"/>
  <c r="A176" i="1"/>
  <c r="A177" i="1" s="1"/>
  <c r="A178" i="1" s="1"/>
  <c r="E173" i="1"/>
  <c r="D173" i="1"/>
  <c r="E172" i="1"/>
  <c r="D172" i="1"/>
  <c r="E171" i="1"/>
  <c r="D171" i="1"/>
  <c r="A171" i="1"/>
  <c r="A172" i="1" s="1"/>
  <c r="A173" i="1" s="1"/>
  <c r="E170" i="1"/>
  <c r="D170" i="1"/>
  <c r="E168" i="1"/>
  <c r="D168" i="1"/>
  <c r="E167" i="1"/>
  <c r="D167" i="1"/>
  <c r="E166" i="1"/>
  <c r="D166" i="1"/>
  <c r="A166" i="1"/>
  <c r="A167" i="1" s="1"/>
  <c r="A168" i="1" s="1"/>
  <c r="E165" i="1"/>
  <c r="D165" i="1"/>
  <c r="E163" i="1"/>
  <c r="D163" i="1"/>
  <c r="E162" i="1"/>
  <c r="D162" i="1"/>
  <c r="E161" i="1"/>
  <c r="D161" i="1"/>
  <c r="A161" i="1"/>
  <c r="A162" i="1" s="1"/>
  <c r="A163" i="1" s="1"/>
  <c r="F139" i="1"/>
  <c r="J126" i="1"/>
  <c r="C121" i="1"/>
  <c r="C114" i="1"/>
  <c r="D113" i="1"/>
  <c r="J112" i="1"/>
  <c r="D112" i="1"/>
  <c r="D111" i="1"/>
  <c r="D110" i="1"/>
  <c r="L108" i="1"/>
  <c r="L107" i="1"/>
  <c r="C107" i="1"/>
  <c r="J106" i="1"/>
  <c r="J107" i="1" s="1"/>
  <c r="D106" i="1"/>
  <c r="J105" i="1"/>
  <c r="C104" i="1" s="1"/>
  <c r="D104" i="1" s="1"/>
  <c r="D105" i="1"/>
  <c r="J104" i="1"/>
  <c r="J103" i="1"/>
  <c r="C100" i="1"/>
  <c r="J84" i="1"/>
  <c r="C79" i="1"/>
  <c r="D66" i="1"/>
  <c r="D59" i="1"/>
  <c r="G48" i="1"/>
  <c r="C48" i="1"/>
  <c r="E40" i="1"/>
  <c r="I39" i="1"/>
  <c r="E25" i="1"/>
  <c r="E23" i="1"/>
  <c r="C14" i="1"/>
  <c r="E7" i="1"/>
  <c r="E3" i="1"/>
  <c r="H73" i="1"/>
  <c r="H115" i="1"/>
  <c r="C144" i="1" l="1"/>
  <c r="C143" i="1"/>
  <c r="F561" i="1"/>
  <c r="C146" i="1"/>
  <c r="C145" i="1"/>
  <c r="F630" i="1"/>
  <c r="H630" i="1" s="1"/>
  <c r="F624" i="1"/>
  <c r="H624" i="1" s="1"/>
  <c r="F209" i="1"/>
  <c r="H209" i="1" s="1"/>
  <c r="F208" i="1"/>
  <c r="H208" i="1" s="1"/>
  <c r="F211" i="1"/>
  <c r="H211" i="1" s="1"/>
  <c r="F212" i="1"/>
  <c r="H212" i="1" s="1"/>
  <c r="F252" i="1"/>
  <c r="H252" i="1" s="1"/>
  <c r="F266" i="1"/>
  <c r="H266" i="1" s="1"/>
  <c r="F478" i="1"/>
  <c r="H478" i="1" s="1"/>
  <c r="F501" i="1"/>
  <c r="H501" i="1" s="1"/>
  <c r="F563" i="1"/>
  <c r="H563" i="1" s="1"/>
  <c r="F475" i="1"/>
  <c r="H475" i="1" s="1"/>
  <c r="F575" i="1"/>
  <c r="H575" i="1" s="1"/>
  <c r="F587" i="1"/>
  <c r="H587" i="1" s="1"/>
  <c r="F298" i="1"/>
  <c r="H298" i="1" s="1"/>
  <c r="F301" i="1"/>
  <c r="H301" i="1" s="1"/>
  <c r="F308" i="1"/>
  <c r="H308" i="1" s="1"/>
  <c r="F539" i="1"/>
  <c r="H539" i="1" s="1"/>
  <c r="F453" i="1"/>
  <c r="H453" i="1" s="1"/>
  <c r="F572" i="1"/>
  <c r="H572" i="1" s="1"/>
  <c r="F165" i="1"/>
  <c r="H165" i="1" s="1"/>
  <c r="F171" i="1"/>
  <c r="H171" i="1" s="1"/>
  <c r="F181" i="1"/>
  <c r="H181" i="1" s="1"/>
  <c r="F203" i="1"/>
  <c r="H203" i="1" s="1"/>
  <c r="F206" i="1"/>
  <c r="H206" i="1" s="1"/>
  <c r="F577" i="1"/>
  <c r="H577" i="1" s="1"/>
  <c r="F526" i="1"/>
  <c r="H526" i="1" s="1"/>
  <c r="C142" i="1"/>
  <c r="F163" i="1"/>
  <c r="H163" i="1" s="1"/>
  <c r="F192" i="1"/>
  <c r="H192" i="1" s="1"/>
  <c r="F194" i="1"/>
  <c r="H194" i="1" s="1"/>
  <c r="F529" i="1"/>
  <c r="H529" i="1" s="1"/>
  <c r="F193" i="1"/>
  <c r="H193" i="1" s="1"/>
  <c r="F255" i="1"/>
  <c r="H255" i="1" s="1"/>
  <c r="F277" i="1"/>
  <c r="H277" i="1" s="1"/>
  <c r="F409" i="1"/>
  <c r="H409" i="1" s="1"/>
  <c r="F602" i="1"/>
  <c r="H602" i="1" s="1"/>
  <c r="F280" i="1"/>
  <c r="H280" i="1" s="1"/>
  <c r="F319" i="1"/>
  <c r="H319" i="1" s="1"/>
  <c r="F375" i="1"/>
  <c r="H375" i="1" s="1"/>
  <c r="F401" i="1"/>
  <c r="H401" i="1" s="1"/>
  <c r="F509" i="1"/>
  <c r="H509" i="1" s="1"/>
  <c r="F161" i="1"/>
  <c r="H161" i="1" s="1"/>
  <c r="F176" i="1"/>
  <c r="H176" i="1" s="1"/>
  <c r="F188" i="1"/>
  <c r="H188" i="1" s="1"/>
  <c r="F197" i="1"/>
  <c r="H197" i="1" s="1"/>
  <c r="F244" i="1"/>
  <c r="H244" i="1" s="1"/>
  <c r="F245" i="1"/>
  <c r="H245" i="1" s="1"/>
  <c r="F322" i="1"/>
  <c r="H322" i="1" s="1"/>
  <c r="F473" i="1"/>
  <c r="H473" i="1" s="1"/>
  <c r="F514" i="1"/>
  <c r="H514" i="1" s="1"/>
  <c r="F202" i="1"/>
  <c r="H202" i="1" s="1"/>
  <c r="F214" i="1"/>
  <c r="H214" i="1" s="1"/>
  <c r="F237" i="1"/>
  <c r="F279" i="1"/>
  <c r="H279" i="1" s="1"/>
  <c r="F316" i="1"/>
  <c r="H316" i="1" s="1"/>
  <c r="F493" i="1"/>
  <c r="H493" i="1" s="1"/>
  <c r="F593" i="1"/>
  <c r="H593" i="1" s="1"/>
  <c r="F178" i="1"/>
  <c r="H178" i="1" s="1"/>
  <c r="F288" i="1"/>
  <c r="H288" i="1" s="1"/>
  <c r="F299" i="1"/>
  <c r="H299" i="1" s="1"/>
  <c r="F383" i="1"/>
  <c r="H383" i="1" s="1"/>
  <c r="F399" i="1"/>
  <c r="H399" i="1" s="1"/>
  <c r="F614" i="1"/>
  <c r="H614" i="1" s="1"/>
  <c r="F621" i="1"/>
  <c r="H621" i="1" s="1"/>
  <c r="F627" i="1"/>
  <c r="H627" i="1" s="1"/>
  <c r="F177" i="1"/>
  <c r="H177" i="1" s="1"/>
  <c r="F183" i="1"/>
  <c r="H183" i="1" s="1"/>
  <c r="F199" i="1"/>
  <c r="H199" i="1" s="1"/>
  <c r="F204" i="1"/>
  <c r="H204" i="1" s="1"/>
  <c r="F238" i="1"/>
  <c r="H238" i="1" s="1"/>
  <c r="F276" i="1"/>
  <c r="H276" i="1" s="1"/>
  <c r="F323" i="1"/>
  <c r="H323" i="1" s="1"/>
  <c r="F385" i="1"/>
  <c r="H385" i="1" s="1"/>
  <c r="F404" i="1"/>
  <c r="H404" i="1" s="1"/>
  <c r="F427" i="1"/>
  <c r="H427" i="1" s="1"/>
  <c r="F488" i="1"/>
  <c r="H488" i="1" s="1"/>
  <c r="F498" i="1"/>
  <c r="H498" i="1" s="1"/>
  <c r="F503" i="1"/>
  <c r="H503" i="1" s="1"/>
  <c r="F516" i="1"/>
  <c r="H516" i="1" s="1"/>
  <c r="F538" i="1"/>
  <c r="H538" i="1" s="1"/>
  <c r="F584" i="1"/>
  <c r="H584" i="1" s="1"/>
  <c r="F603" i="1"/>
  <c r="H603" i="1" s="1"/>
  <c r="F612" i="1"/>
  <c r="H612" i="1" s="1"/>
  <c r="F162" i="1"/>
  <c r="H162" i="1" s="1"/>
  <c r="F168" i="1"/>
  <c r="H168" i="1" s="1"/>
  <c r="F198" i="1"/>
  <c r="H198" i="1" s="1"/>
  <c r="F272" i="1"/>
  <c r="H272" i="1" s="1"/>
  <c r="F287" i="1"/>
  <c r="H287" i="1" s="1"/>
  <c r="F294" i="1"/>
  <c r="H294" i="1" s="1"/>
  <c r="F315" i="1"/>
  <c r="H315" i="1" s="1"/>
  <c r="F326" i="1"/>
  <c r="H326" i="1" s="1"/>
  <c r="F366" i="1"/>
  <c r="F416" i="1"/>
  <c r="H416" i="1" s="1"/>
  <c r="F426" i="1"/>
  <c r="H426" i="1" s="1"/>
  <c r="F434" i="1"/>
  <c r="H434" i="1" s="1"/>
  <c r="F463" i="1"/>
  <c r="F464" i="1"/>
  <c r="H464" i="1" s="1"/>
  <c r="F468" i="1"/>
  <c r="H468" i="1" s="1"/>
  <c r="F482" i="1"/>
  <c r="H482" i="1" s="1"/>
  <c r="F499" i="1"/>
  <c r="H499" i="1" s="1"/>
  <c r="F504" i="1"/>
  <c r="H504" i="1" s="1"/>
  <c r="F508" i="1"/>
  <c r="H508" i="1" s="1"/>
  <c r="F524" i="1"/>
  <c r="H524" i="1" s="1"/>
  <c r="F528" i="1"/>
  <c r="H528" i="1" s="1"/>
  <c r="F541" i="1"/>
  <c r="H541" i="1" s="1"/>
  <c r="F596" i="1"/>
  <c r="H596" i="1" s="1"/>
  <c r="F600" i="1"/>
  <c r="H600" i="1" s="1"/>
  <c r="F608" i="1"/>
  <c r="H608" i="1" s="1"/>
  <c r="F618" i="1"/>
  <c r="H618" i="1" s="1"/>
  <c r="F166" i="1"/>
  <c r="H166" i="1" s="1"/>
  <c r="F172" i="1"/>
  <c r="H172" i="1" s="1"/>
  <c r="F180" i="1"/>
  <c r="H180" i="1" s="1"/>
  <c r="F186" i="1"/>
  <c r="H186" i="1" s="1"/>
  <c r="F167" i="1"/>
  <c r="H167" i="1" s="1"/>
  <c r="F170" i="1"/>
  <c r="H170" i="1" s="1"/>
  <c r="F173" i="1"/>
  <c r="H173" i="1" s="1"/>
  <c r="F182" i="1"/>
  <c r="H182" i="1" s="1"/>
  <c r="F187" i="1"/>
  <c r="H187" i="1" s="1"/>
  <c r="F196" i="1"/>
  <c r="H196" i="1" s="1"/>
  <c r="F207" i="1"/>
  <c r="H207" i="1" s="1"/>
  <c r="F213" i="1"/>
  <c r="H213" i="1" s="1"/>
  <c r="F251" i="1"/>
  <c r="H251" i="1" s="1"/>
  <c r="F265" i="1"/>
  <c r="H265" i="1" s="1"/>
  <c r="F270" i="1"/>
  <c r="H270" i="1" s="1"/>
  <c r="F273" i="1"/>
  <c r="H273" i="1" s="1"/>
  <c r="F295" i="1"/>
  <c r="H295" i="1" s="1"/>
  <c r="F302" i="1"/>
  <c r="H302" i="1" s="1"/>
  <c r="F309" i="1"/>
  <c r="H309" i="1" s="1"/>
  <c r="F421" i="1"/>
  <c r="H421" i="1" s="1"/>
  <c r="F428" i="1"/>
  <c r="H428" i="1" s="1"/>
  <c r="F433" i="1"/>
  <c r="H433" i="1" s="1"/>
  <c r="F452" i="1"/>
  <c r="H452" i="1" s="1"/>
  <c r="F483" i="1"/>
  <c r="H483" i="1" s="1"/>
  <c r="F485" i="1"/>
  <c r="H485" i="1" s="1"/>
  <c r="F519" i="1"/>
  <c r="H519" i="1" s="1"/>
  <c r="F521" i="1"/>
  <c r="H521" i="1" s="1"/>
  <c r="F606" i="1"/>
  <c r="H606" i="1" s="1"/>
  <c r="J108" i="1"/>
  <c r="J109" i="1" s="1"/>
  <c r="J110" i="1" s="1"/>
  <c r="J111" i="1" s="1"/>
  <c r="H371" i="1"/>
  <c r="C80" i="1"/>
  <c r="D80" i="1" s="1"/>
  <c r="C81" i="1"/>
  <c r="C123" i="1"/>
  <c r="C122" i="1"/>
  <c r="D122" i="1" s="1"/>
  <c r="E41" i="1"/>
  <c r="E42" i="1" s="1"/>
  <c r="C108" i="1"/>
  <c r="D108" i="1" s="1"/>
  <c r="C109" i="1"/>
  <c r="D109" i="1" s="1"/>
  <c r="F388" i="1"/>
  <c r="H388" i="1" s="1"/>
  <c r="F432" i="1"/>
  <c r="H432" i="1" s="1"/>
  <c r="F494" i="1"/>
  <c r="H494" i="1" s="1"/>
  <c r="F581" i="1"/>
  <c r="H581" i="1" s="1"/>
  <c r="F414" i="1"/>
  <c r="H414" i="1" s="1"/>
  <c r="F477" i="1"/>
  <c r="H477" i="1" s="1"/>
  <c r="F569" i="1"/>
  <c r="H569" i="1" s="1"/>
  <c r="F583" i="1"/>
  <c r="H583" i="1" s="1"/>
  <c r="D107" i="1"/>
  <c r="D124" i="1"/>
  <c r="J120" i="1"/>
  <c r="J121" i="1" s="1"/>
  <c r="J122" i="1" s="1"/>
  <c r="J123" i="1" s="1"/>
  <c r="J124" i="1" s="1"/>
  <c r="J125" i="1" s="1"/>
  <c r="D120" i="1"/>
  <c r="D127" i="1"/>
  <c r="J117" i="1"/>
  <c r="J119" i="1"/>
  <c r="C118" i="1" s="1"/>
  <c r="D126" i="1"/>
  <c r="D119" i="1"/>
  <c r="D125" i="1"/>
  <c r="D121" i="1"/>
  <c r="J118" i="1"/>
  <c r="D82" i="1"/>
  <c r="J78" i="1"/>
  <c r="J79" i="1" s="1"/>
  <c r="D78" i="1"/>
  <c r="D85" i="1"/>
  <c r="J75" i="1"/>
  <c r="J77" i="1"/>
  <c r="C76" i="1" s="1"/>
  <c r="D84" i="1"/>
  <c r="D77" i="1"/>
  <c r="D83" i="1"/>
  <c r="J76" i="1"/>
  <c r="D79" i="1"/>
  <c r="E144" i="1" l="1"/>
  <c r="E143" i="1"/>
  <c r="H561" i="1"/>
  <c r="G146" i="1" s="1"/>
  <c r="E146" i="1"/>
  <c r="H463" i="1"/>
  <c r="G145" i="1" s="1"/>
  <c r="E145" i="1"/>
  <c r="H366" i="1"/>
  <c r="G144" i="1" s="1"/>
  <c r="H237" i="1"/>
  <c r="G143" i="1" s="1"/>
  <c r="G142" i="1"/>
  <c r="C147" i="1"/>
  <c r="E142" i="1"/>
  <c r="E76" i="1"/>
  <c r="J113" i="1"/>
  <c r="E118" i="1"/>
  <c r="D81" i="1"/>
  <c r="D123" i="1"/>
  <c r="G76" i="1"/>
  <c r="D70" i="1" s="1"/>
  <c r="D71" i="1" s="1"/>
  <c r="G118" i="1"/>
  <c r="E104" i="1"/>
  <c r="G104" i="1"/>
  <c r="J80" i="1"/>
  <c r="J81" i="1" s="1"/>
  <c r="J82" i="1" s="1"/>
  <c r="J83" i="1" s="1"/>
  <c r="D76" i="1"/>
  <c r="J127" i="1"/>
  <c r="D118" i="1"/>
  <c r="H87" i="1"/>
  <c r="G147" i="1" l="1"/>
  <c r="I100" i="1"/>
  <c r="C102" i="1" s="1"/>
  <c r="E147" i="1"/>
  <c r="F71" i="1"/>
  <c r="D91" i="1"/>
  <c r="D98" i="1"/>
  <c r="D94" i="1"/>
  <c r="J90" i="1"/>
  <c r="D92" i="1"/>
  <c r="D95" i="1"/>
  <c r="D97" i="1"/>
  <c r="D93" i="1"/>
  <c r="E90" i="1"/>
  <c r="J92" i="1"/>
  <c r="J93" i="1" s="1"/>
  <c r="J89" i="1"/>
  <c r="D99" i="1"/>
  <c r="J91" i="1"/>
  <c r="C90" i="1" s="1"/>
  <c r="G90" i="1" s="1"/>
  <c r="D96" i="1"/>
  <c r="I114" i="1"/>
  <c r="C116" i="1" s="1"/>
  <c r="J85" i="1"/>
  <c r="I72" i="1" s="1"/>
  <c r="C74" i="1" s="1"/>
  <c r="D90" i="1" l="1"/>
  <c r="J94" i="1"/>
  <c r="J95" i="1" s="1"/>
  <c r="J96" i="1" s="1"/>
  <c r="J97" i="1" s="1"/>
  <c r="J99" i="1" l="1"/>
  <c r="I86" i="1" s="1"/>
  <c r="C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H151" authorId="0" shapeId="0" xr:uid="{00000000-0006-0000-0000-000001000000}">
      <text>
        <r>
          <rPr>
            <b/>
            <sz val="9"/>
            <rFont val="Tahoma"/>
            <family val="2"/>
          </rPr>
          <t>SACHIN:</t>
        </r>
        <r>
          <rPr>
            <sz val="9"/>
            <rFont val="Tahoma"/>
            <family val="2"/>
          </rPr>
          <t xml:space="preserve">
Give loading of 50% for A Category</t>
        </r>
      </text>
    </comment>
  </commentList>
</comments>
</file>

<file path=xl/sharedStrings.xml><?xml version="1.0" encoding="utf-8"?>
<sst xmlns="http://schemas.openxmlformats.org/spreadsheetml/2006/main" count="891" uniqueCount="293">
  <si>
    <t>Office No. 1031, Wing J, Akshar Business Park, Plot No. 03 Sector 25, Near APMC Market,
Vashi, Navi Mumbai, Maharashtra 400703 TEL: 022-46090378/79/80                                                                       
E mail : vsjcapf@gmail.com. Web site : www.vsjadon.com</t>
  </si>
  <si>
    <t xml:space="preserve">Valuation Report </t>
  </si>
  <si>
    <t>Date:</t>
  </si>
  <si>
    <t>CPC Name:</t>
  </si>
  <si>
    <t>Axis Sanpada</t>
  </si>
  <si>
    <t>Date Of Property Visit</t>
  </si>
  <si>
    <t>Name of the builder group</t>
  </si>
  <si>
    <t>M/s. Runwal Apartments Private Limited</t>
  </si>
  <si>
    <t>Name of the builder company</t>
  </si>
  <si>
    <t>Name of the Project</t>
  </si>
  <si>
    <t>Runwal Pinnacle</t>
  </si>
  <si>
    <t>Contact Details ( Name &amp; Contact No.)</t>
  </si>
  <si>
    <t>Mr. Rohit Gupta 9833007575</t>
  </si>
  <si>
    <t>Site Meet Contact Details ( Name &amp; Contact No.)</t>
  </si>
  <si>
    <t>Mr Aniket CRM 9321966128</t>
  </si>
  <si>
    <t>Name / No of the Building</t>
  </si>
  <si>
    <t>Tower 1 to 5</t>
  </si>
  <si>
    <t>Docouments Provided</t>
  </si>
  <si>
    <t>Approved Plans, CC, Sale Plans</t>
  </si>
  <si>
    <t>RERA No.</t>
  </si>
  <si>
    <t>P51800021322</t>
  </si>
  <si>
    <t xml:space="preserve">Project location details       </t>
  </si>
  <si>
    <t>CTS No</t>
  </si>
  <si>
    <t>681/A/7, 681/A/8 &amp; 681/A/9</t>
  </si>
  <si>
    <t>Road</t>
  </si>
  <si>
    <t>Goregaon Link Road</t>
  </si>
  <si>
    <t>Locality/Village</t>
  </si>
  <si>
    <t>Nahur</t>
  </si>
  <si>
    <t>City</t>
  </si>
  <si>
    <t>Nahur West</t>
  </si>
  <si>
    <t>District</t>
  </si>
  <si>
    <t>Mumbai</t>
  </si>
  <si>
    <t>Taluka</t>
  </si>
  <si>
    <t>Kurla</t>
  </si>
  <si>
    <t>Pin Code</t>
  </si>
  <si>
    <t>Nearby Landmark</t>
  </si>
  <si>
    <t>Fortis Hospital</t>
  </si>
  <si>
    <t xml:space="preserve">Distance from city centre: </t>
  </si>
  <si>
    <t>Accessibility to the Project from the City: (Proximity to civic amenities like school, hospital, market, etc.)</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</si>
  <si>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</si>
  <si>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</si>
  <si>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</si>
  <si>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</si>
  <si>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</si>
  <si>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</si>
  <si>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</si>
  <si>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</si>
  <si>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</si>
  <si>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Type of Structure</t>
  </si>
  <si>
    <t>RCC Frame Structure</t>
  </si>
  <si>
    <t xml:space="preserve">Approved usage of the Property:                                                                                                                                             </t>
  </si>
  <si>
    <t>Residential</t>
  </si>
  <si>
    <t>Restrictive Covenants in regard to Land Use</t>
  </si>
  <si>
    <t>No</t>
  </si>
  <si>
    <t>Boundries</t>
  </si>
  <si>
    <t>As per deed</t>
  </si>
  <si>
    <t>At site</t>
  </si>
  <si>
    <t>East</t>
  </si>
  <si>
    <t>NA</t>
  </si>
  <si>
    <t>18.30 M. Wide Road</t>
  </si>
  <si>
    <t>West</t>
  </si>
  <si>
    <t>Plot A/18.30 M.W. DP Road</t>
  </si>
  <si>
    <t>Runwal Green Maple</t>
  </si>
  <si>
    <t>North</t>
  </si>
  <si>
    <t>45.70 M. Wide Road</t>
  </si>
  <si>
    <t>Mulund - Goregaon Link Road</t>
  </si>
  <si>
    <t>South</t>
  </si>
  <si>
    <t>Other Plot</t>
  </si>
  <si>
    <t>Under Construction Building</t>
  </si>
  <si>
    <t>Does the boundaries at site match, as mentioned in the Docoumentation: NA</t>
  </si>
  <si>
    <t>Latitude, Longitude</t>
  </si>
  <si>
    <t>19.16079009,72.9430197</t>
  </si>
  <si>
    <t>Location Link</t>
  </si>
  <si>
    <t>https://maps.app.goo.gl/JupUaPsJLVCbtgdK8</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</si>
  <si>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</si>
  <si>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</si>
  <si>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</si>
  <si>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</si>
  <si>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</si>
  <si>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</si>
  <si>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</si>
  <si>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5 Towers</t>
  </si>
  <si>
    <t xml:space="preserve">Approval Detail : Plan approval </t>
  </si>
  <si>
    <t>Name of Municipal Corporation/Authority</t>
  </si>
  <si>
    <t>Municipal Corporation of Greater Mumbai (MCGM)</t>
  </si>
  <si>
    <t xml:space="preserve">Layout Approval No     </t>
  </si>
  <si>
    <t>CHE/ES/4261/S/337(NEW)/337/7/AMEND</t>
  </si>
  <si>
    <t>Dated</t>
  </si>
  <si>
    <t xml:space="preserve">Approved Floor plan No.  </t>
  </si>
  <si>
    <t xml:space="preserve">Commencement Certificate No.
Valid Up to: </t>
  </si>
  <si>
    <t>CHE/ES/4261/S/337(NEW)/FCC/3/Amend</t>
  </si>
  <si>
    <t>Further C.C. is granted for tower 03 and 04 upto 48th upper floors and C.C. is re-endorsed for tower 01,02 and 05 as per amended approved plan dated 05.03.2024 subject to timely renewal of B.G, SWM NOC, Workmen’s compensation policy and taking all sorts of precautions during construction and for air pollution.</t>
  </si>
  <si>
    <t>Valid Upto 
Date</t>
  </si>
  <si>
    <t>CHE/ES/4261/S/337(NEW)/FCC/4/Amend</t>
  </si>
  <si>
    <t>Further C.C. is granted for Tower 1, 2 &amp; 5 upto 37th floor as per approved amended plans dated 05/03/2024 by restricting C.C. from 38th to 40th floor for Tower 1, 2 &amp; 5 for instalment facility subject to timely renewal of B.G, SWM NOC, Workmen’s compensation policy and taking all sorts of precautions during construction and for air pollution.</t>
  </si>
  <si>
    <t xml:space="preserve">Fire NOC
Valid Up to: </t>
  </si>
  <si>
    <t>CHE/ES/4261/S/337(NEW)-CFO</t>
  </si>
  <si>
    <t>Building No. 2 (Tower 1 to 5) Basement (Total depth
14.70mtrs.) + Ground floor + 1st to 9th podium floors + Club
house level-1 &amp; 2 + 1st to 53rd upper residential floors (Height
210.95mtrs)</t>
  </si>
  <si>
    <t>Environmental Clearance
Valid For :</t>
  </si>
  <si>
    <t>SEIAA-EC-0000001541</t>
  </si>
  <si>
    <t xml:space="preserve">Net Plot Area = 60005.18 Sqm,
Total Builtup Area = 686525.30
</t>
  </si>
  <si>
    <t xml:space="preserve">O. Certificate No.: </t>
  </si>
  <si>
    <t>NA
Approved upto : NA</t>
  </si>
  <si>
    <t xml:space="preserve">Date of approval: </t>
  </si>
  <si>
    <t>Building wise Construction details</t>
  </si>
  <si>
    <t>Approved area of building (Sq.Mt)</t>
  </si>
  <si>
    <t>Approved no of units</t>
  </si>
  <si>
    <t>Flats - 880</t>
  </si>
  <si>
    <t>Approved no of Floors</t>
  </si>
  <si>
    <t>Tower 1 &amp; 2 = 5B + G + 9P + 2Lvl Amenity + 1st to 40th Floor
Tower 3 &amp; 4 = 5B + G + 9P + 2Lvl Amenity + 1st to 48th Floor
Tower 5 = 5B + G + 9P + 2Lvl Amenity + 1st to 40th Floor</t>
  </si>
  <si>
    <t>Proposed no of Floors</t>
  </si>
  <si>
    <t>Tower 1 &amp; 2 = 5B + G + 9P +  2Lvl Amenity + 1st to 54th Floor</t>
  </si>
  <si>
    <t>Tower 3 &amp; 4 = 5B + G + 9P + 2Lvl Amenity + 1st to 54th Floor</t>
  </si>
  <si>
    <t>Tower 5 = 5B + G + 9P + 2Lvl Amenity + 1st to 54th Floor</t>
  </si>
  <si>
    <t>Expected Completion</t>
  </si>
  <si>
    <t>As per RERA - 30/06/2027</t>
  </si>
  <si>
    <t>Projected life of the structure</t>
  </si>
  <si>
    <t xml:space="preserve">Quality of construction: </t>
  </si>
  <si>
    <r>
      <rPr>
        <sz val="12"/>
        <color indexed="8"/>
        <rFont val="Times New Roman"/>
        <family val="1"/>
      </rPr>
      <t xml:space="preserve">Proposed Amenities :                                                                                                                                                                                                                      </t>
    </r>
    <r>
      <rPr>
        <sz val="12"/>
        <rFont val="Times New Roman"/>
        <family val="1"/>
      </rPr>
      <t xml:space="preserve">   </t>
    </r>
    <r>
      <rPr>
        <b/>
        <sz val="12"/>
        <rFont val="Times New Roman"/>
        <family val="1"/>
      </rPr>
      <t xml:space="preserve">                                               </t>
    </r>
  </si>
  <si>
    <t>Swimming Pool, Gym, Jaccuzi, Library, Lawn, Community Hall, Indoor Games, Basket Ball, Jogging track, Yoga, Billiards, Sitting Area, etc.</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</si>
  <si>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</si>
  <si>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</si>
  <si>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</si>
  <si>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</si>
  <si>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</si>
  <si>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</si>
  <si>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</si>
  <si>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</si>
  <si>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</si>
  <si>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</si>
  <si>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</si>
  <si>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</si>
  <si>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</si>
  <si>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</si>
  <si>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</si>
  <si>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</si>
  <si>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</si>
  <si>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</si>
  <si>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</si>
  <si>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</si>
  <si>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</si>
  <si>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</si>
  <si>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</si>
  <si>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</si>
  <si>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</si>
  <si>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</si>
  <si>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</si>
  <si>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</si>
  <si>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</si>
  <si>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</si>
  <si>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</si>
  <si>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</si>
  <si>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</si>
  <si>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</si>
  <si>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</si>
  <si>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</si>
  <si>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</si>
  <si>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</si>
  <si>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Recommended Rates of the Property :</t>
  </si>
  <si>
    <t>Recommended rate of the flat Per Sq. Ft. ( on Saleable area)</t>
  </si>
  <si>
    <t>Floor Rise Rate Per Sq.ft</t>
  </si>
  <si>
    <t>70/- from 2nd Habitual Floor</t>
  </si>
  <si>
    <t>14500 to 15700 by sanket on 30/10/2023</t>
  </si>
  <si>
    <t>Development Charges</t>
  </si>
  <si>
    <t>Other Charges</t>
  </si>
  <si>
    <t>215000/-</t>
  </si>
  <si>
    <t>Legal Services Charges</t>
  </si>
  <si>
    <t>Gas Connection Charges</t>
  </si>
  <si>
    <t>Water, Electricity, Drainages, Sewerage Connection</t>
  </si>
  <si>
    <t>Society Formation Charges</t>
  </si>
  <si>
    <t>Advance Maintenance Charges</t>
  </si>
  <si>
    <t>200000/-</t>
  </si>
  <si>
    <t xml:space="preserve">Recommended rate of Parking </t>
  </si>
  <si>
    <t>7,00,000/-</t>
  </si>
  <si>
    <t>Distressed valuation of the Property</t>
  </si>
  <si>
    <t>Residential Area Details :</t>
  </si>
  <si>
    <t>Building &amp; Wing</t>
  </si>
  <si>
    <t>No. of Units</t>
  </si>
  <si>
    <t>Total Carpet Area</t>
  </si>
  <si>
    <t>Total Saleable Area</t>
  </si>
  <si>
    <t>Tower 1</t>
  </si>
  <si>
    <t>Tower 2</t>
  </si>
  <si>
    <t>Tower 3</t>
  </si>
  <si>
    <t>Tower 4</t>
  </si>
  <si>
    <t>Tower 5</t>
  </si>
  <si>
    <t>Building details Floor Wise</t>
  </si>
  <si>
    <t xml:space="preserve">Details of Flats in Building   </t>
  </si>
  <si>
    <r>
      <rPr>
        <b/>
        <sz val="12"/>
        <rFont val="Times New Roman"/>
        <family val="1"/>
      </rPr>
      <t xml:space="preserve">Flat No.
</t>
    </r>
    <r>
      <rPr>
        <b/>
        <sz val="11"/>
        <rFont val="Times New Roman"/>
        <family val="1"/>
      </rPr>
      <t>(Approved Plan)</t>
    </r>
  </si>
  <si>
    <t>Flat No.
(Sale Plan)</t>
  </si>
  <si>
    <t>Description</t>
  </si>
  <si>
    <t>Gross Carpet area</t>
  </si>
  <si>
    <t>Attached Terrace area</t>
  </si>
  <si>
    <t>Saleable area Loading :</t>
  </si>
  <si>
    <t>Tower 1 + 2 + 3 + 4 + 5</t>
  </si>
  <si>
    <t>1st to 5th Basement Floor For Parking</t>
  </si>
  <si>
    <t>Ground Floor For Entrance Lobby</t>
  </si>
  <si>
    <t>1st to 9th Podium Floor For Parking</t>
  </si>
  <si>
    <t>1st &amp; 2nd Level  Floor For Amenities</t>
  </si>
  <si>
    <t>Service Floor (Between Amenity Floor &amp; 1st Floor)</t>
  </si>
  <si>
    <t>1st Floor for Residential (Part Refuge Area)</t>
  </si>
  <si>
    <t>Refuge Area</t>
  </si>
  <si>
    <t>2.5BHK</t>
  </si>
  <si>
    <t>3BHK</t>
  </si>
  <si>
    <t>2BHK</t>
  </si>
  <si>
    <t>2nd to 4th Floor</t>
  </si>
  <si>
    <t>5th, 16th to 18th Floor</t>
  </si>
  <si>
    <t>8th Floor for Residential (Part Refuge Area)</t>
  </si>
  <si>
    <t>6th, 7th, 9th to 14th, 19th to 21st Floor</t>
  </si>
  <si>
    <t>15th Floor for Residential (Part Refuge Area)</t>
  </si>
  <si>
    <t>Service Floor Between 21st &amp; 22nd Floor</t>
  </si>
  <si>
    <t>22nd Floor (Part Refuge Area)</t>
  </si>
  <si>
    <t>23rd to 28th, 33th to 35th, 37th &amp; 38th Floor</t>
  </si>
  <si>
    <t>29th &amp; 36th Floor (Part Refuge Area)</t>
  </si>
  <si>
    <t>30th to 32nd Floor</t>
  </si>
  <si>
    <t>39th Floor</t>
  </si>
  <si>
    <t>40th Floor</t>
  </si>
  <si>
    <t>1BHK</t>
  </si>
  <si>
    <t>Wind Pressure Defusing Shaft</t>
  </si>
  <si>
    <t>Refuge Area Below @ 1st Floor</t>
  </si>
  <si>
    <t>Terrace Area</t>
  </si>
  <si>
    <t>Refuge Area Below @ 29th Floor</t>
  </si>
  <si>
    <t>Terrace Area Below @ 39th Floor</t>
  </si>
  <si>
    <t>Girder Beam</t>
  </si>
  <si>
    <t>41st &amp; 42nd Floor</t>
  </si>
  <si>
    <t>Girder Beam @ 42nd Floor</t>
  </si>
  <si>
    <t>43rd Floor (Part Refuge Area)</t>
  </si>
  <si>
    <t xml:space="preserve">Remarks:  </t>
  </si>
  <si>
    <t>We considered Carpet area as per Approved Plan.</t>
  </si>
  <si>
    <t>We have considered proposed No. of Floor for Stage Calculation.</t>
  </si>
  <si>
    <t>We considered Gross carpet area = Net carpet + Utility + Deck.</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</si>
  <si>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</si>
  <si>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</si>
  <si>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</si>
  <si>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Recommended Rates of the Property have been revised on 30/10/2023.</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</si>
  <si>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</si>
  <si>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</si>
  <si>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</si>
  <si>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</si>
  <si>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</si>
  <si>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</si>
  <si>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</si>
  <si>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</si>
  <si>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Nainesh Tambe</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</si>
  <si>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</si>
  <si>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</si>
  <si>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</si>
  <si>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</si>
  <si>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</si>
  <si>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</si>
  <si>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</si>
  <si>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</si>
  <si>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</si>
  <si>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</si>
  <si>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</si>
  <si>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</si>
  <si>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</si>
  <si>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</si>
  <si>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</si>
  <si>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3bhk</t>
  </si>
  <si>
    <t>2bhk</t>
  </si>
  <si>
    <t>1bhk</t>
  </si>
  <si>
    <t>Average</t>
  </si>
  <si>
    <t xml:space="preserve">Valuation Adopted </t>
  </si>
  <si>
    <t xml:space="preserve">Validity of CC is expired on 12/06/2025. Please provide revised CC.
</t>
  </si>
  <si>
    <t xml:space="preserve">Please provide revised Approved plans.
</t>
  </si>
  <si>
    <t>Tower 2 = 5B + G + 9P +  2Lvl Amenity + 1st to 54th Floor</t>
  </si>
  <si>
    <t>Tower 1 = 5B + G + 9P +  2Lvl Amenity + 1st to 54th Floor</t>
  </si>
  <si>
    <t>CHE/ES/4261/S/337(NEW)/337/8/Amend</t>
  </si>
  <si>
    <t>39th &amp; 40th Floor</t>
  </si>
  <si>
    <t>44th &amp; 45th Floor</t>
  </si>
  <si>
    <t>46th Floor</t>
  </si>
  <si>
    <t>Tower 1 &amp; 2 = 5B + G + 9P + 2Lvl Amenity + 1st to 45th Floor
Tower 3 &amp; 4 = 5B + G + 9P + 2Lvl Amenity + 1st to 52nd Floor
Tower 5 = 5B + G + 9P + 2Lvl Amenity + 1st to 45th Floor</t>
  </si>
  <si>
    <t>41st Floor</t>
  </si>
  <si>
    <t xml:space="preserve">Terrace Area Below </t>
  </si>
  <si>
    <t>42nd Floor</t>
  </si>
  <si>
    <t>Refuge  Area</t>
  </si>
  <si>
    <t>50th Floor (Part Refuge &amp; Terrace Area)</t>
  </si>
  <si>
    <t>47th to 49th Floor</t>
  </si>
  <si>
    <t>51st to 52nd Floor</t>
  </si>
  <si>
    <t xml:space="preserve"> 46th Floor</t>
  </si>
  <si>
    <t>Terrace Area Below</t>
  </si>
  <si>
    <t>Void</t>
  </si>
  <si>
    <t>Girder Beam @ 5th &amp; 18th Floor</t>
  </si>
  <si>
    <t>16th &amp; 17th Floor</t>
  </si>
  <si>
    <t>5th &amp; 18th Floor</t>
  </si>
  <si>
    <t>Flats - 982</t>
  </si>
  <si>
    <t>We have updated revised approved floor plans for Tower 1 to 5. (On 25/08/2025)</t>
  </si>
  <si>
    <t>Gaurav Panchal</t>
  </si>
  <si>
    <t>Mr Krishna 9372619071</t>
  </si>
  <si>
    <t>1.9KM from Nahur Railway Station</t>
  </si>
  <si>
    <t>Utility Area + Deck Area</t>
  </si>
  <si>
    <t>Grand Total</t>
  </si>
  <si>
    <t xml:space="preserve">Tower 1 to 5 = Construction work is in process at the time of visit. Internal visit was not allowed.
Tower 5 = Construction work is in process at the time of visit. (Slow Speed)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</si>
</sst>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0.0"/>
    <numFmt numFmtId="168" formatCode="0.000000"/>
  </numFmts>
  <fonts count="24">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name val="Times New Roman"/>
      <family val="1"/>
    </font>
    <font>
      <sz val="12"/>
      <color theme="1"/>
      <name val="Times New Roman"/>
      <family val="1"/>
    </font>
    <font>
      <b/>
      <sz val="11.5"/>
      <color indexed="8"/>
      <name val="Times New Roman"/>
      <family val="1"/>
    </font>
    <font>
      <b/>
      <sz val="12"/>
      <color indexed="8"/>
      <name val="Times New Roman"/>
      <family val="1"/>
    </font>
    <font>
      <sz val="12"/>
      <color indexed="8"/>
      <name val="Times New Roman"/>
      <family val="1"/>
    </font>
    <font>
      <b/>
      <sz val="12"/>
      <name val="Times New Roman"/>
      <family val="1"/>
    </font>
    <font>
      <b/>
      <sz val="12"/>
      <color theme="1"/>
      <name val="Times New Roman"/>
      <family val="1"/>
    </font>
    <font>
      <u/>
      <sz val="11"/>
      <color theme="10"/>
      <name val="Calibri"/>
      <family val="2"/>
    </font>
    <font>
      <sz val="10"/>
      <color theme="1"/>
      <name val="Times New Roman"/>
      <family val="1"/>
    </font>
    <font>
      <sz val="11"/>
      <name val="Calibri"/>
      <family val="2"/>
    </font>
    <font>
      <b/>
      <sz val="11"/>
      <color indexed="8"/>
      <name val="Times New Roman"/>
      <family val="1"/>
    </font>
    <font>
      <sz val="10"/>
      <name val="Arial"/>
      <family val="2"/>
    </font>
    <font>
      <b/>
      <sz val="11"/>
      <name val="Times New Roman"/>
      <family val="1"/>
    </font>
    <font>
      <b/>
      <sz val="9"/>
      <name val="Tahoma"/>
      <family val="2"/>
    </font>
    <font>
      <sz val="9"/>
      <name val="Tahoma"/>
      <family val="2"/>
    </font>
    <font>
      <sz val="11"/>
      <color rgb="FF000000"/>
      <name val="Calibri"/>
      <family val="2"/>
    </font>
  </fonts>
  <fills count="3">
    <fill>
      <patternFill patternType="none"/>
    </fill>
    <fill>
      <patternFill patternType="gray125"/>
    </fill>
    <fill>
      <patternFill patternType="solid">
        <fgColor theme="7" tint="0.7999511703848384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0">
    <xf numFmtId="0" fontId="0" fillId="0" borderId="0"/>
    <xf numFmtId="9" fontId="23" fillId="0" borderId="0" applyFon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0" fontId="1" fillId="0" borderId="0"/>
    <xf numFmtId="0" fontId="1" fillId="0" borderId="0"/>
    <xf numFmtId="0" fontId="2" fillId="0" borderId="0"/>
    <xf numFmtId="0" fontId="2" fillId="0" borderId="0"/>
    <xf numFmtId="0" fontId="19" fillId="0" borderId="0"/>
    <xf numFmtId="0" fontId="2" fillId="0" borderId="0"/>
  </cellStyleXfs>
  <cellXfs count="194">
    <xf numFmtId="0" fontId="0" fillId="0" borderId="0" xfId="0"/>
    <xf numFmtId="0" fontId="1" fillId="0" borderId="0" xfId="5"/>
    <xf numFmtId="0" fontId="2" fillId="0" borderId="0" xfId="9"/>
    <xf numFmtId="0" fontId="3" fillId="0" borderId="1" xfId="9" applyFont="1" applyBorder="1" applyAlignment="1">
      <alignment horizontal="center" vertical="top" wrapText="1"/>
    </xf>
    <xf numFmtId="0" fontId="2" fillId="0" borderId="1" xfId="9" applyBorder="1" applyAlignment="1">
      <alignment horizontal="center" vertical="center"/>
    </xf>
    <xf numFmtId="0" fontId="2" fillId="0" borderId="1" xfId="9" applyBorder="1" applyAlignment="1">
      <alignment horizontal="left" vertical="center"/>
    </xf>
    <xf numFmtId="1" fontId="2" fillId="0" borderId="1" xfId="9" applyNumberFormat="1" applyBorder="1" applyAlignment="1">
      <alignment horizontal="center" vertical="center"/>
    </xf>
    <xf numFmtId="165" fontId="2" fillId="0" borderId="1" xfId="3" applyNumberFormat="1" applyFont="1" applyBorder="1" applyAlignment="1">
      <alignment horizontal="right" vertical="center"/>
    </xf>
    <xf numFmtId="0" fontId="2" fillId="0" borderId="1" xfId="9" applyBorder="1" applyAlignment="1">
      <alignment horizontal="left" vertical="center" wrapText="1"/>
    </xf>
    <xf numFmtId="0" fontId="3" fillId="0" borderId="1" xfId="9" applyFont="1" applyBorder="1" applyAlignment="1">
      <alignment horizontal="center" vertical="center"/>
    </xf>
    <xf numFmtId="1" fontId="4" fillId="0" borderId="1" xfId="9" applyNumberFormat="1" applyFont="1" applyBorder="1" applyAlignment="1">
      <alignment horizontal="center" vertical="center"/>
    </xf>
    <xf numFmtId="0" fontId="1" fillId="0" borderId="1" xfId="5" applyBorder="1" applyAlignment="1">
      <alignment horizontal="center" vertical="center"/>
    </xf>
    <xf numFmtId="0" fontId="5" fillId="0" borderId="0" xfId="5" applyFont="1"/>
    <xf numFmtId="0" fontId="6" fillId="0" borderId="0" xfId="7" applyFont="1"/>
    <xf numFmtId="0" fontId="7" fillId="0" borderId="0" xfId="7" applyFont="1"/>
    <xf numFmtId="0" fontId="8" fillId="0" borderId="0" xfId="7" applyFont="1"/>
    <xf numFmtId="0" fontId="7" fillId="0" borderId="0" xfId="4" applyFont="1"/>
    <xf numFmtId="0" fontId="7" fillId="0" borderId="0" xfId="0" applyFont="1" applyAlignment="1">
      <alignment horizontal="center" vertical="center"/>
    </xf>
    <xf numFmtId="0" fontId="7" fillId="0" borderId="0" xfId="7" applyFont="1" applyAlignment="1">
      <alignment horizontal="center" vertical="center"/>
    </xf>
    <xf numFmtId="0" fontId="9" fillId="0" borderId="0" xfId="7" applyFont="1" applyAlignment="1">
      <alignment horizontal="center" vertical="center"/>
    </xf>
    <xf numFmtId="0" fontId="9" fillId="0" borderId="0" xfId="0" applyFont="1" applyAlignment="1">
      <alignment horizontal="center" vertical="center"/>
    </xf>
    <xf numFmtId="0" fontId="9" fillId="0" borderId="0" xfId="7" applyFont="1" applyProtection="1">
      <protection locked="0"/>
    </xf>
    <xf numFmtId="0" fontId="9" fillId="0" borderId="0" xfId="7" applyFont="1"/>
    <xf numFmtId="0" fontId="7" fillId="0" borderId="1" xfId="7" applyFont="1" applyBorder="1" applyAlignment="1" applyProtection="1">
      <alignment horizontal="left" vertical="top"/>
      <protection locked="0"/>
    </xf>
    <xf numFmtId="0" fontId="7" fillId="0" borderId="1" xfId="7" applyFont="1" applyBorder="1" applyAlignment="1" applyProtection="1">
      <alignment horizontal="center" vertical="top"/>
      <protection locked="0"/>
    </xf>
    <xf numFmtId="0" fontId="7" fillId="0" borderId="1" xfId="7" applyFont="1" applyBorder="1" applyAlignment="1" applyProtection="1">
      <alignment vertical="top"/>
      <protection locked="0"/>
    </xf>
    <xf numFmtId="0" fontId="7" fillId="0" borderId="1" xfId="7" applyFont="1" applyBorder="1" applyAlignment="1" applyProtection="1">
      <alignment vertical="top" wrapText="1"/>
      <protection locked="0"/>
    </xf>
    <xf numFmtId="0" fontId="13" fillId="0" borderId="1" xfId="7" applyFont="1" applyBorder="1" applyAlignment="1" applyProtection="1">
      <alignment horizontal="left" vertical="top"/>
      <protection locked="0"/>
    </xf>
    <xf numFmtId="1" fontId="9" fillId="0" borderId="0" xfId="7" applyNumberFormat="1" applyFont="1"/>
    <xf numFmtId="0" fontId="7" fillId="0" borderId="17" xfId="7" applyFont="1" applyBorder="1" applyAlignment="1" applyProtection="1">
      <alignment horizontal="center" vertical="top"/>
      <protection locked="0"/>
    </xf>
    <xf numFmtId="0" fontId="7" fillId="0" borderId="18" xfId="7" applyFont="1" applyBorder="1" applyAlignment="1" applyProtection="1">
      <alignment horizontal="center" vertical="top"/>
      <protection locked="0"/>
    </xf>
    <xf numFmtId="0" fontId="7" fillId="0" borderId="1" xfId="7" applyFont="1" applyBorder="1" applyAlignment="1" applyProtection="1">
      <alignment horizontal="center" vertical="top" wrapText="1"/>
      <protection locked="0"/>
    </xf>
    <xf numFmtId="0" fontId="7" fillId="0" borderId="1" xfId="7" applyFont="1" applyBorder="1" applyAlignment="1" applyProtection="1">
      <alignment horizontal="center" wrapText="1"/>
      <protection locked="0"/>
    </xf>
    <xf numFmtId="9" fontId="7" fillId="0" borderId="1" xfId="7" applyNumberFormat="1" applyFont="1" applyBorder="1" applyAlignment="1" applyProtection="1">
      <alignment horizontal="center" vertical="center" wrapText="1"/>
      <protection hidden="1"/>
    </xf>
    <xf numFmtId="1" fontId="7" fillId="0" borderId="1" xfId="7" applyNumberFormat="1" applyFont="1" applyBorder="1" applyAlignment="1" applyProtection="1">
      <alignment horizontal="center" wrapText="1"/>
      <protection locked="0"/>
    </xf>
    <xf numFmtId="0" fontId="7" fillId="0" borderId="20" xfId="7" applyFont="1" applyBorder="1" applyAlignment="1" applyProtection="1">
      <alignment horizontal="center" wrapText="1"/>
      <protection locked="0"/>
    </xf>
    <xf numFmtId="9" fontId="7" fillId="0" borderId="20" xfId="7" applyNumberFormat="1" applyFont="1" applyBorder="1" applyAlignment="1" applyProtection="1">
      <alignment horizontal="center" vertical="center" wrapText="1"/>
      <protection hidden="1"/>
    </xf>
    <xf numFmtId="1" fontId="9" fillId="0" borderId="1" xfId="7" applyNumberFormat="1" applyFont="1" applyBorder="1" applyAlignment="1" applyProtection="1">
      <alignment horizontal="center" wrapText="1"/>
      <protection locked="0"/>
    </xf>
    <xf numFmtId="14" fontId="9" fillId="0" borderId="0" xfId="7" applyNumberFormat="1" applyFont="1"/>
    <xf numFmtId="0" fontId="9" fillId="0" borderId="0" xfId="7" applyFont="1" applyProtection="1">
      <protection hidden="1"/>
    </xf>
    <xf numFmtId="0" fontId="16" fillId="0" borderId="0" xfId="7" applyFont="1"/>
    <xf numFmtId="0" fontId="7" fillId="0" borderId="22" xfId="7" applyFont="1" applyBorder="1" applyProtection="1">
      <protection hidden="1"/>
    </xf>
    <xf numFmtId="0" fontId="7" fillId="0" borderId="23" xfId="7" applyFont="1" applyBorder="1" applyProtection="1">
      <protection hidden="1"/>
    </xf>
    <xf numFmtId="0" fontId="7" fillId="0" borderId="0" xfId="7" applyFont="1" applyProtection="1">
      <protection hidden="1"/>
    </xf>
    <xf numFmtId="0" fontId="7" fillId="0" borderId="24" xfId="7" applyFont="1" applyBorder="1" applyProtection="1">
      <protection hidden="1"/>
    </xf>
    <xf numFmtId="0" fontId="8" fillId="0" borderId="0" xfId="0" applyFont="1" applyProtection="1">
      <protection hidden="1"/>
    </xf>
    <xf numFmtId="0" fontId="7" fillId="0" borderId="24" xfId="7" applyFont="1" applyBorder="1"/>
    <xf numFmtId="0" fontId="8" fillId="0" borderId="24" xfId="0" applyFont="1" applyBorder="1" applyProtection="1">
      <protection hidden="1"/>
    </xf>
    <xf numFmtId="1" fontId="17" fillId="0" borderId="24" xfId="0" applyNumberFormat="1" applyFont="1" applyBorder="1"/>
    <xf numFmtId="1" fontId="17" fillId="0" borderId="24" xfId="0" applyNumberFormat="1" applyFont="1" applyBorder="1" applyAlignment="1">
      <alignment horizontal="right"/>
    </xf>
    <xf numFmtId="0" fontId="8" fillId="0" borderId="25" xfId="0" applyFont="1" applyBorder="1" applyProtection="1">
      <protection hidden="1"/>
    </xf>
    <xf numFmtId="1" fontId="17" fillId="0" borderId="26" xfId="0" applyNumberFormat="1" applyFont="1" applyBorder="1"/>
    <xf numFmtId="1" fontId="11" fillId="0" borderId="8" xfId="7" applyNumberFormat="1" applyFont="1" applyBorder="1" applyAlignment="1" applyProtection="1">
      <alignment horizontal="center" vertical="top" wrapText="1"/>
      <protection locked="0"/>
    </xf>
    <xf numFmtId="9" fontId="13" fillId="0" borderId="11" xfId="1" applyFont="1" applyFill="1" applyBorder="1" applyAlignment="1" applyProtection="1">
      <alignment horizontal="center" vertical="top" wrapText="1"/>
      <protection locked="0"/>
    </xf>
    <xf numFmtId="1" fontId="7" fillId="0" borderId="1" xfId="7" applyNumberFormat="1" applyFont="1" applyBorder="1" applyAlignment="1" applyProtection="1">
      <alignment horizontal="center" vertical="center" wrapText="1"/>
      <protection locked="0"/>
    </xf>
    <xf numFmtId="1" fontId="12" fillId="0" borderId="1" xfId="7" applyNumberFormat="1" applyFont="1" applyBorder="1" applyAlignment="1" applyProtection="1">
      <alignment horizontal="center" vertical="center" wrapText="1"/>
      <protection locked="0"/>
    </xf>
    <xf numFmtId="1" fontId="7" fillId="0" borderId="0" xfId="7" applyNumberFormat="1" applyFont="1" applyAlignment="1">
      <alignment horizontal="center" vertical="center"/>
    </xf>
    <xf numFmtId="168" fontId="7" fillId="0" borderId="0" xfId="7" applyNumberFormat="1" applyFont="1" applyAlignment="1">
      <alignment horizontal="center" vertical="center"/>
    </xf>
    <xf numFmtId="1" fontId="9" fillId="0" borderId="0" xfId="7" applyNumberFormat="1" applyFont="1" applyAlignment="1">
      <alignment horizontal="center" vertical="center"/>
    </xf>
    <xf numFmtId="1" fontId="7" fillId="0" borderId="8" xfId="7"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0" xfId="7" applyFont="1" applyAlignment="1" applyProtection="1">
      <alignment vertical="top"/>
      <protection locked="0"/>
    </xf>
    <xf numFmtId="0" fontId="11" fillId="0" borderId="0" xfId="7" applyFont="1" applyAlignment="1" applyProtection="1">
      <alignment vertical="top" wrapText="1"/>
      <protection locked="0"/>
    </xf>
    <xf numFmtId="0" fontId="14" fillId="0" borderId="0" xfId="7" applyFont="1" applyProtection="1">
      <protection locked="0"/>
    </xf>
    <xf numFmtId="0" fontId="9" fillId="0" borderId="0" xfId="0" applyFont="1" applyAlignment="1">
      <alignment horizontal="left" vertical="top" wrapText="1"/>
    </xf>
    <xf numFmtId="1" fontId="13" fillId="0" borderId="2" xfId="0" applyNumberFormat="1" applyFont="1" applyBorder="1" applyAlignment="1" applyProtection="1">
      <alignment vertical="top" wrapText="1"/>
      <protection locked="0"/>
    </xf>
    <xf numFmtId="1" fontId="13" fillId="0" borderId="3"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0" fontId="9" fillId="0" borderId="1" xfId="7" applyFont="1" applyBorder="1" applyAlignment="1" applyProtection="1">
      <alignment horizontal="left" vertical="top"/>
      <protection locked="0"/>
    </xf>
    <xf numFmtId="1" fontId="12" fillId="0" borderId="1" xfId="7" applyNumberFormat="1" applyFont="1" applyBorder="1" applyAlignment="1" applyProtection="1">
      <alignment horizontal="center" vertical="center" wrapText="1"/>
      <protection locked="0"/>
    </xf>
    <xf numFmtId="1" fontId="13" fillId="0" borderId="1" xfId="7" applyNumberFormat="1" applyFont="1" applyBorder="1" applyAlignment="1" applyProtection="1">
      <alignment horizontal="center" vertical="center" wrapText="1"/>
      <protection locked="0"/>
    </xf>
    <xf numFmtId="0" fontId="7" fillId="0" borderId="0" xfId="7" applyFont="1" applyAlignment="1">
      <alignment horizontal="center" vertical="center"/>
    </xf>
    <xf numFmtId="1" fontId="7" fillId="0" borderId="1" xfId="7" applyNumberFormat="1" applyFont="1" applyBorder="1" applyAlignment="1" applyProtection="1">
      <alignment horizontal="center" vertical="center" wrapText="1"/>
      <protection locked="0"/>
    </xf>
    <xf numFmtId="1" fontId="7" fillId="0" borderId="2" xfId="7" applyNumberFormat="1" applyFont="1" applyBorder="1" applyAlignment="1" applyProtection="1">
      <alignment horizontal="center" vertical="center" wrapText="1"/>
      <protection locked="0"/>
    </xf>
    <xf numFmtId="1" fontId="7" fillId="0" borderId="3" xfId="7" applyNumberFormat="1" applyFont="1" applyBorder="1" applyAlignment="1" applyProtection="1">
      <alignment horizontal="center" vertical="center" wrapText="1"/>
      <protection locked="0"/>
    </xf>
    <xf numFmtId="1" fontId="7" fillId="0" borderId="4" xfId="7" applyNumberFormat="1" applyFont="1" applyBorder="1" applyAlignment="1" applyProtection="1">
      <alignment horizontal="center" vertical="center" wrapText="1"/>
      <protection locked="0"/>
    </xf>
    <xf numFmtId="1" fontId="7" fillId="0" borderId="5" xfId="7" applyNumberFormat="1" applyFont="1" applyBorder="1" applyAlignment="1" applyProtection="1">
      <alignment horizontal="center" vertical="center" wrapText="1"/>
      <protection locked="0"/>
    </xf>
    <xf numFmtId="1" fontId="7" fillId="0" borderId="6" xfId="7" applyNumberFormat="1" applyFont="1" applyBorder="1" applyAlignment="1" applyProtection="1">
      <alignment horizontal="center" vertical="center" wrapText="1"/>
      <protection locked="0"/>
    </xf>
    <xf numFmtId="1" fontId="7" fillId="0" borderId="7" xfId="7" applyNumberFormat="1" applyFont="1" applyBorder="1" applyAlignment="1" applyProtection="1">
      <alignment horizontal="center" vertical="center" wrapText="1"/>
      <protection locked="0"/>
    </xf>
    <xf numFmtId="1" fontId="11" fillId="0" borderId="1" xfId="7" applyNumberFormat="1" applyFont="1" applyBorder="1" applyAlignment="1" applyProtection="1">
      <alignment horizontal="center" vertical="center" wrapText="1"/>
      <protection locked="0"/>
    </xf>
    <xf numFmtId="0" fontId="9" fillId="0" borderId="0" xfId="7" applyFont="1" applyAlignment="1">
      <alignment horizontal="center" vertical="center"/>
    </xf>
    <xf numFmtId="0" fontId="7" fillId="0" borderId="1" xfId="7" applyFont="1" applyBorder="1" applyAlignment="1" applyProtection="1">
      <alignment horizontal="left" vertical="top" wrapText="1"/>
      <protection locked="0"/>
    </xf>
    <xf numFmtId="166" fontId="7" fillId="0" borderId="1" xfId="7" applyNumberFormat="1" applyFont="1" applyBorder="1" applyAlignment="1" applyProtection="1">
      <alignment horizontal="left" vertical="top" wrapText="1"/>
      <protection locked="0"/>
    </xf>
    <xf numFmtId="2" fontId="12" fillId="0" borderId="1" xfId="7" applyNumberFormat="1" applyFont="1" applyBorder="1" applyAlignment="1" applyProtection="1">
      <alignment horizontal="left" vertical="top"/>
      <protection locked="0"/>
    </xf>
    <xf numFmtId="0" fontId="7" fillId="0" borderId="8" xfId="7" applyFont="1" applyBorder="1" applyAlignment="1" applyProtection="1">
      <alignment horizontal="left" vertical="top" wrapText="1"/>
      <protection locked="0"/>
    </xf>
    <xf numFmtId="0" fontId="7" fillId="0" borderId="8" xfId="7" applyFont="1" applyBorder="1" applyAlignment="1" applyProtection="1">
      <alignment horizontal="left" vertical="top"/>
      <protection locked="0"/>
    </xf>
    <xf numFmtId="0" fontId="7" fillId="0" borderId="1" xfId="7" applyFont="1" applyBorder="1" applyAlignment="1" applyProtection="1">
      <alignment horizontal="left" vertical="top"/>
      <protection locked="0"/>
    </xf>
    <xf numFmtId="9" fontId="7" fillId="0" borderId="1" xfId="7" applyNumberFormat="1" applyFont="1" applyBorder="1" applyAlignment="1" applyProtection="1">
      <alignment horizontal="center" vertical="center" wrapText="1"/>
      <protection hidden="1"/>
    </xf>
    <xf numFmtId="9" fontId="7" fillId="0" borderId="20" xfId="7" applyNumberFormat="1" applyFont="1" applyBorder="1" applyAlignment="1" applyProtection="1">
      <alignment horizontal="center" vertical="center" wrapText="1"/>
      <protection hidden="1"/>
    </xf>
    <xf numFmtId="9" fontId="7" fillId="0" borderId="18" xfId="7" applyNumberFormat="1" applyFont="1" applyBorder="1" applyAlignment="1" applyProtection="1">
      <alignment horizontal="center" vertical="center" wrapText="1"/>
      <protection hidden="1"/>
    </xf>
    <xf numFmtId="9" fontId="7" fillId="0" borderId="21" xfId="7" applyNumberFormat="1" applyFont="1" applyBorder="1" applyAlignment="1" applyProtection="1">
      <alignment horizontal="center" vertical="center" wrapText="1"/>
      <protection hidden="1"/>
    </xf>
    <xf numFmtId="0" fontId="12" fillId="0" borderId="1" xfId="7" applyFont="1" applyBorder="1" applyAlignment="1" applyProtection="1">
      <alignment horizontal="left" vertical="top" wrapText="1"/>
      <protection locked="0"/>
    </xf>
    <xf numFmtId="0" fontId="7" fillId="0" borderId="17" xfId="7" applyFont="1" applyBorder="1" applyAlignment="1" applyProtection="1">
      <alignment horizontal="center" vertical="top" wrapText="1"/>
      <protection locked="0"/>
    </xf>
    <xf numFmtId="0" fontId="7" fillId="0" borderId="1" xfId="7" applyFont="1" applyBorder="1" applyAlignment="1" applyProtection="1">
      <alignment horizontal="center" vertical="top" wrapText="1"/>
      <protection locked="0"/>
    </xf>
    <xf numFmtId="0" fontId="7" fillId="0" borderId="19" xfId="7" applyFont="1" applyBorder="1" applyAlignment="1" applyProtection="1">
      <alignment horizontal="center" vertical="top" wrapText="1"/>
      <protection locked="0"/>
    </xf>
    <xf numFmtId="0" fontId="7" fillId="0" borderId="20" xfId="7" applyFont="1" applyBorder="1" applyAlignment="1" applyProtection="1">
      <alignment horizontal="center" vertical="top" wrapText="1"/>
      <protection locked="0"/>
    </xf>
    <xf numFmtId="0" fontId="13" fillId="0" borderId="12" xfId="7" applyFont="1" applyBorder="1" applyAlignment="1" applyProtection="1">
      <alignment horizontal="left" vertical="top" wrapText="1"/>
      <protection locked="0"/>
    </xf>
    <xf numFmtId="0" fontId="13" fillId="0" borderId="13" xfId="7" applyFont="1" applyBorder="1" applyAlignment="1" applyProtection="1">
      <alignment horizontal="left" vertical="top" wrapText="1"/>
      <protection locked="0"/>
    </xf>
    <xf numFmtId="9" fontId="13" fillId="0" borderId="14" xfId="7" applyNumberFormat="1" applyFont="1" applyBorder="1" applyAlignment="1" applyProtection="1">
      <alignment horizontal="left" vertical="top" wrapText="1"/>
      <protection locked="0"/>
    </xf>
    <xf numFmtId="0" fontId="13" fillId="0" borderId="15" xfId="7" applyFont="1" applyBorder="1" applyAlignment="1" applyProtection="1">
      <alignment horizontal="left" vertical="top" wrapText="1"/>
      <protection locked="0"/>
    </xf>
    <xf numFmtId="0" fontId="13" fillId="0" borderId="16" xfId="7" applyFont="1" applyBorder="1" applyAlignment="1" applyProtection="1">
      <alignment horizontal="left" vertical="top" wrapText="1"/>
      <protection locked="0"/>
    </xf>
    <xf numFmtId="0" fontId="13" fillId="0" borderId="17" xfId="7" applyFont="1" applyBorder="1" applyAlignment="1" applyProtection="1">
      <alignment horizontal="left" vertical="top"/>
      <protection locked="0"/>
    </xf>
    <xf numFmtId="0" fontId="13" fillId="0" borderId="1" xfId="7" applyFont="1" applyBorder="1" applyAlignment="1" applyProtection="1">
      <alignment horizontal="left" vertical="top"/>
      <protection locked="0"/>
    </xf>
    <xf numFmtId="0" fontId="13" fillId="0" borderId="1" xfId="7" applyFont="1" applyBorder="1" applyAlignment="1" applyProtection="1">
      <alignment horizontal="left" vertical="top" wrapText="1"/>
      <protection locked="0"/>
    </xf>
    <xf numFmtId="0" fontId="13" fillId="0" borderId="18" xfId="7" applyFont="1" applyBorder="1" applyAlignment="1" applyProtection="1">
      <alignment horizontal="left" vertical="top" wrapText="1"/>
      <protection locked="0"/>
    </xf>
    <xf numFmtId="0" fontId="7" fillId="0" borderId="18" xfId="7" applyFont="1" applyBorder="1" applyAlignment="1" applyProtection="1">
      <alignment horizontal="center" vertical="top" wrapText="1"/>
      <protection locked="0"/>
    </xf>
    <xf numFmtId="0" fontId="13" fillId="0" borderId="1" xfId="7" applyFont="1" applyBorder="1" applyAlignment="1" applyProtection="1">
      <alignment horizontal="center" vertical="top" wrapText="1"/>
      <protection locked="0"/>
    </xf>
    <xf numFmtId="0" fontId="8" fillId="0" borderId="1" xfId="7" applyFont="1" applyBorder="1" applyAlignment="1" applyProtection="1">
      <alignment horizontal="center" vertical="top" wrapText="1"/>
      <protection locked="0"/>
    </xf>
    <xf numFmtId="1" fontId="13" fillId="0" borderId="5" xfId="7" applyNumberFormat="1" applyFont="1" applyBorder="1" applyAlignment="1" applyProtection="1">
      <alignment horizontal="center" vertical="top" wrapText="1"/>
      <protection locked="0"/>
    </xf>
    <xf numFmtId="1" fontId="13" fillId="0" borderId="27" xfId="7" applyNumberFormat="1" applyFont="1" applyBorder="1" applyAlignment="1" applyProtection="1">
      <alignment horizontal="center" vertical="top" wrapText="1"/>
      <protection locked="0"/>
    </xf>
    <xf numFmtId="1" fontId="13" fillId="0" borderId="8" xfId="7" applyNumberFormat="1" applyFont="1" applyBorder="1" applyAlignment="1" applyProtection="1">
      <alignment horizontal="center" vertical="top" wrapText="1"/>
      <protection locked="0"/>
    </xf>
    <xf numFmtId="1" fontId="13" fillId="0" borderId="11" xfId="7" applyNumberFormat="1" applyFont="1" applyBorder="1" applyAlignment="1" applyProtection="1">
      <alignment horizontal="center" vertical="top" wrapText="1"/>
      <protection locked="0"/>
    </xf>
    <xf numFmtId="1" fontId="11" fillId="0" borderId="8" xfId="7" applyNumberFormat="1" applyFont="1" applyBorder="1" applyAlignment="1" applyProtection="1">
      <alignment horizontal="center" vertical="top" wrapText="1"/>
      <protection locked="0"/>
    </xf>
    <xf numFmtId="1" fontId="11" fillId="0" borderId="11" xfId="7" applyNumberFormat="1" applyFont="1" applyBorder="1" applyAlignment="1" applyProtection="1">
      <alignment horizontal="center" vertical="top" wrapText="1"/>
      <protection locked="0"/>
    </xf>
    <xf numFmtId="1" fontId="18" fillId="0" borderId="8" xfId="7" applyNumberFormat="1" applyFont="1" applyBorder="1" applyAlignment="1" applyProtection="1">
      <alignment horizontal="center" vertical="top" wrapText="1"/>
      <protection locked="0"/>
    </xf>
    <xf numFmtId="1" fontId="18" fillId="0" borderId="11" xfId="7" applyNumberFormat="1" applyFont="1" applyBorder="1" applyAlignment="1" applyProtection="1">
      <alignment horizontal="center" vertical="top" wrapText="1"/>
      <protection locked="0"/>
    </xf>
    <xf numFmtId="0" fontId="11" fillId="0" borderId="1" xfId="7" applyFont="1" applyBorder="1" applyAlignment="1" applyProtection="1">
      <alignment vertical="top"/>
      <protection locked="0"/>
    </xf>
    <xf numFmtId="0" fontId="12" fillId="0" borderId="1" xfId="7" applyFont="1" applyBorder="1" applyAlignment="1" applyProtection="1">
      <alignment horizontal="left" vertical="top"/>
      <protection locked="0"/>
    </xf>
    <xf numFmtId="0" fontId="12" fillId="0" borderId="1" xfId="7" applyFont="1" applyBorder="1" applyAlignment="1" applyProtection="1">
      <alignment vertical="top"/>
      <protection locked="0"/>
    </xf>
    <xf numFmtId="1" fontId="11" fillId="0" borderId="1" xfId="0" applyNumberFormat="1" applyFont="1" applyBorder="1" applyAlignment="1" applyProtection="1">
      <alignment horizontal="left" vertical="top" wrapText="1"/>
      <protection locked="0"/>
    </xf>
    <xf numFmtId="1" fontId="11" fillId="0" borderId="2" xfId="0" applyNumberFormat="1" applyFont="1" applyBorder="1" applyAlignment="1" applyProtection="1">
      <alignment vertical="top" wrapText="1"/>
      <protection locked="0"/>
    </xf>
    <xf numFmtId="1" fontId="11" fillId="0" borderId="3" xfId="0" applyNumberFormat="1" applyFont="1" applyBorder="1" applyAlignment="1" applyProtection="1">
      <alignment vertical="top" wrapText="1"/>
      <protection locked="0"/>
    </xf>
    <xf numFmtId="1" fontId="11" fillId="0" borderId="4" xfId="0" applyNumberFormat="1" applyFont="1" applyBorder="1" applyAlignment="1" applyProtection="1">
      <alignment vertical="top" wrapText="1"/>
      <protection locked="0"/>
    </xf>
    <xf numFmtId="1" fontId="11" fillId="2" borderId="1" xfId="7" applyNumberFormat="1" applyFont="1" applyFill="1" applyBorder="1" applyAlignment="1" applyProtection="1">
      <alignment horizontal="center" vertical="center" wrapText="1"/>
      <protection locked="0"/>
    </xf>
    <xf numFmtId="1" fontId="11" fillId="2" borderId="2" xfId="7" applyNumberFormat="1" applyFont="1" applyFill="1" applyBorder="1" applyAlignment="1" applyProtection="1">
      <alignment horizontal="center" vertical="center" wrapText="1"/>
      <protection locked="0"/>
    </xf>
    <xf numFmtId="1" fontId="11" fillId="2" borderId="3" xfId="7" applyNumberFormat="1" applyFont="1" applyFill="1" applyBorder="1" applyAlignment="1" applyProtection="1">
      <alignment horizontal="center" vertical="center" wrapText="1"/>
      <protection locked="0"/>
    </xf>
    <xf numFmtId="1" fontId="11" fillId="2" borderId="4" xfId="7" applyNumberFormat="1" applyFont="1" applyFill="1" applyBorder="1" applyAlignment="1" applyProtection="1">
      <alignment horizontal="center" vertical="center" wrapText="1"/>
      <protection locked="0"/>
    </xf>
    <xf numFmtId="1" fontId="13" fillId="2" borderId="1" xfId="7" applyNumberFormat="1" applyFont="1" applyFill="1" applyBorder="1" applyAlignment="1" applyProtection="1">
      <alignment horizontal="center" vertical="center" wrapText="1"/>
      <protection locked="0"/>
    </xf>
    <xf numFmtId="0" fontId="13" fillId="0" borderId="1" xfId="7" applyFont="1" applyBorder="1" applyAlignment="1" applyProtection="1">
      <alignment horizontal="center" vertical="top"/>
      <protection locked="0"/>
    </xf>
    <xf numFmtId="1" fontId="7" fillId="0" borderId="8" xfId="0" applyNumberFormat="1" applyFont="1" applyBorder="1" applyAlignment="1" applyProtection="1">
      <alignment horizontal="center" vertical="center" wrapText="1"/>
      <protection locked="0"/>
    </xf>
    <xf numFmtId="1" fontId="9" fillId="0" borderId="8" xfId="0" applyNumberFormat="1" applyFont="1" applyBorder="1" applyAlignment="1" applyProtection="1">
      <alignment horizontal="center" vertical="center"/>
      <protection locked="0"/>
    </xf>
    <xf numFmtId="1" fontId="9" fillId="0" borderId="8" xfId="0" applyNumberFormat="1" applyFont="1" applyBorder="1" applyAlignment="1" applyProtection="1">
      <alignment horizontal="center" vertical="top" wrapText="1"/>
      <protection locked="0"/>
    </xf>
    <xf numFmtId="1" fontId="13" fillId="0" borderId="28" xfId="0" applyNumberFormat="1" applyFont="1" applyBorder="1" applyAlignment="1" applyProtection="1">
      <alignment horizontal="center" vertical="center" wrapText="1"/>
      <protection locked="0"/>
    </xf>
    <xf numFmtId="1" fontId="13" fillId="0" borderId="29" xfId="0" applyNumberFormat="1" applyFont="1" applyBorder="1" applyAlignment="1" applyProtection="1">
      <alignment horizontal="center" vertical="center" wrapText="1"/>
      <protection locked="0"/>
    </xf>
    <xf numFmtId="1" fontId="13" fillId="0" borderId="29" xfId="0" applyNumberFormat="1"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1" fontId="13" fillId="0" borderId="29" xfId="0" applyNumberFormat="1" applyFont="1" applyBorder="1" applyAlignment="1" applyProtection="1">
      <alignment horizontal="center" vertical="top" wrapText="1"/>
      <protection locked="0"/>
    </xf>
    <xf numFmtId="0" fontId="13" fillId="0" borderId="29" xfId="0" applyFont="1" applyBorder="1" applyAlignment="1" applyProtection="1">
      <alignment horizontal="center" vertical="top" wrapText="1"/>
      <protection locked="0"/>
    </xf>
    <xf numFmtId="1" fontId="13" fillId="0" borderId="30" xfId="0" applyNumberFormat="1" applyFont="1" applyBorder="1" applyAlignment="1" applyProtection="1">
      <alignment horizontal="center" vertical="top" wrapText="1"/>
      <protection locked="0"/>
    </xf>
    <xf numFmtId="0" fontId="13" fillId="0" borderId="11" xfId="7"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13" fillId="0" borderId="14" xfId="7" applyFont="1" applyBorder="1" applyAlignment="1" applyProtection="1">
      <alignment horizontal="left" vertical="top" wrapText="1"/>
      <protection locked="0"/>
    </xf>
    <xf numFmtId="0" fontId="12" fillId="0" borderId="8" xfId="7" applyFont="1" applyBorder="1" applyAlignment="1" applyProtection="1">
      <alignment horizontal="left" vertical="top" wrapText="1"/>
      <protection locked="0"/>
    </xf>
    <xf numFmtId="1" fontId="12" fillId="0" borderId="1" xfId="7" applyNumberFormat="1" applyFont="1" applyBorder="1" applyAlignment="1" applyProtection="1">
      <alignment horizontal="left" vertical="top" wrapText="1"/>
      <protection locked="0"/>
    </xf>
    <xf numFmtId="0" fontId="12" fillId="0" borderId="8" xfId="7" applyFont="1" applyBorder="1" applyAlignment="1" applyProtection="1">
      <alignment horizontal="left" vertical="top"/>
      <protection locked="0"/>
    </xf>
    <xf numFmtId="0" fontId="7" fillId="0" borderId="5" xfId="7" applyFont="1" applyBorder="1" applyAlignment="1" applyProtection="1">
      <alignment horizontal="left" vertical="top" wrapText="1"/>
      <protection locked="0"/>
    </xf>
    <xf numFmtId="0" fontId="7" fillId="0" borderId="6" xfId="7" applyFont="1" applyBorder="1" applyAlignment="1" applyProtection="1">
      <alignment horizontal="left" vertical="top" wrapText="1"/>
      <protection locked="0"/>
    </xf>
    <xf numFmtId="0" fontId="7" fillId="0" borderId="7" xfId="7" applyFont="1" applyBorder="1" applyAlignment="1" applyProtection="1">
      <alignment horizontal="left" vertical="top" wrapText="1"/>
      <protection locked="0"/>
    </xf>
    <xf numFmtId="0" fontId="7" fillId="0" borderId="6" xfId="7" applyFont="1" applyBorder="1" applyAlignment="1" applyProtection="1">
      <alignment horizontal="left" vertical="top"/>
      <protection locked="0"/>
    </xf>
    <xf numFmtId="0" fontId="7" fillId="0" borderId="7" xfId="7" applyFont="1" applyBorder="1" applyAlignment="1" applyProtection="1">
      <alignment horizontal="left" vertical="top"/>
      <protection locked="0"/>
    </xf>
    <xf numFmtId="0" fontId="7" fillId="0" borderId="0" xfId="7" applyFont="1" applyAlignment="1" applyProtection="1">
      <alignment horizontal="left" vertical="top"/>
      <protection locked="0"/>
    </xf>
    <xf numFmtId="0" fontId="7" fillId="0" borderId="9" xfId="7" applyFont="1" applyBorder="1" applyAlignment="1" applyProtection="1">
      <alignment horizontal="left" vertical="top"/>
      <protection locked="0"/>
    </xf>
    <xf numFmtId="0" fontId="7" fillId="0" borderId="10" xfId="7" applyFont="1" applyBorder="1" applyAlignment="1" applyProtection="1">
      <alignment horizontal="left" vertical="top"/>
      <protection locked="0"/>
    </xf>
    <xf numFmtId="0" fontId="12" fillId="0" borderId="11" xfId="7" applyFont="1" applyBorder="1" applyAlignment="1" applyProtection="1">
      <alignment horizontal="left" vertical="top" wrapText="1"/>
      <protection locked="0"/>
    </xf>
    <xf numFmtId="0" fontId="7" fillId="0" borderId="2" xfId="7" applyFont="1" applyBorder="1" applyAlignment="1" applyProtection="1">
      <alignment horizontal="left" vertical="top" wrapText="1"/>
      <protection locked="0"/>
    </xf>
    <xf numFmtId="0" fontId="7" fillId="0" borderId="3" xfId="7" applyFont="1" applyBorder="1" applyAlignment="1" applyProtection="1">
      <alignment horizontal="left" vertical="top" wrapText="1"/>
      <protection locked="0"/>
    </xf>
    <xf numFmtId="0" fontId="7" fillId="0" borderId="4" xfId="7" applyFont="1" applyBorder="1" applyAlignment="1" applyProtection="1">
      <alignment horizontal="left" vertical="top" wrapText="1"/>
      <protection locked="0"/>
    </xf>
    <xf numFmtId="0" fontId="14" fillId="0" borderId="1" xfId="7" applyFont="1" applyBorder="1" applyAlignment="1" applyProtection="1">
      <alignment horizontal="left" vertical="top" wrapText="1"/>
      <protection locked="0"/>
    </xf>
    <xf numFmtId="166" fontId="13" fillId="0" borderId="1" xfId="7" applyNumberFormat="1" applyFont="1" applyBorder="1" applyAlignment="1" applyProtection="1">
      <alignment horizontal="left" vertical="top" wrapText="1"/>
      <protection locked="0"/>
    </xf>
    <xf numFmtId="2" fontId="9" fillId="0" borderId="1" xfId="7" applyNumberFormat="1" applyFont="1" applyBorder="1" applyAlignment="1" applyProtection="1">
      <alignment horizontal="left" vertical="top"/>
      <protection locked="0"/>
    </xf>
    <xf numFmtId="0" fontId="11" fillId="0" borderId="1" xfId="7" applyFont="1" applyBorder="1" applyAlignment="1" applyProtection="1">
      <alignment horizontal="left" vertical="top"/>
      <protection locked="0"/>
    </xf>
    <xf numFmtId="0" fontId="12" fillId="0" borderId="2" xfId="7" applyFont="1" applyBorder="1" applyAlignment="1" applyProtection="1">
      <alignment horizontal="left" vertical="top" wrapText="1"/>
      <protection locked="0"/>
    </xf>
    <xf numFmtId="0" fontId="12" fillId="0" borderId="4" xfId="7" applyFont="1" applyBorder="1" applyAlignment="1" applyProtection="1">
      <alignment horizontal="left" vertical="top" wrapText="1"/>
      <protection locked="0"/>
    </xf>
    <xf numFmtId="0" fontId="13" fillId="0" borderId="2" xfId="7" applyFont="1" applyBorder="1" applyAlignment="1" applyProtection="1">
      <alignment horizontal="left" vertical="top"/>
      <protection locked="0"/>
    </xf>
    <xf numFmtId="0" fontId="13" fillId="0" borderId="3" xfId="7" applyFont="1" applyBorder="1" applyAlignment="1" applyProtection="1">
      <alignment horizontal="left" vertical="top"/>
      <protection locked="0"/>
    </xf>
    <xf numFmtId="0" fontId="13" fillId="0" borderId="4" xfId="7" applyFont="1" applyBorder="1" applyAlignment="1" applyProtection="1">
      <alignment horizontal="left" vertical="top"/>
      <protection locked="0"/>
    </xf>
    <xf numFmtId="2" fontId="7" fillId="0" borderId="1" xfId="7" applyNumberFormat="1" applyFont="1" applyBorder="1" applyAlignment="1" applyProtection="1">
      <alignment horizontal="left" vertical="top" wrapText="1"/>
      <protection locked="0"/>
    </xf>
    <xf numFmtId="167" fontId="12" fillId="0" borderId="1" xfId="7" applyNumberFormat="1" applyFont="1" applyBorder="1" applyAlignment="1" applyProtection="1">
      <alignment horizontal="left" vertical="top"/>
      <protection locked="0"/>
    </xf>
    <xf numFmtId="0" fontId="7" fillId="0" borderId="1" xfId="7" applyFont="1" applyBorder="1" applyAlignment="1" applyProtection="1">
      <alignment horizontal="center"/>
      <protection locked="0"/>
    </xf>
    <xf numFmtId="0" fontId="7" fillId="0" borderId="1" xfId="7" applyFont="1" applyBorder="1" applyAlignment="1" applyProtection="1">
      <alignment horizontal="center" vertical="top"/>
      <protection locked="0"/>
    </xf>
    <xf numFmtId="0" fontId="14" fillId="0" borderId="2" xfId="7" applyFont="1" applyBorder="1" applyAlignment="1" applyProtection="1">
      <alignment horizontal="left"/>
      <protection locked="0"/>
    </xf>
    <xf numFmtId="0" fontId="14" fillId="0" borderId="3" xfId="7" applyFont="1" applyBorder="1" applyAlignment="1" applyProtection="1">
      <alignment horizontal="left"/>
      <protection locked="0"/>
    </xf>
    <xf numFmtId="0" fontId="14" fillId="0" borderId="4" xfId="7" applyFont="1" applyBorder="1" applyAlignment="1" applyProtection="1">
      <alignment horizontal="left"/>
      <protection locked="0"/>
    </xf>
    <xf numFmtId="0" fontId="15" fillId="0" borderId="2" xfId="2" applyBorder="1" applyAlignment="1" applyProtection="1">
      <alignment horizontal="left"/>
      <protection locked="0"/>
    </xf>
    <xf numFmtId="0" fontId="9" fillId="0" borderId="3" xfId="7" applyFont="1" applyBorder="1" applyAlignment="1" applyProtection="1">
      <alignment horizontal="left"/>
      <protection locked="0"/>
    </xf>
    <xf numFmtId="0" fontId="9" fillId="0" borderId="4" xfId="7" applyFont="1" applyBorder="1" applyAlignment="1" applyProtection="1">
      <alignment horizontal="left"/>
      <protection locked="0"/>
    </xf>
    <xf numFmtId="0" fontId="7" fillId="0" borderId="1" xfId="7" applyFont="1" applyBorder="1" applyAlignment="1" applyProtection="1">
      <alignment horizontal="left" vertical="center" wrapText="1"/>
      <protection locked="0"/>
    </xf>
    <xf numFmtId="0" fontId="13" fillId="0" borderId="1" xfId="7" applyFont="1" applyBorder="1" applyAlignment="1" applyProtection="1">
      <alignment horizontal="center"/>
      <protection locked="0"/>
    </xf>
    <xf numFmtId="0" fontId="7" fillId="0" borderId="1" xfId="7" applyFont="1" applyBorder="1" applyAlignment="1" applyProtection="1">
      <alignment horizontal="left"/>
      <protection locked="0"/>
    </xf>
    <xf numFmtId="0" fontId="9" fillId="0" borderId="1" xfId="7" applyFont="1" applyBorder="1" applyAlignment="1" applyProtection="1">
      <alignment horizontal="left" vertical="top" wrapText="1"/>
      <protection locked="0"/>
    </xf>
    <xf numFmtId="0" fontId="12" fillId="0" borderId="3" xfId="7" applyFont="1" applyBorder="1" applyAlignment="1" applyProtection="1">
      <alignment horizontal="left" vertical="top" wrapText="1"/>
      <protection locked="0"/>
    </xf>
    <xf numFmtId="0" fontId="10" fillId="0" borderId="1" xfId="7" applyFont="1" applyBorder="1" applyAlignment="1" applyProtection="1">
      <alignment horizontal="center" vertical="top" wrapText="1"/>
      <protection locked="0"/>
    </xf>
    <xf numFmtId="0" fontId="11" fillId="0" borderId="1" xfId="7" applyFont="1" applyBorder="1" applyAlignment="1" applyProtection="1">
      <alignment horizontal="center" vertical="top"/>
      <protection locked="0"/>
    </xf>
    <xf numFmtId="166" fontId="12" fillId="0" borderId="1" xfId="7" applyNumberFormat="1" applyFont="1" applyBorder="1" applyAlignment="1" applyProtection="1">
      <alignment horizontal="left" vertical="top"/>
      <protection locked="0"/>
    </xf>
    <xf numFmtId="0" fontId="9" fillId="0" borderId="1" xfId="7" applyFont="1" applyBorder="1" applyAlignment="1" applyProtection="1">
      <alignment horizontal="left" vertical="center" wrapText="1"/>
      <protection locked="0"/>
    </xf>
    <xf numFmtId="166" fontId="9" fillId="0" borderId="1" xfId="7" applyNumberFormat="1" applyFont="1" applyBorder="1" applyAlignment="1" applyProtection="1">
      <alignment horizontal="left" vertical="top"/>
      <protection locked="0"/>
    </xf>
    <xf numFmtId="0" fontId="3" fillId="0" borderId="1" xfId="9" applyFont="1" applyBorder="1" applyAlignment="1">
      <alignment horizontal="left"/>
    </xf>
  </cellXfs>
  <cellStyles count="10">
    <cellStyle name="Comma 2" xfId="3" xr:uid="{00000000-0005-0000-0000-000000000000}"/>
    <cellStyle name="Excel Built-in Normal" xfId="4" xr:uid="{00000000-0005-0000-0000-000001000000}"/>
    <cellStyle name="Excel Built-in Normal 2" xfId="5" xr:uid="{00000000-0005-0000-0000-000002000000}"/>
    <cellStyle name="Hyperlink" xfId="2" builtinId="8"/>
    <cellStyle name="Normal" xfId="0" builtinId="0"/>
    <cellStyle name="Normal 2" xfId="6" xr:uid="{00000000-0005-0000-0000-000005000000}"/>
    <cellStyle name="Normal 3" xfId="7" xr:uid="{00000000-0005-0000-0000-000006000000}"/>
    <cellStyle name="Normal 3 3" xfId="8" xr:uid="{00000000-0005-0000-0000-000007000000}"/>
    <cellStyle name="Normal 4" xfId="9" xr:uid="{00000000-0005-0000-0000-000008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xdr:from>
      <xdr:col>0</xdr:col>
      <xdr:colOff>616323</xdr:colOff>
      <xdr:row>725</xdr:row>
      <xdr:rowOff>44824</xdr:rowOff>
    </xdr:from>
    <xdr:to>
      <xdr:col>6</xdr:col>
      <xdr:colOff>593912</xdr:colOff>
      <xdr:row>760</xdr:row>
      <xdr:rowOff>33618</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616323" y="152997274"/>
          <a:ext cx="4892489" cy="6989669"/>
          <a:chOff x="933449" y="133350"/>
          <a:chExt cx="5040000" cy="7713166"/>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3449" y="4967287"/>
            <a:ext cx="5040000" cy="2879229"/>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
          <a:stretch>
            <a:fillRect/>
          </a:stretch>
        </xdr:blipFill>
        <xdr:spPr>
          <a:xfrm>
            <a:off x="933449" y="133350"/>
            <a:ext cx="5040000" cy="4566240"/>
          </a:xfrm>
          <a:prstGeom prst="rect">
            <a:avLst/>
          </a:prstGeom>
          <a:ln>
            <a:solidFill>
              <a:schemeClr val="tx1"/>
            </a:solidFill>
          </a:ln>
        </xdr:spPr>
      </xdr:pic>
      <xdr:sp macro="" textlink="">
        <xdr:nvSpPr>
          <xdr:cNvPr id="29" name="Rectangle 28">
            <a:extLst>
              <a:ext uri="{FF2B5EF4-FFF2-40B4-BE49-F238E27FC236}">
                <a16:creationId xmlns:a16="http://schemas.microsoft.com/office/drawing/2014/main" id="{00000000-0008-0000-0000-00001D000000}"/>
              </a:ext>
            </a:extLst>
          </xdr:cNvPr>
          <xdr:cNvSpPr/>
        </xdr:nvSpPr>
        <xdr:spPr>
          <a:xfrm>
            <a:off x="1706880" y="6004560"/>
            <a:ext cx="1203960" cy="15506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4480" y="435270"/>
            <a:ext cx="3055620" cy="3962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7">
            <a:extLst>
              <a:ext uri="{FF2B5EF4-FFF2-40B4-BE49-F238E27FC236}">
                <a16:creationId xmlns:a16="http://schemas.microsoft.com/office/drawing/2014/main" id="{00000000-0008-0000-0000-00001F000000}"/>
              </a:ext>
            </a:extLst>
          </xdr:cNvPr>
          <xdr:cNvSpPr txBox="1"/>
        </xdr:nvSpPr>
        <xdr:spPr>
          <a:xfrm>
            <a:off x="2315731" y="2087165"/>
            <a:ext cx="555293" cy="4094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T5</a:t>
            </a:r>
            <a:endParaRPr lang="en-IN" b="1">
              <a:solidFill>
                <a:srgbClr val="FFFF00"/>
              </a:solidFill>
            </a:endParaRPr>
          </a:p>
        </xdr:txBody>
      </xdr:sp>
      <xdr:sp macro="" textlink="">
        <xdr:nvSpPr>
          <xdr:cNvPr id="32" name="TextBox 8">
            <a:extLst>
              <a:ext uri="{FF2B5EF4-FFF2-40B4-BE49-F238E27FC236}">
                <a16:creationId xmlns:a16="http://schemas.microsoft.com/office/drawing/2014/main" id="{00000000-0008-0000-0000-000020000000}"/>
              </a:ext>
            </a:extLst>
          </xdr:cNvPr>
          <xdr:cNvSpPr txBox="1"/>
        </xdr:nvSpPr>
        <xdr:spPr>
          <a:xfrm>
            <a:off x="2357011" y="3129178"/>
            <a:ext cx="514013" cy="4094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T4</a:t>
            </a:r>
            <a:endParaRPr lang="en-IN" b="1">
              <a:solidFill>
                <a:srgbClr val="FFFF00"/>
              </a:solidFill>
            </a:endParaRPr>
          </a:p>
        </xdr:txBody>
      </xdr:sp>
      <xdr:sp macro="" textlink="">
        <xdr:nvSpPr>
          <xdr:cNvPr id="33" name="TextBox 9">
            <a:extLst>
              <a:ext uri="{FF2B5EF4-FFF2-40B4-BE49-F238E27FC236}">
                <a16:creationId xmlns:a16="http://schemas.microsoft.com/office/drawing/2014/main" id="{00000000-0008-0000-0000-000021000000}"/>
              </a:ext>
            </a:extLst>
          </xdr:cNvPr>
          <xdr:cNvSpPr txBox="1"/>
        </xdr:nvSpPr>
        <xdr:spPr>
          <a:xfrm>
            <a:off x="3011911" y="3132054"/>
            <a:ext cx="504970" cy="4094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T3</a:t>
            </a:r>
            <a:endParaRPr lang="en-IN" b="1">
              <a:solidFill>
                <a:srgbClr val="FFFF00"/>
              </a:solidFill>
            </a:endParaRPr>
          </a:p>
        </xdr:txBody>
      </xdr:sp>
      <xdr:sp macro="" textlink="">
        <xdr:nvSpPr>
          <xdr:cNvPr id="34" name="TextBox 10">
            <a:extLst>
              <a:ext uri="{FF2B5EF4-FFF2-40B4-BE49-F238E27FC236}">
                <a16:creationId xmlns:a16="http://schemas.microsoft.com/office/drawing/2014/main" id="{00000000-0008-0000-0000-000022000000}"/>
              </a:ext>
            </a:extLst>
          </xdr:cNvPr>
          <xdr:cNvSpPr txBox="1"/>
        </xdr:nvSpPr>
        <xdr:spPr>
          <a:xfrm>
            <a:off x="3037951" y="2087165"/>
            <a:ext cx="501997" cy="4094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T2</a:t>
            </a:r>
            <a:endParaRPr lang="en-IN" b="1">
              <a:solidFill>
                <a:srgbClr val="FFFF00"/>
              </a:solidFill>
            </a:endParaRPr>
          </a:p>
        </xdr:txBody>
      </xdr:sp>
      <xdr:sp macro="" textlink="">
        <xdr:nvSpPr>
          <xdr:cNvPr id="35" name="TextBox 11">
            <a:extLst>
              <a:ext uri="{FF2B5EF4-FFF2-40B4-BE49-F238E27FC236}">
                <a16:creationId xmlns:a16="http://schemas.microsoft.com/office/drawing/2014/main" id="{00000000-0008-0000-0000-000023000000}"/>
              </a:ext>
            </a:extLst>
          </xdr:cNvPr>
          <xdr:cNvSpPr txBox="1"/>
        </xdr:nvSpPr>
        <xdr:spPr>
          <a:xfrm>
            <a:off x="3037951" y="1450136"/>
            <a:ext cx="432798" cy="4094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T1</a:t>
            </a:r>
            <a:endParaRPr lang="en-IN" b="1">
              <a:solidFill>
                <a:srgbClr val="FFFF00"/>
              </a:solidFill>
            </a:endParaRPr>
          </a:p>
        </xdr:txBody>
      </xdr:sp>
    </xdr:grpSp>
    <xdr:clientData/>
  </xdr:twoCellAnchor>
  <xdr:twoCellAnchor>
    <xdr:from>
      <xdr:col>8</xdr:col>
      <xdr:colOff>934570</xdr:colOff>
      <xdr:row>764</xdr:row>
      <xdr:rowOff>46505</xdr:rowOff>
    </xdr:from>
    <xdr:to>
      <xdr:col>20</xdr:col>
      <xdr:colOff>82532</xdr:colOff>
      <xdr:row>802</xdr:row>
      <xdr:rowOff>50757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287745" y="160799930"/>
          <a:ext cx="5710687" cy="7605202"/>
          <a:chOff x="324970" y="128849905"/>
          <a:chExt cx="5710687" cy="7544877"/>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cstate="screen"/>
          <a:srcRect/>
          <a:stretch>
            <a:fillRect/>
          </a:stretch>
        </xdr:blipFill>
        <xdr:spPr>
          <a:xfrm>
            <a:off x="570587" y="128849905"/>
            <a:ext cx="5219454" cy="3616402"/>
          </a:xfrm>
          <a:prstGeom prst="rect">
            <a:avLst/>
          </a:prstGeom>
          <a:ln>
            <a:solidFill>
              <a:schemeClr val="tx1"/>
            </a:solidFill>
          </a:ln>
        </xdr:spPr>
      </xdr:pic>
      <xdr:grpSp>
        <xdr:nvGrpSpPr>
          <xdr:cNvPr id="37" name="Group 36">
            <a:extLst>
              <a:ext uri="{FF2B5EF4-FFF2-40B4-BE49-F238E27FC236}">
                <a16:creationId xmlns:a16="http://schemas.microsoft.com/office/drawing/2014/main" id="{00000000-0008-0000-0000-000025000000}"/>
              </a:ext>
            </a:extLst>
          </xdr:cNvPr>
          <xdr:cNvGrpSpPr/>
        </xdr:nvGrpSpPr>
        <xdr:grpSpPr>
          <a:xfrm>
            <a:off x="324970" y="132626752"/>
            <a:ext cx="5710687" cy="3768030"/>
            <a:chOff x="487392" y="4175185"/>
            <a:chExt cx="5710687" cy="3830130"/>
          </a:xfrm>
        </xdr:grpSpPr>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cstate="screen"/>
            <a:srcRect/>
            <a:stretch>
              <a:fillRect/>
            </a:stretch>
          </xdr:blipFill>
          <xdr:spPr>
            <a:xfrm>
              <a:off x="487392" y="4175185"/>
              <a:ext cx="5710687" cy="3830130"/>
            </a:xfrm>
            <a:prstGeom prst="rect">
              <a:avLst/>
            </a:prstGeom>
            <a:ln>
              <a:solidFill>
                <a:schemeClr val="tx1"/>
              </a:solidFill>
            </a:ln>
          </xdr:spPr>
        </xdr:pic>
        <xdr:sp macro="" textlink="">
          <xdr:nvSpPr>
            <xdr:cNvPr id="39" name="Rectangle 38">
              <a:extLst>
                <a:ext uri="{FF2B5EF4-FFF2-40B4-BE49-F238E27FC236}">
                  <a16:creationId xmlns:a16="http://schemas.microsoft.com/office/drawing/2014/main" id="{00000000-0008-0000-0000-000027000000}"/>
                </a:ext>
              </a:extLst>
            </xdr:cNvPr>
            <xdr:cNvSpPr/>
          </xdr:nvSpPr>
          <xdr:spPr>
            <a:xfrm rot="1048147">
              <a:off x="2501660" y="5538157"/>
              <a:ext cx="1328468" cy="1811547"/>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348118</xdr:colOff>
      <xdr:row>679</xdr:row>
      <xdr:rowOff>120871</xdr:rowOff>
    </xdr:from>
    <xdr:to>
      <xdr:col>19</xdr:col>
      <xdr:colOff>525752</xdr:colOff>
      <xdr:row>718</xdr:row>
      <xdr:rowOff>193</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6701293" y="143881696"/>
          <a:ext cx="6130759" cy="7670772"/>
          <a:chOff x="168" y="182185"/>
          <a:chExt cx="9658" cy="12005"/>
        </a:xfrm>
      </xdr:grpSpPr>
      <xdr:pic>
        <xdr:nvPicPr>
          <xdr:cNvPr id="8" name="Picture 92" descr="https://vsjcllp.vsjadon.com/upload/insp-220268-1525.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6411" y="190754"/>
            <a:ext cx="2588" cy="3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94" descr="https://vsjcllp.vsjadon.com/upload/insp-220268-847.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437" y="186457"/>
            <a:ext cx="3123" cy="41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6" descr="https://vsjcllp.vsjadon.com/upload/insp-220268-849.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49" y="190764"/>
            <a:ext cx="2596" cy="3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98" descr="https://vsjcllp.vsjadon.com/upload/insp-220268-851.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6678" y="182185"/>
            <a:ext cx="3127" cy="41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00" descr="https://vsjcllp.vsjadon.com/upload/insp-220268-862.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6700" y="186451"/>
            <a:ext cx="3127" cy="41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02" descr="https://vsjcllp.vsjadon.com/upload/insp-220268-871.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68" y="186473"/>
            <a:ext cx="3132" cy="41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04" descr="https://vsjcllp.vsjadon.com/upload/insp-220268-874.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3684" y="190762"/>
            <a:ext cx="2594" cy="3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06" descr="https://vsjcllp.vsjadon.com/upload/insp-220268-883.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73" y="182193"/>
            <a:ext cx="3133" cy="41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08" descr="https://vsjcllp.vsjadon.com/upload/insp-220268-931.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3439" y="182202"/>
            <a:ext cx="3124" cy="41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8</xdr:col>
      <xdr:colOff>723485</xdr:colOff>
      <xdr:row>678</xdr:row>
      <xdr:rowOff>180975</xdr:rowOff>
    </xdr:from>
    <xdr:to>
      <xdr:col>20</xdr:col>
      <xdr:colOff>298637</xdr:colOff>
      <xdr:row>721</xdr:row>
      <xdr:rowOff>67813</xdr:rowOff>
    </xdr:to>
    <xdr:grpSp>
      <xdr:nvGrpSpPr>
        <xdr:cNvPr id="76" name="Group 75">
          <a:extLst>
            <a:ext uri="{FF2B5EF4-FFF2-40B4-BE49-F238E27FC236}">
              <a16:creationId xmlns:a16="http://schemas.microsoft.com/office/drawing/2014/main" id="{00000000-0008-0000-0000-00004C000000}"/>
            </a:ext>
          </a:extLst>
        </xdr:cNvPr>
        <xdr:cNvGrpSpPr/>
      </xdr:nvGrpSpPr>
      <xdr:grpSpPr>
        <a:xfrm>
          <a:off x="7076660" y="143741775"/>
          <a:ext cx="6137877" cy="8478388"/>
          <a:chOff x="94835" y="120110250"/>
          <a:chExt cx="6137877" cy="8478388"/>
        </a:xfrm>
      </xdr:grpSpPr>
      <xdr:grpSp>
        <xdr:nvGrpSpPr>
          <xdr:cNvPr id="69" name="Group 68">
            <a:extLst>
              <a:ext uri="{FF2B5EF4-FFF2-40B4-BE49-F238E27FC236}">
                <a16:creationId xmlns:a16="http://schemas.microsoft.com/office/drawing/2014/main" id="{00000000-0008-0000-0000-000045000000}"/>
              </a:ext>
            </a:extLst>
          </xdr:cNvPr>
          <xdr:cNvGrpSpPr/>
        </xdr:nvGrpSpPr>
        <xdr:grpSpPr>
          <a:xfrm>
            <a:off x="94835" y="120110250"/>
            <a:ext cx="6137877" cy="8478388"/>
            <a:chOff x="94835" y="120110250"/>
            <a:chExt cx="6137877" cy="8478388"/>
          </a:xfrm>
        </xdr:grpSpPr>
        <xdr:pic>
          <xdr:nvPicPr>
            <xdr:cNvPr id="41" name="Picture 40" descr="https://vsjcllp.vsjadon.com/upload/insp-236307-843.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4237381" y="124002660"/>
              <a:ext cx="1995331" cy="267375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307-849.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1767094" y="126748761"/>
              <a:ext cx="1371944" cy="18394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6307-1525.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4648200" y="126749176"/>
              <a:ext cx="1373696" cy="18394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6307-845.jpg">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23850" y="126740287"/>
              <a:ext cx="1369871" cy="18384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36307-847.jpg">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209924" y="126749812"/>
              <a:ext cx="1368443" cy="18384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36307-848.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2162174" y="124007217"/>
              <a:ext cx="1995375" cy="26752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6307-851.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295274" y="120169884"/>
              <a:ext cx="2812122" cy="37703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307-861.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3190874" y="120171126"/>
              <a:ext cx="2812122" cy="37681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6307-86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94835" y="123999348"/>
              <a:ext cx="1989769" cy="26752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114424" y="120738900"/>
              <a:ext cx="4286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T2</a:t>
              </a:r>
            </a:p>
          </xdr:txBody>
        </xdr:sp>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1333500" y="120396000"/>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T5</a:t>
              </a:r>
            </a:p>
          </xdr:txBody>
        </xdr:sp>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743200" y="120110250"/>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T4</a:t>
              </a:r>
            </a:p>
          </xdr:txBody>
        </xdr:sp>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552575" y="120138825"/>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T3</a:t>
              </a:r>
            </a:p>
          </xdr:txBody>
        </xdr:sp>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704850" y="120186450"/>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T1</a:t>
              </a:r>
            </a:p>
          </xdr:txBody>
        </xdr:sp>
        <xdr:cxnSp macro="">
          <xdr:nvCxnSpPr>
            <xdr:cNvPr id="7" name="Straight Arrow Connector 6">
              <a:extLst>
                <a:ext uri="{FF2B5EF4-FFF2-40B4-BE49-F238E27FC236}">
                  <a16:creationId xmlns:a16="http://schemas.microsoft.com/office/drawing/2014/main" id="{00000000-0008-0000-0000-000007000000}"/>
                </a:ext>
              </a:extLst>
            </xdr:cNvPr>
            <xdr:cNvCxnSpPr>
              <a:stCxn id="57" idx="2"/>
            </xdr:cNvCxnSpPr>
          </xdr:nvCxnSpPr>
          <xdr:spPr>
            <a:xfrm>
              <a:off x="1547813" y="120757950"/>
              <a:ext cx="138112" cy="371475"/>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1" name="Straight Arrow Connector 60">
              <a:extLst>
                <a:ext uri="{FF2B5EF4-FFF2-40B4-BE49-F238E27FC236}">
                  <a16:creationId xmlns:a16="http://schemas.microsoft.com/office/drawing/2014/main" id="{00000000-0008-0000-0000-00003D000000}"/>
                </a:ext>
              </a:extLst>
            </xdr:cNvPr>
            <xdr:cNvCxnSpPr>
              <a:stCxn id="5" idx="2"/>
            </xdr:cNvCxnSpPr>
          </xdr:nvCxnSpPr>
          <xdr:spPr>
            <a:xfrm>
              <a:off x="1328737" y="121034175"/>
              <a:ext cx="23813" cy="523875"/>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2" name="Straight Arrow Connector 61">
              <a:extLst>
                <a:ext uri="{FF2B5EF4-FFF2-40B4-BE49-F238E27FC236}">
                  <a16:creationId xmlns:a16="http://schemas.microsoft.com/office/drawing/2014/main" id="{00000000-0008-0000-0000-00003E000000}"/>
                </a:ext>
              </a:extLst>
            </xdr:cNvPr>
            <xdr:cNvCxnSpPr/>
          </xdr:nvCxnSpPr>
          <xdr:spPr>
            <a:xfrm>
              <a:off x="1790700" y="120396000"/>
              <a:ext cx="209550" cy="2286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3" name="Straight Arrow Connector 62">
              <a:extLst>
                <a:ext uri="{FF2B5EF4-FFF2-40B4-BE49-F238E27FC236}">
                  <a16:creationId xmlns:a16="http://schemas.microsoft.com/office/drawing/2014/main" id="{00000000-0008-0000-0000-00003F000000}"/>
                </a:ext>
              </a:extLst>
            </xdr:cNvPr>
            <xdr:cNvCxnSpPr/>
          </xdr:nvCxnSpPr>
          <xdr:spPr>
            <a:xfrm flipH="1">
              <a:off x="2809875" y="120367425"/>
              <a:ext cx="114300" cy="381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Straight Arrow Connector 65">
              <a:extLst>
                <a:ext uri="{FF2B5EF4-FFF2-40B4-BE49-F238E27FC236}">
                  <a16:creationId xmlns:a16="http://schemas.microsoft.com/office/drawing/2014/main" id="{00000000-0008-0000-0000-000042000000}"/>
                </a:ext>
              </a:extLst>
            </xdr:cNvPr>
            <xdr:cNvCxnSpPr/>
          </xdr:nvCxnSpPr>
          <xdr:spPr>
            <a:xfrm flipH="1">
              <a:off x="619125" y="120481725"/>
              <a:ext cx="219076" cy="219075"/>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3533360" y="120291225"/>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T3</a:t>
            </a:r>
          </a:p>
        </xdr:txBody>
      </xdr:sp>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4943060" y="120148350"/>
            <a:ext cx="4286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T4</a:t>
            </a:r>
          </a:p>
        </xdr:txBody>
      </xdr:sp>
      <xdr:cxnSp macro="">
        <xdr:nvCxnSpPr>
          <xdr:cNvPr id="72" name="Straight Arrow Connector 71">
            <a:extLst>
              <a:ext uri="{FF2B5EF4-FFF2-40B4-BE49-F238E27FC236}">
                <a16:creationId xmlns:a16="http://schemas.microsoft.com/office/drawing/2014/main" id="{00000000-0008-0000-0000-000048000000}"/>
              </a:ext>
            </a:extLst>
          </xdr:cNvPr>
          <xdr:cNvCxnSpPr/>
        </xdr:nvCxnSpPr>
        <xdr:spPr>
          <a:xfrm>
            <a:off x="3776248" y="120596025"/>
            <a:ext cx="167102" cy="40005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3" name="Straight Arrow Connector 72">
            <a:extLst>
              <a:ext uri="{FF2B5EF4-FFF2-40B4-BE49-F238E27FC236}">
                <a16:creationId xmlns:a16="http://schemas.microsoft.com/office/drawing/2014/main" id="{00000000-0008-0000-0000-000049000000}"/>
              </a:ext>
            </a:extLst>
          </xdr:cNvPr>
          <xdr:cNvCxnSpPr/>
        </xdr:nvCxnSpPr>
        <xdr:spPr>
          <a:xfrm flipH="1">
            <a:off x="4943060" y="120434100"/>
            <a:ext cx="114300" cy="381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142875</xdr:colOff>
      <xdr:row>46</xdr:row>
      <xdr:rowOff>66675</xdr:rowOff>
    </xdr:from>
    <xdr:to>
      <xdr:col>16</xdr:col>
      <xdr:colOff>133924</xdr:colOff>
      <xdr:row>49</xdr:row>
      <xdr:rowOff>705051</xdr:rowOff>
    </xdr:to>
    <xdr:pic>
      <xdr:nvPicPr>
        <xdr:cNvPr id="3" name="Picture 2">
          <a:extLst>
            <a:ext uri="{FF2B5EF4-FFF2-40B4-BE49-F238E27FC236}">
              <a16:creationId xmlns:a16="http://schemas.microsoft.com/office/drawing/2014/main" id="{17CDCB21-8FA1-420F-BB02-1AA572C8F815}"/>
            </a:ext>
          </a:extLst>
        </xdr:cNvPr>
        <xdr:cNvPicPr>
          <a:picLocks noChangeAspect="1"/>
        </xdr:cNvPicPr>
      </xdr:nvPicPr>
      <xdr:blipFill>
        <a:blip xmlns:r="http://schemas.openxmlformats.org/officeDocument/2006/relationships" r:embed="rId23"/>
        <a:stretch>
          <a:fillRect/>
        </a:stretch>
      </xdr:blipFill>
      <xdr:spPr>
        <a:xfrm>
          <a:off x="6496050" y="10287000"/>
          <a:ext cx="4115374" cy="1438476"/>
        </a:xfrm>
        <a:prstGeom prst="rect">
          <a:avLst/>
        </a:prstGeom>
      </xdr:spPr>
    </xdr:pic>
    <xdr:clientData/>
  </xdr:twoCellAnchor>
  <xdr:twoCellAnchor>
    <xdr:from>
      <xdr:col>0</xdr:col>
      <xdr:colOff>33682</xdr:colOff>
      <xdr:row>680</xdr:row>
      <xdr:rowOff>0</xdr:rowOff>
    </xdr:from>
    <xdr:to>
      <xdr:col>7</xdr:col>
      <xdr:colOff>738467</xdr:colOff>
      <xdr:row>721</xdr:row>
      <xdr:rowOff>35766</xdr:rowOff>
    </xdr:to>
    <xdr:grpSp>
      <xdr:nvGrpSpPr>
        <xdr:cNvPr id="54" name="Group 53">
          <a:extLst>
            <a:ext uri="{FF2B5EF4-FFF2-40B4-BE49-F238E27FC236}">
              <a16:creationId xmlns:a16="http://schemas.microsoft.com/office/drawing/2014/main" id="{A0D7E2C8-779F-40A4-B7B8-051EF37C4482}"/>
            </a:ext>
          </a:extLst>
        </xdr:cNvPr>
        <xdr:cNvGrpSpPr/>
      </xdr:nvGrpSpPr>
      <xdr:grpSpPr>
        <a:xfrm>
          <a:off x="33682" y="143960850"/>
          <a:ext cx="6229285" cy="8227266"/>
          <a:chOff x="363160" y="440438"/>
          <a:chExt cx="6229285" cy="8227266"/>
        </a:xfrm>
      </xdr:grpSpPr>
      <xdr:grpSp>
        <xdr:nvGrpSpPr>
          <xdr:cNvPr id="55" name="Group 54">
            <a:extLst>
              <a:ext uri="{FF2B5EF4-FFF2-40B4-BE49-F238E27FC236}">
                <a16:creationId xmlns:a16="http://schemas.microsoft.com/office/drawing/2014/main" id="{E79038CC-89B9-4DDD-B42F-87549082740B}"/>
              </a:ext>
            </a:extLst>
          </xdr:cNvPr>
          <xdr:cNvGrpSpPr/>
        </xdr:nvGrpSpPr>
        <xdr:grpSpPr>
          <a:xfrm>
            <a:off x="415203" y="440438"/>
            <a:ext cx="6177242" cy="8227266"/>
            <a:chOff x="415203" y="440438"/>
            <a:chExt cx="6177242" cy="8227266"/>
          </a:xfrm>
        </xdr:grpSpPr>
        <xdr:pic>
          <xdr:nvPicPr>
            <xdr:cNvPr id="77" name="Picture 76">
              <a:extLst>
                <a:ext uri="{FF2B5EF4-FFF2-40B4-BE49-F238E27FC236}">
                  <a16:creationId xmlns:a16="http://schemas.microsoft.com/office/drawing/2014/main" id="{B8E90D14-BFDA-4B59-98BB-CADEF658B489}"/>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83704" y="440438"/>
              <a:ext cx="2340000" cy="3111322"/>
            </a:xfrm>
            <a:prstGeom prst="rect">
              <a:avLst/>
            </a:prstGeom>
            <a:ln>
              <a:solidFill>
                <a:schemeClr val="tx1"/>
              </a:solidFill>
            </a:ln>
          </xdr:spPr>
        </xdr:pic>
        <xdr:pic>
          <xdr:nvPicPr>
            <xdr:cNvPr id="78" name="Picture 77">
              <a:extLst>
                <a:ext uri="{FF2B5EF4-FFF2-40B4-BE49-F238E27FC236}">
                  <a16:creationId xmlns:a16="http://schemas.microsoft.com/office/drawing/2014/main" id="{30B79AE2-79DD-41CE-8D0E-A79135D56496}"/>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572435" y="440438"/>
              <a:ext cx="2340000" cy="3111322"/>
            </a:xfrm>
            <a:prstGeom prst="rect">
              <a:avLst/>
            </a:prstGeom>
            <a:ln>
              <a:solidFill>
                <a:schemeClr val="tx1"/>
              </a:solidFill>
            </a:ln>
          </xdr:spPr>
        </xdr:pic>
        <xdr:pic>
          <xdr:nvPicPr>
            <xdr:cNvPr id="79" name="Picture 78">
              <a:extLst>
                <a:ext uri="{FF2B5EF4-FFF2-40B4-BE49-F238E27FC236}">
                  <a16:creationId xmlns:a16="http://schemas.microsoft.com/office/drawing/2014/main" id="{5A70D9CF-8352-4AA7-9848-ACE52C259785}"/>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415203" y="3704934"/>
              <a:ext cx="1980000" cy="2632656"/>
            </a:xfrm>
            <a:prstGeom prst="rect">
              <a:avLst/>
            </a:prstGeom>
            <a:ln>
              <a:solidFill>
                <a:schemeClr val="tx1"/>
              </a:solidFill>
            </a:ln>
          </xdr:spPr>
        </xdr:pic>
        <xdr:pic>
          <xdr:nvPicPr>
            <xdr:cNvPr id="80" name="Picture 79">
              <a:extLst>
                <a:ext uri="{FF2B5EF4-FFF2-40B4-BE49-F238E27FC236}">
                  <a16:creationId xmlns:a16="http://schemas.microsoft.com/office/drawing/2014/main" id="{7B61F35B-31CE-4091-A03F-99BDC61212D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612445" y="3704933"/>
              <a:ext cx="1980000" cy="2632656"/>
            </a:xfrm>
            <a:prstGeom prst="rect">
              <a:avLst/>
            </a:prstGeom>
            <a:ln>
              <a:solidFill>
                <a:schemeClr val="tx1"/>
              </a:solidFill>
            </a:ln>
          </xdr:spPr>
        </xdr:pic>
        <xdr:pic>
          <xdr:nvPicPr>
            <xdr:cNvPr id="81" name="Picture 80">
              <a:extLst>
                <a:ext uri="{FF2B5EF4-FFF2-40B4-BE49-F238E27FC236}">
                  <a16:creationId xmlns:a16="http://schemas.microsoft.com/office/drawing/2014/main" id="{500A58BF-1757-4B79-BEC5-EFF4B2A4453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2523349" y="3704933"/>
              <a:ext cx="1980000" cy="2632657"/>
            </a:xfrm>
            <a:prstGeom prst="rect">
              <a:avLst/>
            </a:prstGeom>
            <a:ln>
              <a:solidFill>
                <a:schemeClr val="tx1"/>
              </a:solidFill>
            </a:ln>
          </xdr:spPr>
        </xdr:pic>
        <xdr:pic>
          <xdr:nvPicPr>
            <xdr:cNvPr id="82" name="Picture 81">
              <a:extLst>
                <a:ext uri="{FF2B5EF4-FFF2-40B4-BE49-F238E27FC236}">
                  <a16:creationId xmlns:a16="http://schemas.microsoft.com/office/drawing/2014/main" id="{8DF378FF-536A-4DC6-8472-DDE9077D13D7}"/>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2783433" y="6513712"/>
              <a:ext cx="1620000" cy="2153991"/>
            </a:xfrm>
            <a:prstGeom prst="rect">
              <a:avLst/>
            </a:prstGeom>
            <a:ln>
              <a:solidFill>
                <a:schemeClr val="tx1"/>
              </a:solidFill>
            </a:ln>
          </xdr:spPr>
        </xdr:pic>
        <xdr:pic>
          <xdr:nvPicPr>
            <xdr:cNvPr id="83" name="Picture 82">
              <a:extLst>
                <a:ext uri="{FF2B5EF4-FFF2-40B4-BE49-F238E27FC236}">
                  <a16:creationId xmlns:a16="http://schemas.microsoft.com/office/drawing/2014/main" id="{40F61D28-0CBF-4D9C-A9BF-BDCF853ABC2A}"/>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34398" y="6513713"/>
              <a:ext cx="1620000" cy="2153991"/>
            </a:xfrm>
            <a:prstGeom prst="rect">
              <a:avLst/>
            </a:prstGeom>
            <a:ln>
              <a:solidFill>
                <a:schemeClr val="tx1"/>
              </a:solidFill>
            </a:ln>
          </xdr:spPr>
        </xdr:pic>
        <xdr:pic>
          <xdr:nvPicPr>
            <xdr:cNvPr id="84" name="Picture 83">
              <a:extLst>
                <a:ext uri="{FF2B5EF4-FFF2-40B4-BE49-F238E27FC236}">
                  <a16:creationId xmlns:a16="http://schemas.microsoft.com/office/drawing/2014/main" id="{AC59A0AE-63BA-411E-B80E-E7E435871210}"/>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4532468" y="6513712"/>
              <a:ext cx="1620000" cy="2153992"/>
            </a:xfrm>
            <a:prstGeom prst="rect">
              <a:avLst/>
            </a:prstGeom>
            <a:ln>
              <a:solidFill>
                <a:schemeClr val="tx1"/>
              </a:solidFill>
            </a:ln>
          </xdr:spPr>
        </xdr:pic>
      </xdr:grpSp>
      <xdr:sp macro="" textlink="">
        <xdr:nvSpPr>
          <xdr:cNvPr id="56" name="TextBox 19">
            <a:extLst>
              <a:ext uri="{FF2B5EF4-FFF2-40B4-BE49-F238E27FC236}">
                <a16:creationId xmlns:a16="http://schemas.microsoft.com/office/drawing/2014/main" id="{274E4DAC-D8BF-4ABC-A60C-BB198EE9E291}"/>
              </a:ext>
            </a:extLst>
          </xdr:cNvPr>
          <xdr:cNvSpPr txBox="1"/>
        </xdr:nvSpPr>
        <xdr:spPr>
          <a:xfrm>
            <a:off x="1523321" y="476296"/>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1</a:t>
            </a:r>
            <a:endParaRPr lang="en-IN" b="1">
              <a:solidFill>
                <a:srgbClr val="FF0000"/>
              </a:solidFill>
            </a:endParaRPr>
          </a:p>
        </xdr:txBody>
      </xdr:sp>
      <xdr:sp macro="" textlink="">
        <xdr:nvSpPr>
          <xdr:cNvPr id="64" name="TextBox 20">
            <a:extLst>
              <a:ext uri="{FF2B5EF4-FFF2-40B4-BE49-F238E27FC236}">
                <a16:creationId xmlns:a16="http://schemas.microsoft.com/office/drawing/2014/main" id="{4BC75452-2FE4-4413-B625-2D66F08A6509}"/>
              </a:ext>
            </a:extLst>
          </xdr:cNvPr>
          <xdr:cNvSpPr txBox="1"/>
        </xdr:nvSpPr>
        <xdr:spPr>
          <a:xfrm>
            <a:off x="4034182" y="563517"/>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2</a:t>
            </a:r>
            <a:endParaRPr lang="en-IN" b="1">
              <a:solidFill>
                <a:srgbClr val="FF0000"/>
              </a:solidFill>
            </a:endParaRPr>
          </a:p>
        </xdr:txBody>
      </xdr:sp>
      <xdr:sp macro="" textlink="">
        <xdr:nvSpPr>
          <xdr:cNvPr id="65" name="TextBox 21">
            <a:extLst>
              <a:ext uri="{FF2B5EF4-FFF2-40B4-BE49-F238E27FC236}">
                <a16:creationId xmlns:a16="http://schemas.microsoft.com/office/drawing/2014/main" id="{A0C841B3-43CD-48A6-887F-E7F8108271B9}"/>
              </a:ext>
            </a:extLst>
          </xdr:cNvPr>
          <xdr:cNvSpPr txBox="1"/>
        </xdr:nvSpPr>
        <xdr:spPr>
          <a:xfrm>
            <a:off x="363160" y="3741130"/>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3</a:t>
            </a:r>
            <a:endParaRPr lang="en-IN" b="1">
              <a:solidFill>
                <a:srgbClr val="FF0000"/>
              </a:solidFill>
            </a:endParaRPr>
          </a:p>
        </xdr:txBody>
      </xdr:sp>
      <xdr:sp macro="" textlink="">
        <xdr:nvSpPr>
          <xdr:cNvPr id="67" name="TextBox 22">
            <a:extLst>
              <a:ext uri="{FF2B5EF4-FFF2-40B4-BE49-F238E27FC236}">
                <a16:creationId xmlns:a16="http://schemas.microsoft.com/office/drawing/2014/main" id="{BA34B547-A3D7-40A7-893C-1C5D72363AC0}"/>
              </a:ext>
            </a:extLst>
          </xdr:cNvPr>
          <xdr:cNvSpPr txBox="1"/>
        </xdr:nvSpPr>
        <xdr:spPr>
          <a:xfrm>
            <a:off x="1404379" y="3661246"/>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4</a:t>
            </a:r>
            <a:endParaRPr lang="en-IN" b="1">
              <a:solidFill>
                <a:srgbClr val="FF0000"/>
              </a:solidFill>
            </a:endParaRPr>
          </a:p>
        </xdr:txBody>
      </xdr:sp>
      <xdr:sp macro="" textlink="">
        <xdr:nvSpPr>
          <xdr:cNvPr id="68" name="TextBox 23">
            <a:extLst>
              <a:ext uri="{FF2B5EF4-FFF2-40B4-BE49-F238E27FC236}">
                <a16:creationId xmlns:a16="http://schemas.microsoft.com/office/drawing/2014/main" id="{90FA4181-4630-4E43-AFC7-59AB644899DA}"/>
              </a:ext>
            </a:extLst>
          </xdr:cNvPr>
          <xdr:cNvSpPr txBox="1"/>
        </xdr:nvSpPr>
        <xdr:spPr>
          <a:xfrm>
            <a:off x="4585760" y="3690325"/>
            <a:ext cx="9383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Tower 5</a:t>
            </a:r>
            <a:endParaRPr lang="en-IN" b="1">
              <a:solidFill>
                <a:srgbClr val="FF0000"/>
              </a:solidFill>
            </a:endParaRPr>
          </a:p>
        </xdr:txBody>
      </xdr:sp>
      <xdr:cxnSp macro="">
        <xdr:nvCxnSpPr>
          <xdr:cNvPr id="74" name="Straight Arrow Connector 73">
            <a:extLst>
              <a:ext uri="{FF2B5EF4-FFF2-40B4-BE49-F238E27FC236}">
                <a16:creationId xmlns:a16="http://schemas.microsoft.com/office/drawing/2014/main" id="{26D29E68-0AFF-4030-BD58-9B2BDAF278F8}"/>
              </a:ext>
            </a:extLst>
          </xdr:cNvPr>
          <xdr:cNvCxnSpPr>
            <a:cxnSpLocks/>
          </xdr:cNvCxnSpPr>
        </xdr:nvCxnSpPr>
        <xdr:spPr>
          <a:xfrm>
            <a:off x="5195662" y="4017355"/>
            <a:ext cx="146806" cy="2184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6067869A-D895-46CD-BA8C-B52645E02E7F}"/>
              </a:ext>
            </a:extLst>
          </xdr:cNvPr>
          <xdr:cNvCxnSpPr>
            <a:cxnSpLocks/>
          </xdr:cNvCxnSpPr>
        </xdr:nvCxnSpPr>
        <xdr:spPr>
          <a:xfrm flipH="1">
            <a:off x="1634403" y="4017355"/>
            <a:ext cx="131543" cy="2807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19050</xdr:colOff>
      <xdr:row>763</xdr:row>
      <xdr:rowOff>19050</xdr:rowOff>
    </xdr:from>
    <xdr:to>
      <xdr:col>7</xdr:col>
      <xdr:colOff>116550</xdr:colOff>
      <xdr:row>796</xdr:row>
      <xdr:rowOff>96059</xdr:rowOff>
    </xdr:to>
    <xdr:grpSp>
      <xdr:nvGrpSpPr>
        <xdr:cNvPr id="85" name="Group 84">
          <a:extLst>
            <a:ext uri="{FF2B5EF4-FFF2-40B4-BE49-F238E27FC236}">
              <a16:creationId xmlns:a16="http://schemas.microsoft.com/office/drawing/2014/main" id="{05F5C448-5137-426E-B6AC-206A0A7FF4E3}"/>
            </a:ext>
          </a:extLst>
        </xdr:cNvPr>
        <xdr:cNvGrpSpPr/>
      </xdr:nvGrpSpPr>
      <xdr:grpSpPr>
        <a:xfrm>
          <a:off x="781050" y="160572450"/>
          <a:ext cx="4860000" cy="6677834"/>
          <a:chOff x="1056564" y="518737"/>
          <a:chExt cx="4860000" cy="6677834"/>
        </a:xfrm>
      </xdr:grpSpPr>
      <xdr:pic>
        <xdr:nvPicPr>
          <xdr:cNvPr id="86" name="Picture 85">
            <a:extLst>
              <a:ext uri="{FF2B5EF4-FFF2-40B4-BE49-F238E27FC236}">
                <a16:creationId xmlns:a16="http://schemas.microsoft.com/office/drawing/2014/main" id="{6A390DFE-B90C-4B40-9B47-49904C11597A}"/>
              </a:ext>
            </a:extLst>
          </xdr:cNvPr>
          <xdr:cNvPicPr>
            <a:picLocks noChangeAspect="1"/>
          </xdr:cNvPicPr>
        </xdr:nvPicPr>
        <xdr:blipFill rotWithShape="1">
          <a:blip xmlns:r="http://schemas.openxmlformats.org/officeDocument/2006/relationships" r:embed="rId32" cstate="screen">
            <a:extLst>
              <a:ext uri="{28A0092B-C50C-407E-A947-70E740481C1C}">
                <a14:useLocalDpi xmlns:a14="http://schemas.microsoft.com/office/drawing/2010/main"/>
              </a:ext>
            </a:extLst>
          </a:blip>
          <a:srcRect/>
          <a:stretch/>
        </xdr:blipFill>
        <xdr:spPr>
          <a:xfrm>
            <a:off x="1056564" y="518737"/>
            <a:ext cx="4860000" cy="3232956"/>
          </a:xfrm>
          <a:prstGeom prst="rect">
            <a:avLst/>
          </a:prstGeom>
          <a:ln>
            <a:solidFill>
              <a:schemeClr val="tx1"/>
            </a:solidFill>
          </a:ln>
        </xdr:spPr>
      </xdr:pic>
      <xdr:pic>
        <xdr:nvPicPr>
          <xdr:cNvPr id="87" name="Picture 86">
            <a:extLst>
              <a:ext uri="{FF2B5EF4-FFF2-40B4-BE49-F238E27FC236}">
                <a16:creationId xmlns:a16="http://schemas.microsoft.com/office/drawing/2014/main" id="{9D37A629-3EF3-4AC2-9E90-C271205241FA}"/>
              </a:ext>
            </a:extLst>
          </xdr:cNvPr>
          <xdr:cNvPicPr>
            <a:picLocks noChangeAspect="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a:xfrm>
            <a:off x="1772787" y="4016189"/>
            <a:ext cx="3420000" cy="3180382"/>
          </a:xfrm>
          <a:prstGeom prst="rect">
            <a:avLst/>
          </a:prstGeom>
          <a:ln>
            <a:solidFill>
              <a:schemeClr val="tx1"/>
            </a:solidFill>
          </a:ln>
        </xdr:spPr>
      </xdr:pic>
      <xdr:sp macro="" textlink="">
        <xdr:nvSpPr>
          <xdr:cNvPr id="88" name="Rectangle 87">
            <a:extLst>
              <a:ext uri="{FF2B5EF4-FFF2-40B4-BE49-F238E27FC236}">
                <a16:creationId xmlns:a16="http://schemas.microsoft.com/office/drawing/2014/main" id="{595D2C64-4400-4D1C-A359-94E2E72B9F78}"/>
              </a:ext>
            </a:extLst>
          </xdr:cNvPr>
          <xdr:cNvSpPr/>
        </xdr:nvSpPr>
        <xdr:spPr>
          <a:xfrm rot="980508">
            <a:off x="2689410" y="1488141"/>
            <a:ext cx="1057835" cy="157778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9" name="TextBox 37">
            <a:extLst>
              <a:ext uri="{FF2B5EF4-FFF2-40B4-BE49-F238E27FC236}">
                <a16:creationId xmlns:a16="http://schemas.microsoft.com/office/drawing/2014/main" id="{E7BC46D1-1864-4ED9-98E2-19389B190D6E}"/>
              </a:ext>
            </a:extLst>
          </xdr:cNvPr>
          <xdr:cNvSpPr txBox="1"/>
        </xdr:nvSpPr>
        <xdr:spPr>
          <a:xfrm>
            <a:off x="2008094" y="1001860"/>
            <a:ext cx="17593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Runwal Pinnacle</a:t>
            </a:r>
            <a:endParaRPr lang="en-IN" b="1">
              <a:solidFill>
                <a:srgbClr val="FFFF00"/>
              </a:solidFill>
            </a:endParaRPr>
          </a:p>
        </xdr:txBody>
      </xdr:sp>
    </xdr:grpSp>
    <xdr:clientData/>
  </xdr:twoCellAnchor>
  <xdr:twoCellAnchor editAs="oneCell">
    <xdr:from>
      <xdr:col>8</xdr:col>
      <xdr:colOff>152400</xdr:colOff>
      <xdr:row>131</xdr:row>
      <xdr:rowOff>114300</xdr:rowOff>
    </xdr:from>
    <xdr:to>
      <xdr:col>22</xdr:col>
      <xdr:colOff>515487</xdr:colOff>
      <xdr:row>148</xdr:row>
      <xdr:rowOff>76560</xdr:rowOff>
    </xdr:to>
    <xdr:pic>
      <xdr:nvPicPr>
        <xdr:cNvPr id="17" name="Picture 16">
          <a:extLst>
            <a:ext uri="{FF2B5EF4-FFF2-40B4-BE49-F238E27FC236}">
              <a16:creationId xmlns:a16="http://schemas.microsoft.com/office/drawing/2014/main" id="{13440397-56C2-4CE8-A62E-535C88A0BC1C}"/>
            </a:ext>
          </a:extLst>
        </xdr:cNvPr>
        <xdr:cNvPicPr>
          <a:picLocks noChangeAspect="1"/>
        </xdr:cNvPicPr>
      </xdr:nvPicPr>
      <xdr:blipFill>
        <a:blip xmlns:r="http://schemas.openxmlformats.org/officeDocument/2006/relationships" r:embed="rId34"/>
        <a:stretch>
          <a:fillRect/>
        </a:stretch>
      </xdr:blipFill>
      <xdr:spPr>
        <a:xfrm>
          <a:off x="6505575" y="33956625"/>
          <a:ext cx="8145012" cy="2581635"/>
        </a:xfrm>
        <a:prstGeom prst="rect">
          <a:avLst/>
        </a:prstGeom>
      </xdr:spPr>
    </xdr:pic>
    <xdr:clientData/>
  </xdr:twoCellAnchor>
  <xdr:twoCellAnchor>
    <xdr:from>
      <xdr:col>0</xdr:col>
      <xdr:colOff>698626</xdr:colOff>
      <xdr:row>698</xdr:row>
      <xdr:rowOff>38100</xdr:rowOff>
    </xdr:from>
    <xdr:to>
      <xdr:col>1</xdr:col>
      <xdr:colOff>19050</xdr:colOff>
      <xdr:row>699</xdr:row>
      <xdr:rowOff>142875</xdr:rowOff>
    </xdr:to>
    <xdr:cxnSp macro="">
      <xdr:nvCxnSpPr>
        <xdr:cNvPr id="90" name="Straight Arrow Connector 89">
          <a:extLst>
            <a:ext uri="{FF2B5EF4-FFF2-40B4-BE49-F238E27FC236}">
              <a16:creationId xmlns:a16="http://schemas.microsoft.com/office/drawing/2014/main" id="{364CE38E-20AA-4A02-818D-32CF076D595C}"/>
            </a:ext>
          </a:extLst>
        </xdr:cNvPr>
        <xdr:cNvCxnSpPr>
          <a:cxnSpLocks/>
        </xdr:cNvCxnSpPr>
      </xdr:nvCxnSpPr>
      <xdr:spPr>
        <a:xfrm>
          <a:off x="698626" y="147989925"/>
          <a:ext cx="82424"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573775</xdr:colOff>
      <xdr:row>14</xdr:row>
      <xdr:rowOff>0</xdr:rowOff>
    </xdr:from>
    <xdr:to>
      <xdr:col>16</xdr:col>
      <xdr:colOff>338452</xdr:colOff>
      <xdr:row>34</xdr:row>
      <xdr:rowOff>45742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55230" y="2676525"/>
          <a:ext cx="6841490" cy="3855720"/>
        </a:xfrm>
        <a:prstGeom prst="rect">
          <a:avLst/>
        </a:prstGeom>
      </xdr:spPr>
    </xdr:pic>
    <xdr:clientData/>
  </xdr:twoCellAnchor>
  <xdr:twoCellAnchor editAs="oneCell">
    <xdr:from>
      <xdr:col>1</xdr:col>
      <xdr:colOff>0</xdr:colOff>
      <xdr:row>14</xdr:row>
      <xdr:rowOff>0</xdr:rowOff>
    </xdr:from>
    <xdr:to>
      <xdr:col>6</xdr:col>
      <xdr:colOff>459441</xdr:colOff>
      <xdr:row>34</xdr:row>
      <xdr:rowOff>45742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5" y="2676525"/>
          <a:ext cx="6859905" cy="3855720"/>
        </a:xfrm>
        <a:prstGeom prst="rect">
          <a:avLst/>
        </a:prstGeom>
      </xdr:spPr>
    </xdr:pic>
    <xdr:clientData/>
  </xdr:twoCellAnchor>
  <xdr:twoCellAnchor editAs="oneCell">
    <xdr:from>
      <xdr:col>3</xdr:col>
      <xdr:colOff>241121</xdr:colOff>
      <xdr:row>35</xdr:row>
      <xdr:rowOff>48986</xdr:rowOff>
    </xdr:from>
    <xdr:to>
      <xdr:col>11</xdr:col>
      <xdr:colOff>465238</xdr:colOff>
      <xdr:row>55</xdr:row>
      <xdr:rowOff>94728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5040" y="6725920"/>
          <a:ext cx="6853555" cy="3855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upUaPsJLVCbtgdK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62"/>
  <sheetViews>
    <sheetView tabSelected="1" showWhiteSpace="0" view="pageBreakPreview" zoomScaleNormal="100" zoomScaleSheetLayoutView="100" zoomScalePageLayoutView="115" workbookViewId="0">
      <selection activeCell="E8" sqref="E8:H8"/>
    </sheetView>
  </sheetViews>
  <sheetFormatPr defaultColWidth="9.140625" defaultRowHeight="15.75"/>
  <cols>
    <col min="1" max="1" width="11.42578125" style="21" customWidth="1"/>
    <col min="2" max="2" width="12" style="21" customWidth="1"/>
    <col min="3" max="3" width="12.7109375" style="21" customWidth="1"/>
    <col min="4" max="4" width="14.140625" style="21" customWidth="1"/>
    <col min="5" max="6" width="11.7109375" style="21" customWidth="1"/>
    <col min="7" max="7" width="9.140625" style="21" customWidth="1"/>
    <col min="8" max="8" width="12.42578125" style="21" customWidth="1"/>
    <col min="9" max="9" width="17.42578125" style="22" customWidth="1"/>
    <col min="10" max="10" width="11.42578125" style="22" customWidth="1"/>
    <col min="11" max="12" width="10.5703125" style="22" customWidth="1"/>
    <col min="13" max="13" width="11.85546875" style="22" customWidth="1"/>
    <col min="14" max="14" width="12.5703125" style="22" hidden="1" customWidth="1"/>
    <col min="15" max="15" width="9.85546875" style="22" hidden="1" customWidth="1"/>
    <col min="16" max="16" width="11.7109375" style="22" hidden="1" customWidth="1"/>
    <col min="17" max="247" width="9.140625" style="22"/>
    <col min="248" max="248" width="8.7109375" style="22" customWidth="1"/>
    <col min="249" max="249" width="9.85546875" style="22" customWidth="1"/>
    <col min="250" max="250" width="14.42578125" style="22" customWidth="1"/>
    <col min="251" max="251" width="7.28515625" style="22" customWidth="1"/>
    <col min="252" max="252" width="5.5703125" style="22" customWidth="1"/>
    <col min="253" max="253" width="9" style="22" customWidth="1"/>
    <col min="254" max="255" width="9.85546875" style="22" customWidth="1"/>
    <col min="256" max="256" width="11.140625" style="22" customWidth="1"/>
    <col min="257" max="257" width="2.85546875" style="22" customWidth="1"/>
    <col min="258" max="258" width="3.5703125" style="22" customWidth="1"/>
    <col min="259" max="503" width="9.140625" style="22"/>
    <col min="504" max="504" width="8.7109375" style="22" customWidth="1"/>
    <col min="505" max="505" width="9.85546875" style="22" customWidth="1"/>
    <col min="506" max="506" width="14.42578125" style="22" customWidth="1"/>
    <col min="507" max="507" width="7.28515625" style="22" customWidth="1"/>
    <col min="508" max="508" width="5.5703125" style="22" customWidth="1"/>
    <col min="509" max="509" width="9" style="22" customWidth="1"/>
    <col min="510" max="511" width="9.85546875" style="22" customWidth="1"/>
    <col min="512" max="512" width="11.140625" style="22" customWidth="1"/>
    <col min="513" max="513" width="2.85546875" style="22" customWidth="1"/>
    <col min="514" max="514" width="3.5703125" style="22" customWidth="1"/>
    <col min="515" max="759" width="9.140625" style="22"/>
    <col min="760" max="760" width="8.7109375" style="22" customWidth="1"/>
    <col min="761" max="761" width="9.85546875" style="22" customWidth="1"/>
    <col min="762" max="762" width="14.42578125" style="22" customWidth="1"/>
    <col min="763" max="763" width="7.28515625" style="22" customWidth="1"/>
    <col min="764" max="764" width="5.5703125" style="22" customWidth="1"/>
    <col min="765" max="765" width="9" style="22" customWidth="1"/>
    <col min="766" max="767" width="9.85546875" style="22" customWidth="1"/>
    <col min="768" max="768" width="11.140625" style="22" customWidth="1"/>
    <col min="769" max="769" width="2.85546875" style="22" customWidth="1"/>
    <col min="770" max="770" width="3.5703125" style="22" customWidth="1"/>
    <col min="771" max="1015" width="9.140625" style="22"/>
    <col min="1016" max="1016" width="8.7109375" style="22" customWidth="1"/>
    <col min="1017" max="1017" width="9.85546875" style="22" customWidth="1"/>
    <col min="1018" max="1018" width="14.42578125" style="22" customWidth="1"/>
    <col min="1019" max="1019" width="7.28515625" style="22" customWidth="1"/>
    <col min="1020" max="1020" width="5.5703125" style="22" customWidth="1"/>
    <col min="1021" max="1021" width="9" style="22" customWidth="1"/>
    <col min="1022" max="1023" width="9.85546875" style="22" customWidth="1"/>
    <col min="1024" max="1024" width="11.140625" style="22" customWidth="1"/>
    <col min="1025" max="1025" width="2.85546875" style="22" customWidth="1"/>
    <col min="1026" max="1026" width="3.5703125" style="22" customWidth="1"/>
    <col min="1027" max="1271" width="9.140625" style="22"/>
    <col min="1272" max="1272" width="8.7109375" style="22" customWidth="1"/>
    <col min="1273" max="1273" width="9.85546875" style="22" customWidth="1"/>
    <col min="1274" max="1274" width="14.42578125" style="22" customWidth="1"/>
    <col min="1275" max="1275" width="7.28515625" style="22" customWidth="1"/>
    <col min="1276" max="1276" width="5.5703125" style="22" customWidth="1"/>
    <col min="1277" max="1277" width="9" style="22" customWidth="1"/>
    <col min="1278" max="1279" width="9.85546875" style="22" customWidth="1"/>
    <col min="1280" max="1280" width="11.140625" style="22" customWidth="1"/>
    <col min="1281" max="1281" width="2.85546875" style="22" customWidth="1"/>
    <col min="1282" max="1282" width="3.5703125" style="22" customWidth="1"/>
    <col min="1283" max="1527" width="9.140625" style="22"/>
    <col min="1528" max="1528" width="8.7109375" style="22" customWidth="1"/>
    <col min="1529" max="1529" width="9.85546875" style="22" customWidth="1"/>
    <col min="1530" max="1530" width="14.42578125" style="22" customWidth="1"/>
    <col min="1531" max="1531" width="7.28515625" style="22" customWidth="1"/>
    <col min="1532" max="1532" width="5.5703125" style="22" customWidth="1"/>
    <col min="1533" max="1533" width="9" style="22" customWidth="1"/>
    <col min="1534" max="1535" width="9.85546875" style="22" customWidth="1"/>
    <col min="1536" max="1536" width="11.140625" style="22" customWidth="1"/>
    <col min="1537" max="1537" width="2.85546875" style="22" customWidth="1"/>
    <col min="1538" max="1538" width="3.5703125" style="22" customWidth="1"/>
    <col min="1539" max="1783" width="9.140625" style="22"/>
    <col min="1784" max="1784" width="8.7109375" style="22" customWidth="1"/>
    <col min="1785" max="1785" width="9.85546875" style="22" customWidth="1"/>
    <col min="1786" max="1786" width="14.42578125" style="22" customWidth="1"/>
    <col min="1787" max="1787" width="7.28515625" style="22" customWidth="1"/>
    <col min="1788" max="1788" width="5.5703125" style="22" customWidth="1"/>
    <col min="1789" max="1789" width="9" style="22" customWidth="1"/>
    <col min="1790" max="1791" width="9.85546875" style="22" customWidth="1"/>
    <col min="1792" max="1792" width="11.140625" style="22" customWidth="1"/>
    <col min="1793" max="1793" width="2.85546875" style="22" customWidth="1"/>
    <col min="1794" max="1794" width="3.5703125" style="22" customWidth="1"/>
    <col min="1795" max="2039" width="9.140625" style="22"/>
    <col min="2040" max="2040" width="8.7109375" style="22" customWidth="1"/>
    <col min="2041" max="2041" width="9.85546875" style="22" customWidth="1"/>
    <col min="2042" max="2042" width="14.42578125" style="22" customWidth="1"/>
    <col min="2043" max="2043" width="7.28515625" style="22" customWidth="1"/>
    <col min="2044" max="2044" width="5.5703125" style="22" customWidth="1"/>
    <col min="2045" max="2045" width="9" style="22" customWidth="1"/>
    <col min="2046" max="2047" width="9.85546875" style="22" customWidth="1"/>
    <col min="2048" max="2048" width="11.140625" style="22" customWidth="1"/>
    <col min="2049" max="2049" width="2.85546875" style="22" customWidth="1"/>
    <col min="2050" max="2050" width="3.5703125" style="22" customWidth="1"/>
    <col min="2051" max="2295" width="9.140625" style="22"/>
    <col min="2296" max="2296" width="8.7109375" style="22" customWidth="1"/>
    <col min="2297" max="2297" width="9.85546875" style="22" customWidth="1"/>
    <col min="2298" max="2298" width="14.42578125" style="22" customWidth="1"/>
    <col min="2299" max="2299" width="7.28515625" style="22" customWidth="1"/>
    <col min="2300" max="2300" width="5.5703125" style="22" customWidth="1"/>
    <col min="2301" max="2301" width="9" style="22" customWidth="1"/>
    <col min="2302" max="2303" width="9.85546875" style="22" customWidth="1"/>
    <col min="2304" max="2304" width="11.140625" style="22" customWidth="1"/>
    <col min="2305" max="2305" width="2.85546875" style="22" customWidth="1"/>
    <col min="2306" max="2306" width="3.5703125" style="22" customWidth="1"/>
    <col min="2307" max="2551" width="9.140625" style="22"/>
    <col min="2552" max="2552" width="8.7109375" style="22" customWidth="1"/>
    <col min="2553" max="2553" width="9.85546875" style="22" customWidth="1"/>
    <col min="2554" max="2554" width="14.42578125" style="22" customWidth="1"/>
    <col min="2555" max="2555" width="7.28515625" style="22" customWidth="1"/>
    <col min="2556" max="2556" width="5.5703125" style="22" customWidth="1"/>
    <col min="2557" max="2557" width="9" style="22" customWidth="1"/>
    <col min="2558" max="2559" width="9.85546875" style="22" customWidth="1"/>
    <col min="2560" max="2560" width="11.140625" style="22" customWidth="1"/>
    <col min="2561" max="2561" width="2.85546875" style="22" customWidth="1"/>
    <col min="2562" max="2562" width="3.5703125" style="22" customWidth="1"/>
    <col min="2563" max="2807" width="9.140625" style="22"/>
    <col min="2808" max="2808" width="8.7109375" style="22" customWidth="1"/>
    <col min="2809" max="2809" width="9.85546875" style="22" customWidth="1"/>
    <col min="2810" max="2810" width="14.42578125" style="22" customWidth="1"/>
    <col min="2811" max="2811" width="7.28515625" style="22" customWidth="1"/>
    <col min="2812" max="2812" width="5.5703125" style="22" customWidth="1"/>
    <col min="2813" max="2813" width="9" style="22" customWidth="1"/>
    <col min="2814" max="2815" width="9.85546875" style="22" customWidth="1"/>
    <col min="2816" max="2816" width="11.140625" style="22" customWidth="1"/>
    <col min="2817" max="2817" width="2.85546875" style="22" customWidth="1"/>
    <col min="2818" max="2818" width="3.5703125" style="22" customWidth="1"/>
    <col min="2819" max="3063" width="9.140625" style="22"/>
    <col min="3064" max="3064" width="8.7109375" style="22" customWidth="1"/>
    <col min="3065" max="3065" width="9.85546875" style="22" customWidth="1"/>
    <col min="3066" max="3066" width="14.42578125" style="22" customWidth="1"/>
    <col min="3067" max="3067" width="7.28515625" style="22" customWidth="1"/>
    <col min="3068" max="3068" width="5.5703125" style="22" customWidth="1"/>
    <col min="3069" max="3069" width="9" style="22" customWidth="1"/>
    <col min="3070" max="3071" width="9.85546875" style="22" customWidth="1"/>
    <col min="3072" max="3072" width="11.140625" style="22" customWidth="1"/>
    <col min="3073" max="3073" width="2.85546875" style="22" customWidth="1"/>
    <col min="3074" max="3074" width="3.5703125" style="22" customWidth="1"/>
    <col min="3075" max="3319" width="9.140625" style="22"/>
    <col min="3320" max="3320" width="8.7109375" style="22" customWidth="1"/>
    <col min="3321" max="3321" width="9.85546875" style="22" customWidth="1"/>
    <col min="3322" max="3322" width="14.42578125" style="22" customWidth="1"/>
    <col min="3323" max="3323" width="7.28515625" style="22" customWidth="1"/>
    <col min="3324" max="3324" width="5.5703125" style="22" customWidth="1"/>
    <col min="3325" max="3325" width="9" style="22" customWidth="1"/>
    <col min="3326" max="3327" width="9.85546875" style="22" customWidth="1"/>
    <col min="3328" max="3328" width="11.140625" style="22" customWidth="1"/>
    <col min="3329" max="3329" width="2.85546875" style="22" customWidth="1"/>
    <col min="3330" max="3330" width="3.5703125" style="22" customWidth="1"/>
    <col min="3331" max="3575" width="9.140625" style="22"/>
    <col min="3576" max="3576" width="8.7109375" style="22" customWidth="1"/>
    <col min="3577" max="3577" width="9.85546875" style="22" customWidth="1"/>
    <col min="3578" max="3578" width="14.42578125" style="22" customWidth="1"/>
    <col min="3579" max="3579" width="7.28515625" style="22" customWidth="1"/>
    <col min="3580" max="3580" width="5.5703125" style="22" customWidth="1"/>
    <col min="3581" max="3581" width="9" style="22" customWidth="1"/>
    <col min="3582" max="3583" width="9.85546875" style="22" customWidth="1"/>
    <col min="3584" max="3584" width="11.140625" style="22" customWidth="1"/>
    <col min="3585" max="3585" width="2.85546875" style="22" customWidth="1"/>
    <col min="3586" max="3586" width="3.5703125" style="22" customWidth="1"/>
    <col min="3587" max="3831" width="9.140625" style="22"/>
    <col min="3832" max="3832" width="8.7109375" style="22" customWidth="1"/>
    <col min="3833" max="3833" width="9.85546875" style="22" customWidth="1"/>
    <col min="3834" max="3834" width="14.42578125" style="22" customWidth="1"/>
    <col min="3835" max="3835" width="7.28515625" style="22" customWidth="1"/>
    <col min="3836" max="3836" width="5.5703125" style="22" customWidth="1"/>
    <col min="3837" max="3837" width="9" style="22" customWidth="1"/>
    <col min="3838" max="3839" width="9.85546875" style="22" customWidth="1"/>
    <col min="3840" max="3840" width="11.140625" style="22" customWidth="1"/>
    <col min="3841" max="3841" width="2.85546875" style="22" customWidth="1"/>
    <col min="3842" max="3842" width="3.5703125" style="22" customWidth="1"/>
    <col min="3843" max="4087" width="9.140625" style="22"/>
    <col min="4088" max="4088" width="8.7109375" style="22" customWidth="1"/>
    <col min="4089" max="4089" width="9.85546875" style="22" customWidth="1"/>
    <col min="4090" max="4090" width="14.42578125" style="22" customWidth="1"/>
    <col min="4091" max="4091" width="7.28515625" style="22" customWidth="1"/>
    <col min="4092" max="4092" width="5.5703125" style="22" customWidth="1"/>
    <col min="4093" max="4093" width="9" style="22" customWidth="1"/>
    <col min="4094" max="4095" width="9.85546875" style="22" customWidth="1"/>
    <col min="4096" max="4096" width="11.140625" style="22" customWidth="1"/>
    <col min="4097" max="4097" width="2.85546875" style="22" customWidth="1"/>
    <col min="4098" max="4098" width="3.5703125" style="22" customWidth="1"/>
    <col min="4099" max="4343" width="9.140625" style="22"/>
    <col min="4344" max="4344" width="8.7109375" style="22" customWidth="1"/>
    <col min="4345" max="4345" width="9.85546875" style="22" customWidth="1"/>
    <col min="4346" max="4346" width="14.42578125" style="22" customWidth="1"/>
    <col min="4347" max="4347" width="7.28515625" style="22" customWidth="1"/>
    <col min="4348" max="4348" width="5.5703125" style="22" customWidth="1"/>
    <col min="4349" max="4349" width="9" style="22" customWidth="1"/>
    <col min="4350" max="4351" width="9.85546875" style="22" customWidth="1"/>
    <col min="4352" max="4352" width="11.140625" style="22" customWidth="1"/>
    <col min="4353" max="4353" width="2.85546875" style="22" customWidth="1"/>
    <col min="4354" max="4354" width="3.5703125" style="22" customWidth="1"/>
    <col min="4355" max="4599" width="9.140625" style="22"/>
    <col min="4600" max="4600" width="8.7109375" style="22" customWidth="1"/>
    <col min="4601" max="4601" width="9.85546875" style="22" customWidth="1"/>
    <col min="4602" max="4602" width="14.42578125" style="22" customWidth="1"/>
    <col min="4603" max="4603" width="7.28515625" style="22" customWidth="1"/>
    <col min="4604" max="4604" width="5.5703125" style="22" customWidth="1"/>
    <col min="4605" max="4605" width="9" style="22" customWidth="1"/>
    <col min="4606" max="4607" width="9.85546875" style="22" customWidth="1"/>
    <col min="4608" max="4608" width="11.140625" style="22" customWidth="1"/>
    <col min="4609" max="4609" width="2.85546875" style="22" customWidth="1"/>
    <col min="4610" max="4610" width="3.5703125" style="22" customWidth="1"/>
    <col min="4611" max="4855" width="9.140625" style="22"/>
    <col min="4856" max="4856" width="8.7109375" style="22" customWidth="1"/>
    <col min="4857" max="4857" width="9.85546875" style="22" customWidth="1"/>
    <col min="4858" max="4858" width="14.42578125" style="22" customWidth="1"/>
    <col min="4859" max="4859" width="7.28515625" style="22" customWidth="1"/>
    <col min="4860" max="4860" width="5.5703125" style="22" customWidth="1"/>
    <col min="4861" max="4861" width="9" style="22" customWidth="1"/>
    <col min="4862" max="4863" width="9.85546875" style="22" customWidth="1"/>
    <col min="4864" max="4864" width="11.140625" style="22" customWidth="1"/>
    <col min="4865" max="4865" width="2.85546875" style="22" customWidth="1"/>
    <col min="4866" max="4866" width="3.5703125" style="22" customWidth="1"/>
    <col min="4867" max="5111" width="9.140625" style="22"/>
    <col min="5112" max="5112" width="8.7109375" style="22" customWidth="1"/>
    <col min="5113" max="5113" width="9.85546875" style="22" customWidth="1"/>
    <col min="5114" max="5114" width="14.42578125" style="22" customWidth="1"/>
    <col min="5115" max="5115" width="7.28515625" style="22" customWidth="1"/>
    <col min="5116" max="5116" width="5.5703125" style="22" customWidth="1"/>
    <col min="5117" max="5117" width="9" style="22" customWidth="1"/>
    <col min="5118" max="5119" width="9.85546875" style="22" customWidth="1"/>
    <col min="5120" max="5120" width="11.140625" style="22" customWidth="1"/>
    <col min="5121" max="5121" width="2.85546875" style="22" customWidth="1"/>
    <col min="5122" max="5122" width="3.5703125" style="22" customWidth="1"/>
    <col min="5123" max="5367" width="9.140625" style="22"/>
    <col min="5368" max="5368" width="8.7109375" style="22" customWidth="1"/>
    <col min="5369" max="5369" width="9.85546875" style="22" customWidth="1"/>
    <col min="5370" max="5370" width="14.42578125" style="22" customWidth="1"/>
    <col min="5371" max="5371" width="7.28515625" style="22" customWidth="1"/>
    <col min="5372" max="5372" width="5.5703125" style="22" customWidth="1"/>
    <col min="5373" max="5373" width="9" style="22" customWidth="1"/>
    <col min="5374" max="5375" width="9.85546875" style="22" customWidth="1"/>
    <col min="5376" max="5376" width="11.140625" style="22" customWidth="1"/>
    <col min="5377" max="5377" width="2.85546875" style="22" customWidth="1"/>
    <col min="5378" max="5378" width="3.5703125" style="22" customWidth="1"/>
    <col min="5379" max="5623" width="9.140625" style="22"/>
    <col min="5624" max="5624" width="8.7109375" style="22" customWidth="1"/>
    <col min="5625" max="5625" width="9.85546875" style="22" customWidth="1"/>
    <col min="5626" max="5626" width="14.42578125" style="22" customWidth="1"/>
    <col min="5627" max="5627" width="7.28515625" style="22" customWidth="1"/>
    <col min="5628" max="5628" width="5.5703125" style="22" customWidth="1"/>
    <col min="5629" max="5629" width="9" style="22" customWidth="1"/>
    <col min="5630" max="5631" width="9.85546875" style="22" customWidth="1"/>
    <col min="5632" max="5632" width="11.140625" style="22" customWidth="1"/>
    <col min="5633" max="5633" width="2.85546875" style="22" customWidth="1"/>
    <col min="5634" max="5634" width="3.5703125" style="22" customWidth="1"/>
    <col min="5635" max="5879" width="9.140625" style="22"/>
    <col min="5880" max="5880" width="8.7109375" style="22" customWidth="1"/>
    <col min="5881" max="5881" width="9.85546875" style="22" customWidth="1"/>
    <col min="5882" max="5882" width="14.42578125" style="22" customWidth="1"/>
    <col min="5883" max="5883" width="7.28515625" style="22" customWidth="1"/>
    <col min="5884" max="5884" width="5.5703125" style="22" customWidth="1"/>
    <col min="5885" max="5885" width="9" style="22" customWidth="1"/>
    <col min="5886" max="5887" width="9.85546875" style="22" customWidth="1"/>
    <col min="5888" max="5888" width="11.140625" style="22" customWidth="1"/>
    <col min="5889" max="5889" width="2.85546875" style="22" customWidth="1"/>
    <col min="5890" max="5890" width="3.5703125" style="22" customWidth="1"/>
    <col min="5891" max="6135" width="9.140625" style="22"/>
    <col min="6136" max="6136" width="8.7109375" style="22" customWidth="1"/>
    <col min="6137" max="6137" width="9.85546875" style="22" customWidth="1"/>
    <col min="6138" max="6138" width="14.42578125" style="22" customWidth="1"/>
    <col min="6139" max="6139" width="7.28515625" style="22" customWidth="1"/>
    <col min="6140" max="6140" width="5.5703125" style="22" customWidth="1"/>
    <col min="6141" max="6141" width="9" style="22" customWidth="1"/>
    <col min="6142" max="6143" width="9.85546875" style="22" customWidth="1"/>
    <col min="6144" max="6144" width="11.140625" style="22" customWidth="1"/>
    <col min="6145" max="6145" width="2.85546875" style="22" customWidth="1"/>
    <col min="6146" max="6146" width="3.5703125" style="22" customWidth="1"/>
    <col min="6147" max="6391" width="9.140625" style="22"/>
    <col min="6392" max="6392" width="8.7109375" style="22" customWidth="1"/>
    <col min="6393" max="6393" width="9.85546875" style="22" customWidth="1"/>
    <col min="6394" max="6394" width="14.42578125" style="22" customWidth="1"/>
    <col min="6395" max="6395" width="7.28515625" style="22" customWidth="1"/>
    <col min="6396" max="6396" width="5.5703125" style="22" customWidth="1"/>
    <col min="6397" max="6397" width="9" style="22" customWidth="1"/>
    <col min="6398" max="6399" width="9.85546875" style="22" customWidth="1"/>
    <col min="6400" max="6400" width="11.140625" style="22" customWidth="1"/>
    <col min="6401" max="6401" width="2.85546875" style="22" customWidth="1"/>
    <col min="6402" max="6402" width="3.5703125" style="22" customWidth="1"/>
    <col min="6403" max="6647" width="9.140625" style="22"/>
    <col min="6648" max="6648" width="8.7109375" style="22" customWidth="1"/>
    <col min="6649" max="6649" width="9.85546875" style="22" customWidth="1"/>
    <col min="6650" max="6650" width="14.42578125" style="22" customWidth="1"/>
    <col min="6651" max="6651" width="7.28515625" style="22" customWidth="1"/>
    <col min="6652" max="6652" width="5.5703125" style="22" customWidth="1"/>
    <col min="6653" max="6653" width="9" style="22" customWidth="1"/>
    <col min="6654" max="6655" width="9.85546875" style="22" customWidth="1"/>
    <col min="6656" max="6656" width="11.140625" style="22" customWidth="1"/>
    <col min="6657" max="6657" width="2.85546875" style="22" customWidth="1"/>
    <col min="6658" max="6658" width="3.5703125" style="22" customWidth="1"/>
    <col min="6659" max="6903" width="9.140625" style="22"/>
    <col min="6904" max="6904" width="8.7109375" style="22" customWidth="1"/>
    <col min="6905" max="6905" width="9.85546875" style="22" customWidth="1"/>
    <col min="6906" max="6906" width="14.42578125" style="22" customWidth="1"/>
    <col min="6907" max="6907" width="7.28515625" style="22" customWidth="1"/>
    <col min="6908" max="6908" width="5.5703125" style="22" customWidth="1"/>
    <col min="6909" max="6909" width="9" style="22" customWidth="1"/>
    <col min="6910" max="6911" width="9.85546875" style="22" customWidth="1"/>
    <col min="6912" max="6912" width="11.140625" style="22" customWidth="1"/>
    <col min="6913" max="6913" width="2.85546875" style="22" customWidth="1"/>
    <col min="6914" max="6914" width="3.5703125" style="22" customWidth="1"/>
    <col min="6915" max="7159" width="9.140625" style="22"/>
    <col min="7160" max="7160" width="8.7109375" style="22" customWidth="1"/>
    <col min="7161" max="7161" width="9.85546875" style="22" customWidth="1"/>
    <col min="7162" max="7162" width="14.42578125" style="22" customWidth="1"/>
    <col min="7163" max="7163" width="7.28515625" style="22" customWidth="1"/>
    <col min="7164" max="7164" width="5.5703125" style="22" customWidth="1"/>
    <col min="7165" max="7165" width="9" style="22" customWidth="1"/>
    <col min="7166" max="7167" width="9.85546875" style="22" customWidth="1"/>
    <col min="7168" max="7168" width="11.140625" style="22" customWidth="1"/>
    <col min="7169" max="7169" width="2.85546875" style="22" customWidth="1"/>
    <col min="7170" max="7170" width="3.5703125" style="22" customWidth="1"/>
    <col min="7171" max="7415" width="9.140625" style="22"/>
    <col min="7416" max="7416" width="8.7109375" style="22" customWidth="1"/>
    <col min="7417" max="7417" width="9.85546875" style="22" customWidth="1"/>
    <col min="7418" max="7418" width="14.42578125" style="22" customWidth="1"/>
    <col min="7419" max="7419" width="7.28515625" style="22" customWidth="1"/>
    <col min="7420" max="7420" width="5.5703125" style="22" customWidth="1"/>
    <col min="7421" max="7421" width="9" style="22" customWidth="1"/>
    <col min="7422" max="7423" width="9.85546875" style="22" customWidth="1"/>
    <col min="7424" max="7424" width="11.140625" style="22" customWidth="1"/>
    <col min="7425" max="7425" width="2.85546875" style="22" customWidth="1"/>
    <col min="7426" max="7426" width="3.5703125" style="22" customWidth="1"/>
    <col min="7427" max="7671" width="9.140625" style="22"/>
    <col min="7672" max="7672" width="8.7109375" style="22" customWidth="1"/>
    <col min="7673" max="7673" width="9.85546875" style="22" customWidth="1"/>
    <col min="7674" max="7674" width="14.42578125" style="22" customWidth="1"/>
    <col min="7675" max="7675" width="7.28515625" style="22" customWidth="1"/>
    <col min="7676" max="7676" width="5.5703125" style="22" customWidth="1"/>
    <col min="7677" max="7677" width="9" style="22" customWidth="1"/>
    <col min="7678" max="7679" width="9.85546875" style="22" customWidth="1"/>
    <col min="7680" max="7680" width="11.140625" style="22" customWidth="1"/>
    <col min="7681" max="7681" width="2.85546875" style="22" customWidth="1"/>
    <col min="7682" max="7682" width="3.5703125" style="22" customWidth="1"/>
    <col min="7683" max="7927" width="9.140625" style="22"/>
    <col min="7928" max="7928" width="8.7109375" style="22" customWidth="1"/>
    <col min="7929" max="7929" width="9.85546875" style="22" customWidth="1"/>
    <col min="7930" max="7930" width="14.42578125" style="22" customWidth="1"/>
    <col min="7931" max="7931" width="7.28515625" style="22" customWidth="1"/>
    <col min="7932" max="7932" width="5.5703125" style="22" customWidth="1"/>
    <col min="7933" max="7933" width="9" style="22" customWidth="1"/>
    <col min="7934" max="7935" width="9.85546875" style="22" customWidth="1"/>
    <col min="7936" max="7936" width="11.140625" style="22" customWidth="1"/>
    <col min="7937" max="7937" width="2.85546875" style="22" customWidth="1"/>
    <col min="7938" max="7938" width="3.5703125" style="22" customWidth="1"/>
    <col min="7939" max="8183" width="9.140625" style="22"/>
    <col min="8184" max="8184" width="8.7109375" style="22" customWidth="1"/>
    <col min="8185" max="8185" width="9.85546875" style="22" customWidth="1"/>
    <col min="8186" max="8186" width="14.42578125" style="22" customWidth="1"/>
    <col min="8187" max="8187" width="7.28515625" style="22" customWidth="1"/>
    <col min="8188" max="8188" width="5.5703125" style="22" customWidth="1"/>
    <col min="8189" max="8189" width="9" style="22" customWidth="1"/>
    <col min="8190" max="8191" width="9.85546875" style="22" customWidth="1"/>
    <col min="8192" max="8192" width="11.140625" style="22" customWidth="1"/>
    <col min="8193" max="8193" width="2.85546875" style="22" customWidth="1"/>
    <col min="8194" max="8194" width="3.5703125" style="22" customWidth="1"/>
    <col min="8195" max="8439" width="9.140625" style="22"/>
    <col min="8440" max="8440" width="8.7109375" style="22" customWidth="1"/>
    <col min="8441" max="8441" width="9.85546875" style="22" customWidth="1"/>
    <col min="8442" max="8442" width="14.42578125" style="22" customWidth="1"/>
    <col min="8443" max="8443" width="7.28515625" style="22" customWidth="1"/>
    <col min="8444" max="8444" width="5.5703125" style="22" customWidth="1"/>
    <col min="8445" max="8445" width="9" style="22" customWidth="1"/>
    <col min="8446" max="8447" width="9.85546875" style="22" customWidth="1"/>
    <col min="8448" max="8448" width="11.140625" style="22" customWidth="1"/>
    <col min="8449" max="8449" width="2.85546875" style="22" customWidth="1"/>
    <col min="8450" max="8450" width="3.5703125" style="22" customWidth="1"/>
    <col min="8451" max="8695" width="9.140625" style="22"/>
    <col min="8696" max="8696" width="8.7109375" style="22" customWidth="1"/>
    <col min="8697" max="8697" width="9.85546875" style="22" customWidth="1"/>
    <col min="8698" max="8698" width="14.42578125" style="22" customWidth="1"/>
    <col min="8699" max="8699" width="7.28515625" style="22" customWidth="1"/>
    <col min="8700" max="8700" width="5.5703125" style="22" customWidth="1"/>
    <col min="8701" max="8701" width="9" style="22" customWidth="1"/>
    <col min="8702" max="8703" width="9.85546875" style="22" customWidth="1"/>
    <col min="8704" max="8704" width="11.140625" style="22" customWidth="1"/>
    <col min="8705" max="8705" width="2.85546875" style="22" customWidth="1"/>
    <col min="8706" max="8706" width="3.5703125" style="22" customWidth="1"/>
    <col min="8707" max="8951" width="9.140625" style="22"/>
    <col min="8952" max="8952" width="8.7109375" style="22" customWidth="1"/>
    <col min="8953" max="8953" width="9.85546875" style="22" customWidth="1"/>
    <col min="8954" max="8954" width="14.42578125" style="22" customWidth="1"/>
    <col min="8955" max="8955" width="7.28515625" style="22" customWidth="1"/>
    <col min="8956" max="8956" width="5.5703125" style="22" customWidth="1"/>
    <col min="8957" max="8957" width="9" style="22" customWidth="1"/>
    <col min="8958" max="8959" width="9.85546875" style="22" customWidth="1"/>
    <col min="8960" max="8960" width="11.140625" style="22" customWidth="1"/>
    <col min="8961" max="8961" width="2.85546875" style="22" customWidth="1"/>
    <col min="8962" max="8962" width="3.5703125" style="22" customWidth="1"/>
    <col min="8963" max="9207" width="9.140625" style="22"/>
    <col min="9208" max="9208" width="8.7109375" style="22" customWidth="1"/>
    <col min="9209" max="9209" width="9.85546875" style="22" customWidth="1"/>
    <col min="9210" max="9210" width="14.42578125" style="22" customWidth="1"/>
    <col min="9211" max="9211" width="7.28515625" style="22" customWidth="1"/>
    <col min="9212" max="9212" width="5.5703125" style="22" customWidth="1"/>
    <col min="9213" max="9213" width="9" style="22" customWidth="1"/>
    <col min="9214" max="9215" width="9.85546875" style="22" customWidth="1"/>
    <col min="9216" max="9216" width="11.140625" style="22" customWidth="1"/>
    <col min="9217" max="9217" width="2.85546875" style="22" customWidth="1"/>
    <col min="9218" max="9218" width="3.5703125" style="22" customWidth="1"/>
    <col min="9219" max="9463" width="9.140625" style="22"/>
    <col min="9464" max="9464" width="8.7109375" style="22" customWidth="1"/>
    <col min="9465" max="9465" width="9.85546875" style="22" customWidth="1"/>
    <col min="9466" max="9466" width="14.42578125" style="22" customWidth="1"/>
    <col min="9467" max="9467" width="7.28515625" style="22" customWidth="1"/>
    <col min="9468" max="9468" width="5.5703125" style="22" customWidth="1"/>
    <col min="9469" max="9469" width="9" style="22" customWidth="1"/>
    <col min="9470" max="9471" width="9.85546875" style="22" customWidth="1"/>
    <col min="9472" max="9472" width="11.140625" style="22" customWidth="1"/>
    <col min="9473" max="9473" width="2.85546875" style="22" customWidth="1"/>
    <col min="9474" max="9474" width="3.5703125" style="22" customWidth="1"/>
    <col min="9475" max="9719" width="9.140625" style="22"/>
    <col min="9720" max="9720" width="8.7109375" style="22" customWidth="1"/>
    <col min="9721" max="9721" width="9.85546875" style="22" customWidth="1"/>
    <col min="9722" max="9722" width="14.42578125" style="22" customWidth="1"/>
    <col min="9723" max="9723" width="7.28515625" style="22" customWidth="1"/>
    <col min="9724" max="9724" width="5.5703125" style="22" customWidth="1"/>
    <col min="9725" max="9725" width="9" style="22" customWidth="1"/>
    <col min="9726" max="9727" width="9.85546875" style="22" customWidth="1"/>
    <col min="9728" max="9728" width="11.140625" style="22" customWidth="1"/>
    <col min="9729" max="9729" width="2.85546875" style="22" customWidth="1"/>
    <col min="9730" max="9730" width="3.5703125" style="22" customWidth="1"/>
    <col min="9731" max="9975" width="9.140625" style="22"/>
    <col min="9976" max="9976" width="8.7109375" style="22" customWidth="1"/>
    <col min="9977" max="9977" width="9.85546875" style="22" customWidth="1"/>
    <col min="9978" max="9978" width="14.42578125" style="22" customWidth="1"/>
    <col min="9979" max="9979" width="7.28515625" style="22" customWidth="1"/>
    <col min="9980" max="9980" width="5.5703125" style="22" customWidth="1"/>
    <col min="9981" max="9981" width="9" style="22" customWidth="1"/>
    <col min="9982" max="9983" width="9.85546875" style="22" customWidth="1"/>
    <col min="9984" max="9984" width="11.140625" style="22" customWidth="1"/>
    <col min="9985" max="9985" width="2.85546875" style="22" customWidth="1"/>
    <col min="9986" max="9986" width="3.5703125" style="22" customWidth="1"/>
    <col min="9987" max="10231" width="9.140625" style="22"/>
    <col min="10232" max="10232" width="8.7109375" style="22" customWidth="1"/>
    <col min="10233" max="10233" width="9.85546875" style="22" customWidth="1"/>
    <col min="10234" max="10234" width="14.42578125" style="22" customWidth="1"/>
    <col min="10235" max="10235" width="7.28515625" style="22" customWidth="1"/>
    <col min="10236" max="10236" width="5.5703125" style="22" customWidth="1"/>
    <col min="10237" max="10237" width="9" style="22" customWidth="1"/>
    <col min="10238" max="10239" width="9.85546875" style="22" customWidth="1"/>
    <col min="10240" max="10240" width="11.140625" style="22" customWidth="1"/>
    <col min="10241" max="10241" width="2.85546875" style="22" customWidth="1"/>
    <col min="10242" max="10242" width="3.5703125" style="22" customWidth="1"/>
    <col min="10243" max="10487" width="9.140625" style="22"/>
    <col min="10488" max="10488" width="8.7109375" style="22" customWidth="1"/>
    <col min="10489" max="10489" width="9.85546875" style="22" customWidth="1"/>
    <col min="10490" max="10490" width="14.42578125" style="22" customWidth="1"/>
    <col min="10491" max="10491" width="7.28515625" style="22" customWidth="1"/>
    <col min="10492" max="10492" width="5.5703125" style="22" customWidth="1"/>
    <col min="10493" max="10493" width="9" style="22" customWidth="1"/>
    <col min="10494" max="10495" width="9.85546875" style="22" customWidth="1"/>
    <col min="10496" max="10496" width="11.140625" style="22" customWidth="1"/>
    <col min="10497" max="10497" width="2.85546875" style="22" customWidth="1"/>
    <col min="10498" max="10498" width="3.5703125" style="22" customWidth="1"/>
    <col min="10499" max="10743" width="9.140625" style="22"/>
    <col min="10744" max="10744" width="8.7109375" style="22" customWidth="1"/>
    <col min="10745" max="10745" width="9.85546875" style="22" customWidth="1"/>
    <col min="10746" max="10746" width="14.42578125" style="22" customWidth="1"/>
    <col min="10747" max="10747" width="7.28515625" style="22" customWidth="1"/>
    <col min="10748" max="10748" width="5.5703125" style="22" customWidth="1"/>
    <col min="10749" max="10749" width="9" style="22" customWidth="1"/>
    <col min="10750" max="10751" width="9.85546875" style="22" customWidth="1"/>
    <col min="10752" max="10752" width="11.140625" style="22" customWidth="1"/>
    <col min="10753" max="10753" width="2.85546875" style="22" customWidth="1"/>
    <col min="10754" max="10754" width="3.5703125" style="22" customWidth="1"/>
    <col min="10755" max="10999" width="9.140625" style="22"/>
    <col min="11000" max="11000" width="8.7109375" style="22" customWidth="1"/>
    <col min="11001" max="11001" width="9.85546875" style="22" customWidth="1"/>
    <col min="11002" max="11002" width="14.42578125" style="22" customWidth="1"/>
    <col min="11003" max="11003" width="7.28515625" style="22" customWidth="1"/>
    <col min="11004" max="11004" width="5.5703125" style="22" customWidth="1"/>
    <col min="11005" max="11005" width="9" style="22" customWidth="1"/>
    <col min="11006" max="11007" width="9.85546875" style="22" customWidth="1"/>
    <col min="11008" max="11008" width="11.140625" style="22" customWidth="1"/>
    <col min="11009" max="11009" width="2.85546875" style="22" customWidth="1"/>
    <col min="11010" max="11010" width="3.5703125" style="22" customWidth="1"/>
    <col min="11011" max="11255" width="9.140625" style="22"/>
    <col min="11256" max="11256" width="8.7109375" style="22" customWidth="1"/>
    <col min="11257" max="11257" width="9.85546875" style="22" customWidth="1"/>
    <col min="11258" max="11258" width="14.42578125" style="22" customWidth="1"/>
    <col min="11259" max="11259" width="7.28515625" style="22" customWidth="1"/>
    <col min="11260" max="11260" width="5.5703125" style="22" customWidth="1"/>
    <col min="11261" max="11261" width="9" style="22" customWidth="1"/>
    <col min="11262" max="11263" width="9.85546875" style="22" customWidth="1"/>
    <col min="11264" max="11264" width="11.140625" style="22" customWidth="1"/>
    <col min="11265" max="11265" width="2.85546875" style="22" customWidth="1"/>
    <col min="11266" max="11266" width="3.5703125" style="22" customWidth="1"/>
    <col min="11267" max="11511" width="9.140625" style="22"/>
    <col min="11512" max="11512" width="8.7109375" style="22" customWidth="1"/>
    <col min="11513" max="11513" width="9.85546875" style="22" customWidth="1"/>
    <col min="11514" max="11514" width="14.42578125" style="22" customWidth="1"/>
    <col min="11515" max="11515" width="7.28515625" style="22" customWidth="1"/>
    <col min="11516" max="11516" width="5.5703125" style="22" customWidth="1"/>
    <col min="11517" max="11517" width="9" style="22" customWidth="1"/>
    <col min="11518" max="11519" width="9.85546875" style="22" customWidth="1"/>
    <col min="11520" max="11520" width="11.140625" style="22" customWidth="1"/>
    <col min="11521" max="11521" width="2.85546875" style="22" customWidth="1"/>
    <col min="11522" max="11522" width="3.5703125" style="22" customWidth="1"/>
    <col min="11523" max="11767" width="9.140625" style="22"/>
    <col min="11768" max="11768" width="8.7109375" style="22" customWidth="1"/>
    <col min="11769" max="11769" width="9.85546875" style="22" customWidth="1"/>
    <col min="11770" max="11770" width="14.42578125" style="22" customWidth="1"/>
    <col min="11771" max="11771" width="7.28515625" style="22" customWidth="1"/>
    <col min="11772" max="11772" width="5.5703125" style="22" customWidth="1"/>
    <col min="11773" max="11773" width="9" style="22" customWidth="1"/>
    <col min="11774" max="11775" width="9.85546875" style="22" customWidth="1"/>
    <col min="11776" max="11776" width="11.140625" style="22" customWidth="1"/>
    <col min="11777" max="11777" width="2.85546875" style="22" customWidth="1"/>
    <col min="11778" max="11778" width="3.5703125" style="22" customWidth="1"/>
    <col min="11779" max="12023" width="9.140625" style="22"/>
    <col min="12024" max="12024" width="8.7109375" style="22" customWidth="1"/>
    <col min="12025" max="12025" width="9.85546875" style="22" customWidth="1"/>
    <col min="12026" max="12026" width="14.42578125" style="22" customWidth="1"/>
    <col min="12027" max="12027" width="7.28515625" style="22" customWidth="1"/>
    <col min="12028" max="12028" width="5.5703125" style="22" customWidth="1"/>
    <col min="12029" max="12029" width="9" style="22" customWidth="1"/>
    <col min="12030" max="12031" width="9.85546875" style="22" customWidth="1"/>
    <col min="12032" max="12032" width="11.140625" style="22" customWidth="1"/>
    <col min="12033" max="12033" width="2.85546875" style="22" customWidth="1"/>
    <col min="12034" max="12034" width="3.5703125" style="22" customWidth="1"/>
    <col min="12035" max="12279" width="9.140625" style="22"/>
    <col min="12280" max="12280" width="8.7109375" style="22" customWidth="1"/>
    <col min="12281" max="12281" width="9.85546875" style="22" customWidth="1"/>
    <col min="12282" max="12282" width="14.42578125" style="22" customWidth="1"/>
    <col min="12283" max="12283" width="7.28515625" style="22" customWidth="1"/>
    <col min="12284" max="12284" width="5.5703125" style="22" customWidth="1"/>
    <col min="12285" max="12285" width="9" style="22" customWidth="1"/>
    <col min="12286" max="12287" width="9.85546875" style="22" customWidth="1"/>
    <col min="12288" max="12288" width="11.140625" style="22" customWidth="1"/>
    <col min="12289" max="12289" width="2.85546875" style="22" customWidth="1"/>
    <col min="12290" max="12290" width="3.5703125" style="22" customWidth="1"/>
    <col min="12291" max="12535" width="9.140625" style="22"/>
    <col min="12536" max="12536" width="8.7109375" style="22" customWidth="1"/>
    <col min="12537" max="12537" width="9.85546875" style="22" customWidth="1"/>
    <col min="12538" max="12538" width="14.42578125" style="22" customWidth="1"/>
    <col min="12539" max="12539" width="7.28515625" style="22" customWidth="1"/>
    <col min="12540" max="12540" width="5.5703125" style="22" customWidth="1"/>
    <col min="12541" max="12541" width="9" style="22" customWidth="1"/>
    <col min="12542" max="12543" width="9.85546875" style="22" customWidth="1"/>
    <col min="12544" max="12544" width="11.140625" style="22" customWidth="1"/>
    <col min="12545" max="12545" width="2.85546875" style="22" customWidth="1"/>
    <col min="12546" max="12546" width="3.5703125" style="22" customWidth="1"/>
    <col min="12547" max="12791" width="9.140625" style="22"/>
    <col min="12792" max="12792" width="8.7109375" style="22" customWidth="1"/>
    <col min="12793" max="12793" width="9.85546875" style="22" customWidth="1"/>
    <col min="12794" max="12794" width="14.42578125" style="22" customWidth="1"/>
    <col min="12795" max="12795" width="7.28515625" style="22" customWidth="1"/>
    <col min="12796" max="12796" width="5.5703125" style="22" customWidth="1"/>
    <col min="12797" max="12797" width="9" style="22" customWidth="1"/>
    <col min="12798" max="12799" width="9.85546875" style="22" customWidth="1"/>
    <col min="12800" max="12800" width="11.140625" style="22" customWidth="1"/>
    <col min="12801" max="12801" width="2.85546875" style="22" customWidth="1"/>
    <col min="12802" max="12802" width="3.5703125" style="22" customWidth="1"/>
    <col min="12803" max="13047" width="9.140625" style="22"/>
    <col min="13048" max="13048" width="8.7109375" style="22" customWidth="1"/>
    <col min="13049" max="13049" width="9.85546875" style="22" customWidth="1"/>
    <col min="13050" max="13050" width="14.42578125" style="22" customWidth="1"/>
    <col min="13051" max="13051" width="7.28515625" style="22" customWidth="1"/>
    <col min="13052" max="13052" width="5.5703125" style="22" customWidth="1"/>
    <col min="13053" max="13053" width="9" style="22" customWidth="1"/>
    <col min="13054" max="13055" width="9.85546875" style="22" customWidth="1"/>
    <col min="13056" max="13056" width="11.140625" style="22" customWidth="1"/>
    <col min="13057" max="13057" width="2.85546875" style="22" customWidth="1"/>
    <col min="13058" max="13058" width="3.5703125" style="22" customWidth="1"/>
    <col min="13059" max="13303" width="9.140625" style="22"/>
    <col min="13304" max="13304" width="8.7109375" style="22" customWidth="1"/>
    <col min="13305" max="13305" width="9.85546875" style="22" customWidth="1"/>
    <col min="13306" max="13306" width="14.42578125" style="22" customWidth="1"/>
    <col min="13307" max="13307" width="7.28515625" style="22" customWidth="1"/>
    <col min="13308" max="13308" width="5.5703125" style="22" customWidth="1"/>
    <col min="13309" max="13309" width="9" style="22" customWidth="1"/>
    <col min="13310" max="13311" width="9.85546875" style="22" customWidth="1"/>
    <col min="13312" max="13312" width="11.140625" style="22" customWidth="1"/>
    <col min="13313" max="13313" width="2.85546875" style="22" customWidth="1"/>
    <col min="13314" max="13314" width="3.5703125" style="22" customWidth="1"/>
    <col min="13315" max="13559" width="9.140625" style="22"/>
    <col min="13560" max="13560" width="8.7109375" style="22" customWidth="1"/>
    <col min="13561" max="13561" width="9.85546875" style="22" customWidth="1"/>
    <col min="13562" max="13562" width="14.42578125" style="22" customWidth="1"/>
    <col min="13563" max="13563" width="7.28515625" style="22" customWidth="1"/>
    <col min="13564" max="13564" width="5.5703125" style="22" customWidth="1"/>
    <col min="13565" max="13565" width="9" style="22" customWidth="1"/>
    <col min="13566" max="13567" width="9.85546875" style="22" customWidth="1"/>
    <col min="13568" max="13568" width="11.140625" style="22" customWidth="1"/>
    <col min="13569" max="13569" width="2.85546875" style="22" customWidth="1"/>
    <col min="13570" max="13570" width="3.5703125" style="22" customWidth="1"/>
    <col min="13571" max="13815" width="9.140625" style="22"/>
    <col min="13816" max="13816" width="8.7109375" style="22" customWidth="1"/>
    <col min="13817" max="13817" width="9.85546875" style="22" customWidth="1"/>
    <col min="13818" max="13818" width="14.42578125" style="22" customWidth="1"/>
    <col min="13819" max="13819" width="7.28515625" style="22" customWidth="1"/>
    <col min="13820" max="13820" width="5.5703125" style="22" customWidth="1"/>
    <col min="13821" max="13821" width="9" style="22" customWidth="1"/>
    <col min="13822" max="13823" width="9.85546875" style="22" customWidth="1"/>
    <col min="13824" max="13824" width="11.140625" style="22" customWidth="1"/>
    <col min="13825" max="13825" width="2.85546875" style="22" customWidth="1"/>
    <col min="13826" max="13826" width="3.5703125" style="22" customWidth="1"/>
    <col min="13827" max="14071" width="9.140625" style="22"/>
    <col min="14072" max="14072" width="8.7109375" style="22" customWidth="1"/>
    <col min="14073" max="14073" width="9.85546875" style="22" customWidth="1"/>
    <col min="14074" max="14074" width="14.42578125" style="22" customWidth="1"/>
    <col min="14075" max="14075" width="7.28515625" style="22" customWidth="1"/>
    <col min="14076" max="14076" width="5.5703125" style="22" customWidth="1"/>
    <col min="14077" max="14077" width="9" style="22" customWidth="1"/>
    <col min="14078" max="14079" width="9.85546875" style="22" customWidth="1"/>
    <col min="14080" max="14080" width="11.140625" style="22" customWidth="1"/>
    <col min="14081" max="14081" width="2.85546875" style="22" customWidth="1"/>
    <col min="14082" max="14082" width="3.5703125" style="22" customWidth="1"/>
    <col min="14083" max="14327" width="9.140625" style="22"/>
    <col min="14328" max="14328" width="8.7109375" style="22" customWidth="1"/>
    <col min="14329" max="14329" width="9.85546875" style="22" customWidth="1"/>
    <col min="14330" max="14330" width="14.42578125" style="22" customWidth="1"/>
    <col min="14331" max="14331" width="7.28515625" style="22" customWidth="1"/>
    <col min="14332" max="14332" width="5.5703125" style="22" customWidth="1"/>
    <col min="14333" max="14333" width="9" style="22" customWidth="1"/>
    <col min="14334" max="14335" width="9.85546875" style="22" customWidth="1"/>
    <col min="14336" max="14336" width="11.140625" style="22" customWidth="1"/>
    <col min="14337" max="14337" width="2.85546875" style="22" customWidth="1"/>
    <col min="14338" max="14338" width="3.5703125" style="22" customWidth="1"/>
    <col min="14339" max="14583" width="9.140625" style="22"/>
    <col min="14584" max="14584" width="8.7109375" style="22" customWidth="1"/>
    <col min="14585" max="14585" width="9.85546875" style="22" customWidth="1"/>
    <col min="14586" max="14586" width="14.42578125" style="22" customWidth="1"/>
    <col min="14587" max="14587" width="7.28515625" style="22" customWidth="1"/>
    <col min="14588" max="14588" width="5.5703125" style="22" customWidth="1"/>
    <col min="14589" max="14589" width="9" style="22" customWidth="1"/>
    <col min="14590" max="14591" width="9.85546875" style="22" customWidth="1"/>
    <col min="14592" max="14592" width="11.140625" style="22" customWidth="1"/>
    <col min="14593" max="14593" width="2.85546875" style="22" customWidth="1"/>
    <col min="14594" max="14594" width="3.5703125" style="22" customWidth="1"/>
    <col min="14595" max="14839" width="9.140625" style="22"/>
    <col min="14840" max="14840" width="8.7109375" style="22" customWidth="1"/>
    <col min="14841" max="14841" width="9.85546875" style="22" customWidth="1"/>
    <col min="14842" max="14842" width="14.42578125" style="22" customWidth="1"/>
    <col min="14843" max="14843" width="7.28515625" style="22" customWidth="1"/>
    <col min="14844" max="14844" width="5.5703125" style="22" customWidth="1"/>
    <col min="14845" max="14845" width="9" style="22" customWidth="1"/>
    <col min="14846" max="14847" width="9.85546875" style="22" customWidth="1"/>
    <col min="14848" max="14848" width="11.140625" style="22" customWidth="1"/>
    <col min="14849" max="14849" width="2.85546875" style="22" customWidth="1"/>
    <col min="14850" max="14850" width="3.5703125" style="22" customWidth="1"/>
    <col min="14851" max="15095" width="9.140625" style="22"/>
    <col min="15096" max="15096" width="8.7109375" style="22" customWidth="1"/>
    <col min="15097" max="15097" width="9.85546875" style="22" customWidth="1"/>
    <col min="15098" max="15098" width="14.42578125" style="22" customWidth="1"/>
    <col min="15099" max="15099" width="7.28515625" style="22" customWidth="1"/>
    <col min="15100" max="15100" width="5.5703125" style="22" customWidth="1"/>
    <col min="15101" max="15101" width="9" style="22" customWidth="1"/>
    <col min="15102" max="15103" width="9.85546875" style="22" customWidth="1"/>
    <col min="15104" max="15104" width="11.140625" style="22" customWidth="1"/>
    <col min="15105" max="15105" width="2.85546875" style="22" customWidth="1"/>
    <col min="15106" max="15106" width="3.5703125" style="22" customWidth="1"/>
    <col min="15107" max="15351" width="9.140625" style="22"/>
    <col min="15352" max="15352" width="8.7109375" style="22" customWidth="1"/>
    <col min="15353" max="15353" width="9.85546875" style="22" customWidth="1"/>
    <col min="15354" max="15354" width="14.42578125" style="22" customWidth="1"/>
    <col min="15355" max="15355" width="7.28515625" style="22" customWidth="1"/>
    <col min="15356" max="15356" width="5.5703125" style="22" customWidth="1"/>
    <col min="15357" max="15357" width="9" style="22" customWidth="1"/>
    <col min="15358" max="15359" width="9.85546875" style="22" customWidth="1"/>
    <col min="15360" max="15360" width="11.140625" style="22" customWidth="1"/>
    <col min="15361" max="15361" width="2.85546875" style="22" customWidth="1"/>
    <col min="15362" max="15362" width="3.5703125" style="22" customWidth="1"/>
    <col min="15363" max="15607" width="9.140625" style="22"/>
    <col min="15608" max="15608" width="8.7109375" style="22" customWidth="1"/>
    <col min="15609" max="15609" width="9.85546875" style="22" customWidth="1"/>
    <col min="15610" max="15610" width="14.42578125" style="22" customWidth="1"/>
    <col min="15611" max="15611" width="7.28515625" style="22" customWidth="1"/>
    <col min="15612" max="15612" width="5.5703125" style="22" customWidth="1"/>
    <col min="15613" max="15613" width="9" style="22" customWidth="1"/>
    <col min="15614" max="15615" width="9.85546875" style="22" customWidth="1"/>
    <col min="15616" max="15616" width="11.140625" style="22" customWidth="1"/>
    <col min="15617" max="15617" width="2.85546875" style="22" customWidth="1"/>
    <col min="15618" max="15618" width="3.5703125" style="22" customWidth="1"/>
    <col min="15619" max="15863" width="9.140625" style="22"/>
    <col min="15864" max="15864" width="8.7109375" style="22" customWidth="1"/>
    <col min="15865" max="15865" width="9.85546875" style="22" customWidth="1"/>
    <col min="15866" max="15866" width="14.42578125" style="22" customWidth="1"/>
    <col min="15867" max="15867" width="7.28515625" style="22" customWidth="1"/>
    <col min="15868" max="15868" width="5.5703125" style="22" customWidth="1"/>
    <col min="15869" max="15869" width="9" style="22" customWidth="1"/>
    <col min="15870" max="15871" width="9.85546875" style="22" customWidth="1"/>
    <col min="15872" max="15872" width="11.140625" style="22" customWidth="1"/>
    <col min="15873" max="15873" width="2.85546875" style="22" customWidth="1"/>
    <col min="15874" max="15874" width="3.5703125" style="22" customWidth="1"/>
    <col min="15875" max="16119" width="9.140625" style="22"/>
    <col min="16120" max="16120" width="8.7109375" style="22" customWidth="1"/>
    <col min="16121" max="16121" width="9.85546875" style="22" customWidth="1"/>
    <col min="16122" max="16122" width="14.42578125" style="22" customWidth="1"/>
    <col min="16123" max="16123" width="7.28515625" style="22" customWidth="1"/>
    <col min="16124" max="16124" width="5.5703125" style="22" customWidth="1"/>
    <col min="16125" max="16125" width="9" style="22" customWidth="1"/>
    <col min="16126" max="16127" width="9.85546875" style="22" customWidth="1"/>
    <col min="16128" max="16128" width="11.140625" style="22" customWidth="1"/>
    <col min="16129" max="16129" width="2.85546875" style="22" customWidth="1"/>
    <col min="16130" max="16130" width="3.5703125" style="22" customWidth="1"/>
    <col min="16131" max="16384" width="9.140625" style="22"/>
  </cols>
  <sheetData>
    <row r="1" spans="1:12" ht="46.5" customHeight="1">
      <c r="A1" s="188" t="s">
        <v>0</v>
      </c>
      <c r="B1" s="188"/>
      <c r="C1" s="188"/>
      <c r="D1" s="188"/>
      <c r="E1" s="188"/>
      <c r="F1" s="188"/>
      <c r="G1" s="188"/>
      <c r="H1" s="188"/>
    </row>
    <row r="2" spans="1:12" ht="16.5" customHeight="1">
      <c r="A2" s="189" t="s">
        <v>1</v>
      </c>
      <c r="B2" s="189"/>
      <c r="C2" s="189"/>
      <c r="D2" s="189"/>
      <c r="E2" s="189"/>
      <c r="F2" s="189"/>
      <c r="G2" s="189"/>
      <c r="H2" s="189"/>
    </row>
    <row r="3" spans="1:12">
      <c r="A3" s="117" t="s">
        <v>2</v>
      </c>
      <c r="B3" s="117"/>
      <c r="C3" s="117"/>
      <c r="D3" s="117"/>
      <c r="E3" s="190" t="str">
        <f ca="1">TEXT(TODAY(),"DD/MM/YYYY")</f>
        <v>25/08/2025</v>
      </c>
      <c r="F3" s="190"/>
      <c r="G3" s="190"/>
      <c r="H3" s="190"/>
    </row>
    <row r="4" spans="1:12" ht="15" customHeight="1">
      <c r="A4" s="117" t="s">
        <v>3</v>
      </c>
      <c r="B4" s="117"/>
      <c r="C4" s="117"/>
      <c r="D4" s="117"/>
      <c r="E4" s="191" t="s">
        <v>4</v>
      </c>
      <c r="F4" s="191"/>
      <c r="G4" s="191"/>
      <c r="H4" s="191"/>
    </row>
    <row r="5" spans="1:12">
      <c r="A5" s="117" t="s">
        <v>5</v>
      </c>
      <c r="B5" s="117"/>
      <c r="C5" s="117"/>
      <c r="D5" s="117"/>
      <c r="E5" s="192">
        <v>45892</v>
      </c>
      <c r="F5" s="192"/>
      <c r="G5" s="192"/>
      <c r="H5" s="192"/>
    </row>
    <row r="6" spans="1:12" ht="16.5" customHeight="1">
      <c r="A6" s="117" t="s">
        <v>6</v>
      </c>
      <c r="B6" s="117"/>
      <c r="C6" s="117"/>
      <c r="D6" s="117"/>
      <c r="E6" s="91" t="s">
        <v>7</v>
      </c>
      <c r="F6" s="91"/>
      <c r="G6" s="91"/>
      <c r="H6" s="91"/>
    </row>
    <row r="7" spans="1:12" ht="15" customHeight="1">
      <c r="A7" s="117" t="s">
        <v>8</v>
      </c>
      <c r="B7" s="117"/>
      <c r="C7" s="117"/>
      <c r="D7" s="117"/>
      <c r="E7" s="91" t="str">
        <f>E6</f>
        <v>M/s. Runwal Apartments Private Limited</v>
      </c>
      <c r="F7" s="91"/>
      <c r="G7" s="91"/>
      <c r="H7" s="91"/>
    </row>
    <row r="8" spans="1:12">
      <c r="A8" s="117" t="s">
        <v>9</v>
      </c>
      <c r="B8" s="117"/>
      <c r="C8" s="117"/>
      <c r="D8" s="117"/>
      <c r="E8" s="167" t="s">
        <v>10</v>
      </c>
      <c r="F8" s="167"/>
      <c r="G8" s="167"/>
      <c r="H8" s="167"/>
    </row>
    <row r="9" spans="1:12">
      <c r="A9" s="117" t="s">
        <v>11</v>
      </c>
      <c r="B9" s="117"/>
      <c r="C9" s="117"/>
      <c r="D9" s="117"/>
      <c r="E9" s="117" t="s">
        <v>12</v>
      </c>
      <c r="F9" s="117"/>
      <c r="G9" s="117"/>
      <c r="H9" s="117"/>
    </row>
    <row r="10" spans="1:12">
      <c r="A10" s="117" t="s">
        <v>13</v>
      </c>
      <c r="B10" s="117"/>
      <c r="C10" s="117"/>
      <c r="D10" s="117"/>
      <c r="E10" s="68" t="s">
        <v>288</v>
      </c>
      <c r="F10" s="68"/>
      <c r="G10" s="68"/>
      <c r="H10" s="68"/>
      <c r="I10" s="68" t="s">
        <v>14</v>
      </c>
      <c r="J10" s="68"/>
      <c r="K10" s="68"/>
      <c r="L10" s="68"/>
    </row>
    <row r="11" spans="1:12">
      <c r="A11" s="86" t="s">
        <v>15</v>
      </c>
      <c r="B11" s="86"/>
      <c r="C11" s="86"/>
      <c r="D11" s="86"/>
      <c r="E11" s="86" t="s">
        <v>16</v>
      </c>
      <c r="F11" s="86"/>
      <c r="G11" s="86"/>
      <c r="H11" s="86"/>
    </row>
    <row r="12" spans="1:12" ht="15" customHeight="1">
      <c r="A12" s="117" t="s">
        <v>17</v>
      </c>
      <c r="B12" s="117"/>
      <c r="C12" s="117"/>
      <c r="D12" s="117"/>
      <c r="E12" s="81" t="s">
        <v>18</v>
      </c>
      <c r="F12" s="81"/>
      <c r="G12" s="81"/>
      <c r="H12" s="81"/>
    </row>
    <row r="13" spans="1:12">
      <c r="A13" s="117" t="s">
        <v>19</v>
      </c>
      <c r="B13" s="117"/>
      <c r="C13" s="117"/>
      <c r="D13" s="117"/>
      <c r="E13" s="186" t="s">
        <v>20</v>
      </c>
      <c r="F13" s="68"/>
      <c r="G13" s="68"/>
      <c r="H13" s="68"/>
    </row>
    <row r="14" spans="1:12" ht="31.5" customHeight="1">
      <c r="A14" s="91" t="s">
        <v>21</v>
      </c>
      <c r="B14" s="91"/>
      <c r="C14" s="168" t="str">
        <f>CONCATENATE((IF(OR(E8="",E8="NA"),"",E8)),", ",(IF(OR(A15="",A15="NA"),"",A15)),".",(IF(OR(C15="",C15="NA"),"",C15)),", near ",(IF(OR(C19="",C19="NA"),"",C19)),", ",(IF(OR(C16="",C16="NA"),"",C16)),", ",(IF(OR(G16="",G16="NA"),"",G16)),", ",(IF(OR(C17="",C17="NA"),"",C17)),", ",(IF(OR(C18="",C18="NA"),"",C18)),", ",(IF(OR(G17="",G17="NA"),"",G17))," - ",(IF(OR(G18="",G18="NA"),"",G18)),".")</f>
        <v>Runwal Pinnacle, CTS No.681/A/7, 681/A/8 &amp; 681/A/9, near Fortis Hospital, Goregaon Link Road, Nahur, Nahur West, Kurla, Mumbai - 400080.</v>
      </c>
      <c r="D14" s="187"/>
      <c r="E14" s="187"/>
      <c r="F14" s="187"/>
      <c r="G14" s="187"/>
      <c r="H14" s="169"/>
    </row>
    <row r="15" spans="1:12">
      <c r="A15" s="186" t="s">
        <v>22</v>
      </c>
      <c r="B15" s="186"/>
      <c r="C15" s="81" t="s">
        <v>23</v>
      </c>
      <c r="D15" s="81"/>
      <c r="E15" s="81"/>
      <c r="F15" s="81"/>
      <c r="G15" s="81"/>
      <c r="H15" s="81"/>
    </row>
    <row r="16" spans="1:12" ht="15.75" customHeight="1">
      <c r="A16" s="91" t="s">
        <v>24</v>
      </c>
      <c r="B16" s="91"/>
      <c r="C16" s="86" t="s">
        <v>25</v>
      </c>
      <c r="D16" s="86"/>
      <c r="E16" s="91" t="s">
        <v>26</v>
      </c>
      <c r="F16" s="91"/>
      <c r="G16" s="81" t="s">
        <v>27</v>
      </c>
      <c r="H16" s="81"/>
    </row>
    <row r="17" spans="1:8">
      <c r="A17" s="117" t="s">
        <v>28</v>
      </c>
      <c r="B17" s="117"/>
      <c r="C17" s="81" t="s">
        <v>29</v>
      </c>
      <c r="D17" s="81"/>
      <c r="E17" s="91" t="s">
        <v>30</v>
      </c>
      <c r="F17" s="91"/>
      <c r="G17" s="185" t="s">
        <v>31</v>
      </c>
      <c r="H17" s="185"/>
    </row>
    <row r="18" spans="1:8">
      <c r="A18" s="117" t="s">
        <v>32</v>
      </c>
      <c r="B18" s="117"/>
      <c r="C18" s="81" t="s">
        <v>33</v>
      </c>
      <c r="D18" s="81"/>
      <c r="E18" s="91" t="s">
        <v>34</v>
      </c>
      <c r="F18" s="91"/>
      <c r="G18" s="81">
        <v>400080</v>
      </c>
      <c r="H18" s="81"/>
    </row>
    <row r="19" spans="1:8" ht="32.25" customHeight="1">
      <c r="A19" s="117" t="s">
        <v>35</v>
      </c>
      <c r="B19" s="117"/>
      <c r="C19" s="91" t="s">
        <v>36</v>
      </c>
      <c r="D19" s="91"/>
      <c r="E19" s="91" t="s">
        <v>37</v>
      </c>
      <c r="F19" s="91"/>
      <c r="G19" s="186" t="s">
        <v>289</v>
      </c>
      <c r="H19" s="186"/>
    </row>
    <row r="20" spans="1:8" ht="15" customHeight="1">
      <c r="A20" s="91" t="s">
        <v>38</v>
      </c>
      <c r="B20" s="91"/>
      <c r="C20" s="91"/>
      <c r="D20" s="91"/>
      <c r="E20" s="86" t="s">
        <v>39</v>
      </c>
      <c r="F20" s="86"/>
      <c r="G20" s="86"/>
      <c r="H20" s="86"/>
    </row>
    <row r="21" spans="1:8" ht="18.75" customHeight="1">
      <c r="A21" s="91"/>
      <c r="B21" s="91"/>
      <c r="C21" s="91"/>
      <c r="D21" s="91"/>
      <c r="E21" s="86"/>
      <c r="F21" s="86"/>
      <c r="G21" s="86"/>
      <c r="H21" s="86"/>
    </row>
    <row r="22" spans="1:8" ht="15" customHeight="1">
      <c r="A22" s="91" t="s">
        <v>40</v>
      </c>
      <c r="B22" s="91"/>
      <c r="C22" s="91"/>
      <c r="D22" s="91"/>
      <c r="E22" s="81" t="s">
        <v>41</v>
      </c>
      <c r="F22" s="81"/>
      <c r="G22" s="81"/>
      <c r="H22" s="81"/>
    </row>
    <row r="23" spans="1:8" ht="15" customHeight="1">
      <c r="A23" s="117" t="s">
        <v>42</v>
      </c>
      <c r="B23" s="117"/>
      <c r="C23" s="117"/>
      <c r="D23" s="117"/>
      <c r="E23" s="81" t="str">
        <f>IF(AND(G17="Mumbai"),"Upper Class","Middle Class")</f>
        <v>Upper Class</v>
      </c>
      <c r="F23" s="81"/>
      <c r="G23" s="81"/>
      <c r="H23" s="81"/>
    </row>
    <row r="24" spans="1:8">
      <c r="A24" s="117" t="s">
        <v>43</v>
      </c>
      <c r="B24" s="117"/>
      <c r="C24" s="117"/>
      <c r="D24" s="117"/>
      <c r="E24" s="81" t="s">
        <v>44</v>
      </c>
      <c r="F24" s="81"/>
      <c r="G24" s="81"/>
      <c r="H24" s="81"/>
    </row>
    <row r="25" spans="1:8" ht="15.75" customHeight="1">
      <c r="A25" s="117" t="s">
        <v>45</v>
      </c>
      <c r="B25" s="117"/>
      <c r="C25" s="117"/>
      <c r="D25" s="117"/>
      <c r="E25" s="81" t="str">
        <f>IF(AND(G17="Mumbai"),"Developed","Developing")</f>
        <v>Developed</v>
      </c>
      <c r="F25" s="81"/>
      <c r="G25" s="81"/>
      <c r="H25" s="81"/>
    </row>
    <row r="26" spans="1:8">
      <c r="A26" s="117" t="s">
        <v>46</v>
      </c>
      <c r="B26" s="117"/>
      <c r="C26" s="117"/>
      <c r="D26" s="117"/>
      <c r="E26" s="81" t="s">
        <v>47</v>
      </c>
      <c r="F26" s="81"/>
      <c r="G26" s="81"/>
      <c r="H26" s="81"/>
    </row>
    <row r="27" spans="1:8">
      <c r="A27" s="117" t="s">
        <v>48</v>
      </c>
      <c r="B27" s="117"/>
      <c r="C27" s="117"/>
      <c r="D27" s="117"/>
      <c r="E27" s="81" t="s">
        <v>49</v>
      </c>
      <c r="F27" s="81"/>
      <c r="G27" s="81"/>
      <c r="H27" s="81"/>
    </row>
    <row r="28" spans="1:8" ht="15" customHeight="1">
      <c r="A28" s="91" t="s">
        <v>50</v>
      </c>
      <c r="B28" s="91"/>
      <c r="C28" s="91"/>
      <c r="D28" s="91"/>
      <c r="E28" s="183" t="s">
        <v>51</v>
      </c>
      <c r="F28" s="183"/>
      <c r="G28" s="183"/>
      <c r="H28" s="183"/>
    </row>
    <row r="29" spans="1:8">
      <c r="A29" s="91" t="s">
        <v>52</v>
      </c>
      <c r="B29" s="91"/>
      <c r="C29" s="91"/>
      <c r="D29" s="91"/>
      <c r="E29" s="91" t="s">
        <v>53</v>
      </c>
      <c r="F29" s="91"/>
      <c r="G29" s="91"/>
      <c r="H29" s="91"/>
    </row>
    <row r="30" spans="1:8" s="13" customFormat="1">
      <c r="A30" s="184" t="s">
        <v>54</v>
      </c>
      <c r="B30" s="184"/>
      <c r="C30" s="128" t="s">
        <v>55</v>
      </c>
      <c r="D30" s="128"/>
      <c r="E30" s="128"/>
      <c r="F30" s="128" t="s">
        <v>56</v>
      </c>
      <c r="G30" s="128"/>
      <c r="H30" s="128"/>
    </row>
    <row r="31" spans="1:8" s="13" customFormat="1">
      <c r="A31" s="175" t="s">
        <v>57</v>
      </c>
      <c r="B31" s="175" t="s">
        <v>58</v>
      </c>
      <c r="C31" s="176" t="s">
        <v>59</v>
      </c>
      <c r="D31" s="176"/>
      <c r="E31" s="176"/>
      <c r="F31" s="176" t="s">
        <v>36</v>
      </c>
      <c r="G31" s="176"/>
      <c r="H31" s="176"/>
    </row>
    <row r="32" spans="1:8">
      <c r="A32" s="175" t="s">
        <v>60</v>
      </c>
      <c r="B32" s="175" t="s">
        <v>58</v>
      </c>
      <c r="C32" s="176" t="s">
        <v>61</v>
      </c>
      <c r="D32" s="176"/>
      <c r="E32" s="176"/>
      <c r="F32" s="176" t="s">
        <v>62</v>
      </c>
      <c r="G32" s="176"/>
      <c r="H32" s="176"/>
    </row>
    <row r="33" spans="1:13" s="13" customFormat="1">
      <c r="A33" s="175" t="s">
        <v>63</v>
      </c>
      <c r="B33" s="175" t="s">
        <v>58</v>
      </c>
      <c r="C33" s="176" t="s">
        <v>64</v>
      </c>
      <c r="D33" s="176"/>
      <c r="E33" s="176"/>
      <c r="F33" s="176" t="s">
        <v>65</v>
      </c>
      <c r="G33" s="176"/>
      <c r="H33" s="176"/>
    </row>
    <row r="34" spans="1:13">
      <c r="A34" s="175" t="s">
        <v>66</v>
      </c>
      <c r="B34" s="175" t="s">
        <v>58</v>
      </c>
      <c r="C34" s="176" t="s">
        <v>67</v>
      </c>
      <c r="D34" s="176"/>
      <c r="E34" s="176"/>
      <c r="F34" s="176" t="s">
        <v>68</v>
      </c>
      <c r="G34" s="176"/>
      <c r="H34" s="176"/>
    </row>
    <row r="35" spans="1:13">
      <c r="A35" s="117" t="s">
        <v>69</v>
      </c>
      <c r="B35" s="117"/>
      <c r="C35" s="117"/>
      <c r="D35" s="117"/>
      <c r="E35" s="117"/>
      <c r="F35" s="117"/>
      <c r="G35" s="117"/>
      <c r="H35" s="117"/>
    </row>
    <row r="36" spans="1:13" ht="15.75" customHeight="1">
      <c r="A36" s="117" t="s">
        <v>70</v>
      </c>
      <c r="B36" s="117"/>
      <c r="C36" s="177" t="s">
        <v>71</v>
      </c>
      <c r="D36" s="178"/>
      <c r="E36" s="178"/>
      <c r="F36" s="178"/>
      <c r="G36" s="178"/>
      <c r="H36" s="179"/>
    </row>
    <row r="37" spans="1:13" ht="15.75" customHeight="1">
      <c r="A37" s="117" t="s">
        <v>72</v>
      </c>
      <c r="B37" s="117"/>
      <c r="C37" s="180" t="s">
        <v>73</v>
      </c>
      <c r="D37" s="181"/>
      <c r="E37" s="181"/>
      <c r="F37" s="181"/>
      <c r="G37" s="181"/>
      <c r="H37" s="182"/>
    </row>
    <row r="38" spans="1:13">
      <c r="A38" s="167" t="s">
        <v>74</v>
      </c>
      <c r="B38" s="167"/>
      <c r="C38" s="167"/>
      <c r="D38" s="167"/>
      <c r="E38" s="167"/>
      <c r="F38" s="167"/>
      <c r="G38" s="167"/>
      <c r="H38" s="167"/>
    </row>
    <row r="39" spans="1:13">
      <c r="A39" s="117" t="s">
        <v>75</v>
      </c>
      <c r="B39" s="117"/>
      <c r="C39" s="117"/>
      <c r="D39" s="117"/>
      <c r="E39" s="173">
        <v>63288.9</v>
      </c>
      <c r="F39" s="173"/>
      <c r="G39" s="173"/>
      <c r="H39" s="173"/>
      <c r="I39" s="22">
        <f>60005.18+3283.72</f>
        <v>63288.9</v>
      </c>
    </row>
    <row r="40" spans="1:13">
      <c r="A40" s="117" t="s">
        <v>76</v>
      </c>
      <c r="B40" s="117"/>
      <c r="C40" s="117"/>
      <c r="D40" s="117"/>
      <c r="E40" s="174">
        <f>63288.9/E39</f>
        <v>1</v>
      </c>
      <c r="F40" s="174"/>
      <c r="G40" s="174"/>
      <c r="H40" s="174"/>
    </row>
    <row r="41" spans="1:13">
      <c r="A41" s="117" t="s">
        <v>77</v>
      </c>
      <c r="B41" s="117"/>
      <c r="C41" s="117"/>
      <c r="D41" s="117"/>
      <c r="E41" s="174">
        <f>E43/E39-E40</f>
        <v>3.2712049032294761</v>
      </c>
      <c r="F41" s="174"/>
      <c r="G41" s="174"/>
      <c r="H41" s="174"/>
    </row>
    <row r="42" spans="1:13">
      <c r="A42" s="117" t="s">
        <v>78</v>
      </c>
      <c r="B42" s="117"/>
      <c r="C42" s="117"/>
      <c r="D42" s="117"/>
      <c r="E42" s="174">
        <f>E40+E41</f>
        <v>4.2712049032294761</v>
      </c>
      <c r="F42" s="174"/>
      <c r="G42" s="174"/>
      <c r="H42" s="174"/>
    </row>
    <row r="43" spans="1:13">
      <c r="A43" s="117" t="s">
        <v>79</v>
      </c>
      <c r="B43" s="117"/>
      <c r="C43" s="117"/>
      <c r="D43" s="117"/>
      <c r="E43" s="83">
        <v>270319.86</v>
      </c>
      <c r="F43" s="83"/>
      <c r="G43" s="83"/>
      <c r="H43" s="83"/>
      <c r="I43" s="83">
        <v>267096.37</v>
      </c>
      <c r="J43" s="83"/>
      <c r="K43" s="83"/>
      <c r="L43" s="83"/>
    </row>
    <row r="44" spans="1:13">
      <c r="A44" s="86" t="s">
        <v>80</v>
      </c>
      <c r="B44" s="86"/>
      <c r="C44" s="86"/>
      <c r="D44" s="86"/>
      <c r="E44" s="86" t="s">
        <v>81</v>
      </c>
      <c r="F44" s="86"/>
      <c r="G44" s="86"/>
      <c r="H44" s="86"/>
    </row>
    <row r="45" spans="1:13">
      <c r="A45" s="167" t="s">
        <v>82</v>
      </c>
      <c r="B45" s="167"/>
      <c r="C45" s="167"/>
      <c r="D45" s="167"/>
      <c r="E45" s="167"/>
      <c r="F45" s="167"/>
      <c r="G45" s="167"/>
      <c r="H45" s="167"/>
    </row>
    <row r="46" spans="1:13" ht="33.75" customHeight="1">
      <c r="A46" s="168" t="s">
        <v>83</v>
      </c>
      <c r="B46" s="169"/>
      <c r="C46" s="170" t="s">
        <v>84</v>
      </c>
      <c r="D46" s="171"/>
      <c r="E46" s="171"/>
      <c r="F46" s="171"/>
      <c r="G46" s="171"/>
      <c r="H46" s="172"/>
      <c r="I46" s="81" t="s">
        <v>86</v>
      </c>
      <c r="J46" s="81"/>
      <c r="K46" s="81"/>
      <c r="L46" s="82">
        <v>45356</v>
      </c>
      <c r="M46" s="82"/>
    </row>
    <row r="47" spans="1:13">
      <c r="A47" s="91" t="s">
        <v>85</v>
      </c>
      <c r="B47" s="91"/>
      <c r="C47" s="81" t="s">
        <v>267</v>
      </c>
      <c r="D47" s="81"/>
      <c r="E47" s="81"/>
      <c r="F47" s="23" t="s">
        <v>87</v>
      </c>
      <c r="G47" s="82">
        <v>45859</v>
      </c>
      <c r="H47" s="82"/>
    </row>
    <row r="48" spans="1:13">
      <c r="A48" s="117" t="s">
        <v>88</v>
      </c>
      <c r="B48" s="117"/>
      <c r="C48" s="81" t="str">
        <f>C47</f>
        <v>CHE/ES/4261/S/337(NEW)/337/8/Amend</v>
      </c>
      <c r="D48" s="81"/>
      <c r="E48" s="81"/>
      <c r="F48" s="23" t="s">
        <v>87</v>
      </c>
      <c r="G48" s="82">
        <f>G47</f>
        <v>45859</v>
      </c>
      <c r="H48" s="82"/>
    </row>
    <row r="49" spans="1:16" s="14" customFormat="1" ht="31.5" customHeight="1">
      <c r="A49" s="81" t="s">
        <v>89</v>
      </c>
      <c r="B49" s="81"/>
      <c r="C49" s="81" t="s">
        <v>90</v>
      </c>
      <c r="D49" s="86"/>
      <c r="E49" s="86"/>
      <c r="F49" s="25" t="s">
        <v>87</v>
      </c>
      <c r="G49" s="82">
        <v>45454</v>
      </c>
      <c r="H49" s="82"/>
    </row>
    <row r="50" spans="1:16" s="14" customFormat="1" ht="128.1" customHeight="1">
      <c r="A50" s="81"/>
      <c r="B50" s="81"/>
      <c r="C50" s="81" t="s">
        <v>91</v>
      </c>
      <c r="D50" s="86"/>
      <c r="E50" s="86"/>
      <c r="F50" s="26" t="s">
        <v>92</v>
      </c>
      <c r="G50" s="82">
        <v>45818</v>
      </c>
      <c r="H50" s="82"/>
    </row>
    <row r="51" spans="1:16" s="14" customFormat="1" ht="18" customHeight="1">
      <c r="A51" s="81" t="s">
        <v>89</v>
      </c>
      <c r="B51" s="81"/>
      <c r="C51" s="81" t="s">
        <v>93</v>
      </c>
      <c r="D51" s="86"/>
      <c r="E51" s="86"/>
      <c r="F51" s="25" t="s">
        <v>87</v>
      </c>
      <c r="G51" s="82">
        <v>45462</v>
      </c>
      <c r="H51" s="82"/>
    </row>
    <row r="52" spans="1:16" s="14" customFormat="1" ht="141" customHeight="1">
      <c r="A52" s="81"/>
      <c r="B52" s="81"/>
      <c r="C52" s="81" t="s">
        <v>94</v>
      </c>
      <c r="D52" s="86"/>
      <c r="E52" s="86"/>
      <c r="F52" s="26" t="s">
        <v>92</v>
      </c>
      <c r="G52" s="82">
        <v>45820</v>
      </c>
      <c r="H52" s="82"/>
    </row>
    <row r="53" spans="1:16" s="14" customFormat="1">
      <c r="A53" s="81" t="s">
        <v>95</v>
      </c>
      <c r="B53" s="81"/>
      <c r="C53" s="81" t="s">
        <v>96</v>
      </c>
      <c r="D53" s="86"/>
      <c r="E53" s="86"/>
      <c r="F53" s="25" t="s">
        <v>87</v>
      </c>
      <c r="G53" s="82">
        <v>43618</v>
      </c>
      <c r="H53" s="82"/>
    </row>
    <row r="54" spans="1:16" s="14" customFormat="1" ht="67.5" customHeight="1">
      <c r="A54" s="81"/>
      <c r="B54" s="81"/>
      <c r="C54" s="161" t="s">
        <v>97</v>
      </c>
      <c r="D54" s="162"/>
      <c r="E54" s="162"/>
      <c r="F54" s="162"/>
      <c r="G54" s="162"/>
      <c r="H54" s="163"/>
    </row>
    <row r="55" spans="1:16" s="14" customFormat="1">
      <c r="A55" s="81" t="s">
        <v>98</v>
      </c>
      <c r="B55" s="81"/>
      <c r="C55" s="81" t="s">
        <v>99</v>
      </c>
      <c r="D55" s="86"/>
      <c r="E55" s="86"/>
      <c r="F55" s="25" t="s">
        <v>87</v>
      </c>
      <c r="G55" s="82">
        <v>43613</v>
      </c>
      <c r="H55" s="82"/>
    </row>
    <row r="56" spans="1:16" s="14" customFormat="1" ht="35.25" customHeight="1">
      <c r="A56" s="81"/>
      <c r="B56" s="81"/>
      <c r="C56" s="161" t="s">
        <v>100</v>
      </c>
      <c r="D56" s="162"/>
      <c r="E56" s="162"/>
      <c r="F56" s="162"/>
      <c r="G56" s="162"/>
      <c r="H56" s="163"/>
    </row>
    <row r="57" spans="1:16">
      <c r="A57" s="164" t="s">
        <v>101</v>
      </c>
      <c r="B57" s="164"/>
      <c r="C57" s="103" t="s">
        <v>102</v>
      </c>
      <c r="D57" s="102"/>
      <c r="E57" s="102" t="s">
        <v>103</v>
      </c>
      <c r="F57" s="27" t="s">
        <v>87</v>
      </c>
      <c r="G57" s="165" t="s">
        <v>58</v>
      </c>
      <c r="H57" s="165"/>
    </row>
    <row r="58" spans="1:16">
      <c r="A58" s="116" t="s">
        <v>104</v>
      </c>
      <c r="B58" s="116"/>
      <c r="C58" s="116"/>
      <c r="D58" s="116"/>
      <c r="E58" s="116"/>
      <c r="F58" s="116"/>
      <c r="G58" s="116"/>
      <c r="H58" s="116"/>
    </row>
    <row r="59" spans="1:16">
      <c r="A59" s="91" t="s">
        <v>105</v>
      </c>
      <c r="B59" s="91"/>
      <c r="C59" s="91"/>
      <c r="D59" s="166">
        <f>E43</f>
        <v>270319.86</v>
      </c>
      <c r="E59" s="68"/>
      <c r="F59" s="68"/>
      <c r="G59" s="68"/>
      <c r="H59" s="68"/>
    </row>
    <row r="60" spans="1:16">
      <c r="A60" s="81" t="s">
        <v>106</v>
      </c>
      <c r="B60" s="86"/>
      <c r="C60" s="86"/>
      <c r="D60" s="86" t="s">
        <v>285</v>
      </c>
      <c r="E60" s="86"/>
      <c r="F60" s="86"/>
      <c r="G60" s="86"/>
      <c r="H60" s="86"/>
      <c r="I60" s="86" t="s">
        <v>107</v>
      </c>
      <c r="J60" s="86"/>
      <c r="K60" s="86"/>
      <c r="L60" s="86"/>
      <c r="M60" s="86"/>
    </row>
    <row r="61" spans="1:16" ht="54" customHeight="1">
      <c r="A61" s="152" t="s">
        <v>108</v>
      </c>
      <c r="B61" s="153"/>
      <c r="C61" s="154"/>
      <c r="D61" s="84" t="s">
        <v>271</v>
      </c>
      <c r="E61" s="85"/>
      <c r="F61" s="85"/>
      <c r="G61" s="85"/>
      <c r="H61" s="85"/>
      <c r="L61" s="84" t="s">
        <v>109</v>
      </c>
      <c r="M61" s="85"/>
      <c r="N61" s="85"/>
      <c r="O61" s="85"/>
      <c r="P61" s="85"/>
    </row>
    <row r="62" spans="1:16" ht="15.75" customHeight="1">
      <c r="A62" s="81" t="s">
        <v>110</v>
      </c>
      <c r="B62" s="81"/>
      <c r="C62" s="81"/>
      <c r="D62" s="155" t="s">
        <v>111</v>
      </c>
      <c r="E62" s="155"/>
      <c r="F62" s="155"/>
      <c r="G62" s="155"/>
      <c r="H62" s="156"/>
    </row>
    <row r="63" spans="1:16" ht="15.75" customHeight="1">
      <c r="A63" s="81"/>
      <c r="B63" s="81"/>
      <c r="C63" s="81"/>
      <c r="D63" s="157" t="s">
        <v>112</v>
      </c>
      <c r="E63" s="157"/>
      <c r="F63" s="157"/>
      <c r="G63" s="157"/>
      <c r="H63" s="157"/>
    </row>
    <row r="64" spans="1:16" ht="15.75" customHeight="1">
      <c r="A64" s="81"/>
      <c r="B64" s="81"/>
      <c r="C64" s="81"/>
      <c r="D64" s="158" t="s">
        <v>113</v>
      </c>
      <c r="E64" s="158"/>
      <c r="F64" s="158"/>
      <c r="G64" s="158"/>
      <c r="H64" s="159"/>
    </row>
    <row r="65" spans="1:14" ht="15.75" customHeight="1">
      <c r="A65" s="117" t="s">
        <v>114</v>
      </c>
      <c r="B65" s="117"/>
      <c r="C65" s="117"/>
      <c r="D65" s="160" t="s">
        <v>115</v>
      </c>
      <c r="E65" s="160"/>
      <c r="F65" s="160"/>
      <c r="G65" s="160"/>
      <c r="H65" s="160"/>
      <c r="J65" s="38"/>
      <c r="K65" s="28"/>
      <c r="N65" s="28"/>
    </row>
    <row r="66" spans="1:14" ht="15.75" customHeight="1">
      <c r="A66" s="117" t="s">
        <v>116</v>
      </c>
      <c r="B66" s="117"/>
      <c r="C66" s="117"/>
      <c r="D66" s="150" t="str">
        <f>(IF(G57="NA","60 Years After Completion",IF(G57&lt;&gt;"NA",""&amp;60-ROUNDDOWN((E3-G57)/360,0)&amp;" Years"," ")))</f>
        <v>60 Years After Completion</v>
      </c>
      <c r="E66" s="150"/>
      <c r="F66" s="150"/>
      <c r="G66" s="150"/>
      <c r="H66" s="150"/>
      <c r="N66" s="28"/>
    </row>
    <row r="67" spans="1:14" ht="15.75" customHeight="1">
      <c r="A67" s="117" t="s">
        <v>117</v>
      </c>
      <c r="B67" s="117"/>
      <c r="C67" s="117"/>
      <c r="D67" s="91" t="s">
        <v>47</v>
      </c>
      <c r="E67" s="91"/>
      <c r="F67" s="91"/>
      <c r="G67" s="91"/>
      <c r="H67" s="91"/>
      <c r="J67" s="39"/>
      <c r="K67" s="39"/>
    </row>
    <row r="68" spans="1:14" ht="49.5" customHeight="1">
      <c r="A68" s="117" t="s">
        <v>118</v>
      </c>
      <c r="B68" s="117"/>
      <c r="C68" s="117"/>
      <c r="D68" s="81" t="s">
        <v>119</v>
      </c>
      <c r="E68" s="91"/>
      <c r="F68" s="91"/>
      <c r="G68" s="91"/>
      <c r="H68" s="91"/>
    </row>
    <row r="69" spans="1:14">
      <c r="A69" s="91" t="s">
        <v>120</v>
      </c>
      <c r="B69" s="91"/>
      <c r="C69" s="91"/>
      <c r="D69" s="91" t="s">
        <v>58</v>
      </c>
      <c r="E69" s="91"/>
      <c r="F69" s="91"/>
      <c r="G69" s="91"/>
      <c r="H69" s="91"/>
      <c r="I69" s="40"/>
      <c r="J69" s="40"/>
      <c r="K69" s="40"/>
      <c r="L69" s="40"/>
      <c r="M69" s="40"/>
      <c r="N69" s="40"/>
    </row>
    <row r="70" spans="1:14" ht="15.75" customHeight="1">
      <c r="A70" s="151" t="s">
        <v>121</v>
      </c>
      <c r="B70" s="151"/>
      <c r="C70" s="151"/>
      <c r="D70" s="84" t="str">
        <f ca="1">(IF(G76&gt;95%,"Nothing",IF(G76&gt;0%,"Cement, Aggregate, Steel, etc",IF(G76=0%,"Work not yet Started"))))</f>
        <v>Cement, Aggregate, Steel, etc</v>
      </c>
      <c r="E70" s="84"/>
      <c r="F70" s="84"/>
      <c r="G70" s="84"/>
      <c r="H70" s="84"/>
      <c r="J70" s="39"/>
    </row>
    <row r="71" spans="1:14" ht="33.75" customHeight="1">
      <c r="A71" s="149" t="s">
        <v>122</v>
      </c>
      <c r="B71" s="149"/>
      <c r="C71" s="149"/>
      <c r="D71" s="84" t="str">
        <f ca="1">(IF(D70="Nothing","Yes",IF(D70="Cement, Aggregate, Steel, etc","Under Construction",IF(D70="Work not yet Started","Work not yet Started"))))</f>
        <v>Under Construction</v>
      </c>
      <c r="E71" s="84"/>
      <c r="F71" s="84" t="str">
        <f ca="1">(IF(D70="Nothing","Yes",IF(D70="Cement, Aggregate, Steel, etc","Under Construction",IF(D70="Work not yet Started","Work not yet Started"))))</f>
        <v>Under Construction</v>
      </c>
      <c r="G71" s="84"/>
      <c r="H71" s="84"/>
    </row>
    <row r="72" spans="1:14" s="14" customFormat="1" ht="15.75" customHeight="1">
      <c r="A72" s="96" t="s">
        <v>123</v>
      </c>
      <c r="B72" s="97"/>
      <c r="C72" s="148" t="s">
        <v>266</v>
      </c>
      <c r="D72" s="99"/>
      <c r="E72" s="99"/>
      <c r="F72" s="99"/>
      <c r="G72" s="99"/>
      <c r="H72" s="100"/>
      <c r="I72" s="41" t="str">
        <f ca="1">(IF(E76&gt;99%,"All work completed. Please provide OC.",IF(E76&gt;89.8%,"Plinth, RCC, Brick, Plaster, Flooring, Painting work Completed. Finishing work is in process.",IF(E76&lt;94%,(IF(C76=0,"Work not yet Started.",IF(D76=25%,"Piling work in process",IF(D76=50%,"Excavation work in process",IF(D76=100%,"Excavation work Completed. ","0")))&amp;(IF(C77=0%,"",IF(C77=J78,"Footing work is process",IF(C77=J79,"Footing work Completed",IF(C77=J80,"1st Basement Completed",IF(C77=J81,"1st &amp; 2nd Basement Completed",IF(C77=J82,"1st to 3rd Basement Completed",IF(C77=J83,"1st to 4th Basement Completed",IF(C77=J84,"Plinth work is process",IF(C77=J85,"Plinth work completed","0")))))))))))&amp;(IF(C78=(D73+F73+H73),", RCC Slab",IF(C78&gt;0,", RCC upto "&amp;C78&amp;" Slab",""))&amp;(IF(C79=H73,", Brickwork",IF(C79&gt;0,", Brickwork upto "&amp;C79&amp;" Floor",""))&amp;(IF(C80=H73,", Internal Plaster",IF(C80&gt;0,", Internal Plaster upto "&amp;C80&amp;" Floor",""))&amp;(IF(C81=H73,", External Plaster",IF(C81&gt;0,", External Plaster upto "&amp;C81&amp;" Floor",""))&amp;(IF(C82=H73,", Flooring",IF(C82&gt;0,", Flooring upto "&amp;C82&amp;" Floor",""))&amp;(IF(C83=H73,", Painting",IF(C83&gt;0,", Painting upto "&amp;C83&amp;" Floor",""))&amp;(IF(C84&gt;0,", Finishing upto "&amp;C84&amp;" Floor","")&amp;(IF(C78&gt;0.5," Completed",""))))))))))))))</f>
        <v>Excavation work Completed. Plinth work completed, RCC upto 22 Slab, Brickwork upto 10 Floor, Internal Plaster upto 7.5 Floor, External Plaster upto 6.5 Floor Completed</v>
      </c>
      <c r="J72" s="42"/>
    </row>
    <row r="73" spans="1:14" s="14" customFormat="1">
      <c r="A73" s="29" t="s">
        <v>124</v>
      </c>
      <c r="B73" s="24">
        <v>5</v>
      </c>
      <c r="C73" s="24" t="s">
        <v>125</v>
      </c>
      <c r="D73" s="24">
        <v>1</v>
      </c>
      <c r="E73" s="24" t="s">
        <v>126</v>
      </c>
      <c r="F73" s="24">
        <v>11</v>
      </c>
      <c r="G73" s="24" t="s">
        <v>127</v>
      </c>
      <c r="H73" s="30">
        <f ca="1">--TRIM(RIGHT(SUBSTITUTE(LEFT(C72,_xlfn.AGGREGATE(16,6,FIND({0,1,2,3,4,5,6,7,8,9},C72,ROW(INDIRECT("1:"&amp;LEN(C72)))),1))," ",REPT(" ",LEN(C72))),LEN(C72)))</f>
        <v>54</v>
      </c>
      <c r="I73" s="43"/>
      <c r="J73" s="44"/>
    </row>
    <row r="74" spans="1:14" s="14" customFormat="1" ht="50.25" customHeight="1">
      <c r="A74" s="101" t="s">
        <v>128</v>
      </c>
      <c r="B74" s="102"/>
      <c r="C74" s="103" t="str">
        <f ca="1">I72</f>
        <v>Excavation work Completed. Plinth work completed, RCC upto 22 Slab, Brickwork upto 10 Floor, Internal Plaster upto 7.5 Floor, External Plaster upto 6.5 Floor Completed</v>
      </c>
      <c r="D74" s="103"/>
      <c r="E74" s="103"/>
      <c r="F74" s="103"/>
      <c r="G74" s="103"/>
      <c r="H74" s="104"/>
      <c r="I74" s="43" t="s">
        <v>129</v>
      </c>
      <c r="J74" s="44"/>
    </row>
    <row r="75" spans="1:14" s="14" customFormat="1" ht="15.75" customHeight="1">
      <c r="A75" s="92" t="s">
        <v>130</v>
      </c>
      <c r="B75" s="93"/>
      <c r="C75" s="31" t="s">
        <v>131</v>
      </c>
      <c r="D75" s="31" t="s">
        <v>132</v>
      </c>
      <c r="E75" s="93" t="s">
        <v>133</v>
      </c>
      <c r="F75" s="93"/>
      <c r="G75" s="93" t="s">
        <v>134</v>
      </c>
      <c r="H75" s="105"/>
      <c r="I75" s="45" t="s">
        <v>135</v>
      </c>
      <c r="J75" s="46">
        <f ca="1">H73*25%</f>
        <v>13.5</v>
      </c>
    </row>
    <row r="76" spans="1:14" s="14" customFormat="1">
      <c r="A76" s="92" t="s">
        <v>136</v>
      </c>
      <c r="B76" s="93"/>
      <c r="C76" s="32">
        <f ca="1">J77</f>
        <v>54</v>
      </c>
      <c r="D76" s="33">
        <f ca="1">((100/H73)*C76)/100</f>
        <v>1</v>
      </c>
      <c r="E76" s="87">
        <f ca="1">(((C77/H73*10)+(40/(D73+F73+H73)*C78)+(7.5/(H73)*C79)+(7.5/(H73)*C80)+(10/H73*C81)+(10/H73*C82)+(5/H73*C83)+(5/H73*C84)+(5/H73*C85))/100)</f>
        <v>0.26967592592592593</v>
      </c>
      <c r="F76" s="87"/>
      <c r="G76" s="87">
        <f ca="1">((((C76/H73)*20)+((C77/H73)*25)+(30/(H73+F73+D73)*C78)+(5/H73*C79)+(5/H73*C80)+(5/H73*C81)+(5/H73*C82)+(0/H73*C83)+(0/H73*C84)+(5/H73*C85))/100)</f>
        <v>0.57222222222222219</v>
      </c>
      <c r="H76" s="89"/>
      <c r="I76" s="45" t="s">
        <v>137</v>
      </c>
      <c r="J76" s="47">
        <f ca="1">H73*50%</f>
        <v>27</v>
      </c>
    </row>
    <row r="77" spans="1:14" s="14" customFormat="1">
      <c r="A77" s="92" t="s">
        <v>138</v>
      </c>
      <c r="B77" s="93"/>
      <c r="C77" s="34">
        <v>54</v>
      </c>
      <c r="D77" s="33">
        <f ca="1">((100/H73)*C77)/100</f>
        <v>1</v>
      </c>
      <c r="E77" s="87"/>
      <c r="F77" s="87"/>
      <c r="G77" s="87"/>
      <c r="H77" s="89"/>
      <c r="I77" s="45" t="s">
        <v>139</v>
      </c>
      <c r="J77" s="47">
        <f ca="1">H73</f>
        <v>54</v>
      </c>
    </row>
    <row r="78" spans="1:14" s="14" customFormat="1" ht="15.75" customHeight="1">
      <c r="A78" s="92" t="s">
        <v>140</v>
      </c>
      <c r="B78" s="93"/>
      <c r="C78" s="34">
        <f>D73+F73+10</f>
        <v>22</v>
      </c>
      <c r="D78" s="33">
        <f ca="1">((100/(D73+F73+H73))*C78)/100</f>
        <v>0.33333333333333337</v>
      </c>
      <c r="E78" s="87"/>
      <c r="F78" s="87"/>
      <c r="G78" s="87"/>
      <c r="H78" s="89"/>
      <c r="I78" s="45" t="s">
        <v>141</v>
      </c>
      <c r="J78" s="48">
        <f ca="1">(IF(B73&gt;1,(H73/(B73+2)),H73/4))</f>
        <v>7.7142857142857144</v>
      </c>
    </row>
    <row r="79" spans="1:14" s="14" customFormat="1" ht="15.75" customHeight="1">
      <c r="A79" s="92" t="s">
        <v>142</v>
      </c>
      <c r="B79" s="93" t="s">
        <v>143</v>
      </c>
      <c r="C79" s="34">
        <f>C78-F73-D73</f>
        <v>10</v>
      </c>
      <c r="D79" s="33">
        <f ca="1">((100/H73)*C79)/100</f>
        <v>0.1851851851851852</v>
      </c>
      <c r="E79" s="87"/>
      <c r="F79" s="87"/>
      <c r="G79" s="87"/>
      <c r="H79" s="89"/>
      <c r="I79" s="45" t="s">
        <v>144</v>
      </c>
      <c r="J79" s="48">
        <f ca="1">(IF(B73&gt;1,(H73/(B73+2)+J78),H73/4+J78))</f>
        <v>15.428571428571429</v>
      </c>
    </row>
    <row r="80" spans="1:14" s="14" customFormat="1" ht="15.75" customHeight="1">
      <c r="A80" s="92" t="s">
        <v>145</v>
      </c>
      <c r="B80" s="93" t="s">
        <v>143</v>
      </c>
      <c r="C80" s="34">
        <f>C79*0.75</f>
        <v>7.5</v>
      </c>
      <c r="D80" s="33">
        <f ca="1">((100/H73)*C80)/100</f>
        <v>0.1388888888888889</v>
      </c>
      <c r="E80" s="87"/>
      <c r="F80" s="87"/>
      <c r="G80" s="87"/>
      <c r="H80" s="89"/>
      <c r="I80" s="45" t="s">
        <v>146</v>
      </c>
      <c r="J80" s="48">
        <f ca="1">(IF(B73&gt;1,(H73/(B73+2)+J79),0))</f>
        <v>23.142857142857142</v>
      </c>
    </row>
    <row r="81" spans="1:10" s="14" customFormat="1" ht="15" customHeight="1">
      <c r="A81" s="92" t="s">
        <v>147</v>
      </c>
      <c r="B81" s="93" t="s">
        <v>148</v>
      </c>
      <c r="C81" s="34">
        <f>C79*0.65</f>
        <v>6.5</v>
      </c>
      <c r="D81" s="33">
        <f ca="1">((100/(H73))*C81)/100</f>
        <v>0.12037037037037036</v>
      </c>
      <c r="E81" s="87"/>
      <c r="F81" s="87"/>
      <c r="G81" s="87"/>
      <c r="H81" s="89"/>
      <c r="I81" s="45" t="s">
        <v>149</v>
      </c>
      <c r="J81" s="48">
        <f ca="1">(IF(B73&gt;2,(H73/(B73+2)+J80),0))</f>
        <v>30.857142857142858</v>
      </c>
    </row>
    <row r="82" spans="1:10" s="14" customFormat="1" ht="15.75" customHeight="1">
      <c r="A82" s="92" t="s">
        <v>150</v>
      </c>
      <c r="B82" s="93" t="s">
        <v>150</v>
      </c>
      <c r="C82" s="32">
        <v>0</v>
      </c>
      <c r="D82" s="33">
        <f ca="1">((100/H73)*C82)/100</f>
        <v>0</v>
      </c>
      <c r="E82" s="87"/>
      <c r="F82" s="87"/>
      <c r="G82" s="87"/>
      <c r="H82" s="89"/>
      <c r="I82" s="45" t="s">
        <v>151</v>
      </c>
      <c r="J82" s="49">
        <f ca="1">(IF(B73&gt;3,(H73/(B73+2)+J81),0))</f>
        <v>38.571428571428569</v>
      </c>
    </row>
    <row r="83" spans="1:10" s="14" customFormat="1" ht="15.75" customHeight="1">
      <c r="A83" s="92" t="s">
        <v>152</v>
      </c>
      <c r="B83" s="93"/>
      <c r="C83" s="32">
        <v>0</v>
      </c>
      <c r="D83" s="33">
        <f ca="1">((100/H73)*C83)/100</f>
        <v>0</v>
      </c>
      <c r="E83" s="87"/>
      <c r="F83" s="87"/>
      <c r="G83" s="87"/>
      <c r="H83" s="89"/>
      <c r="I83" s="45" t="s">
        <v>153</v>
      </c>
      <c r="J83" s="48">
        <f ca="1">(IF(B73&gt;4,(H73/(B73+2)+J82),0))</f>
        <v>46.285714285714285</v>
      </c>
    </row>
    <row r="84" spans="1:10" s="14" customFormat="1" ht="15.75" customHeight="1">
      <c r="A84" s="92" t="s">
        <v>154</v>
      </c>
      <c r="B84" s="93" t="s">
        <v>154</v>
      </c>
      <c r="C84" s="32">
        <v>0</v>
      </c>
      <c r="D84" s="33">
        <f ca="1">((100/(H73))*C84)/100</f>
        <v>0</v>
      </c>
      <c r="E84" s="87"/>
      <c r="F84" s="87"/>
      <c r="G84" s="87"/>
      <c r="H84" s="89"/>
      <c r="I84" s="45" t="s">
        <v>155</v>
      </c>
      <c r="J84" s="48">
        <f>(IF(B73=1,(H73/(B73+3)+J79),IF(B73=0,(H73/4+J79),IF(B73&gt;1,0))))</f>
        <v>0</v>
      </c>
    </row>
    <row r="85" spans="1:10" s="14" customFormat="1" ht="16.5" thickBot="1">
      <c r="A85" s="94" t="s">
        <v>156</v>
      </c>
      <c r="B85" s="95"/>
      <c r="C85" s="35">
        <v>0</v>
      </c>
      <c r="D85" s="36">
        <f ca="1">((100/(H73))*C85)/100</f>
        <v>0</v>
      </c>
      <c r="E85" s="88"/>
      <c r="F85" s="88"/>
      <c r="G85" s="88"/>
      <c r="H85" s="90"/>
      <c r="I85" s="50" t="s">
        <v>157</v>
      </c>
      <c r="J85" s="51">
        <f ca="1">(IF(B73&gt;1.5,(H73/(B73+2)+J79+MAX(0,J80-J79)+MAX(0,J81-J80)+MAX(0,J82-J81)+MAX(0,J83-J82)+MAX(0,J84-J83)),IF(B73=1,(H73/(B73+3)+J84),IF(B73=0,H73/4+J84))))</f>
        <v>53.999999999999993</v>
      </c>
    </row>
    <row r="86" spans="1:10" s="14" customFormat="1" ht="15.75" customHeight="1">
      <c r="A86" s="96" t="s">
        <v>123</v>
      </c>
      <c r="B86" s="97"/>
      <c r="C86" s="148" t="s">
        <v>265</v>
      </c>
      <c r="D86" s="99"/>
      <c r="E86" s="99"/>
      <c r="F86" s="99"/>
      <c r="G86" s="99"/>
      <c r="H86" s="100"/>
      <c r="I86" s="41" t="str">
        <f ca="1">(IF(E90&gt;99%,"All work completed. Please provide OC.",IF(E90&gt;89.8%,"Plinth, RCC, Brick, Plaster, Flooring, Painting work Completed. Finishing work is in process.",IF(E90&lt;94%,(IF(C90=0,"Work not yet Started.",IF(D90=25%,"Piling work in process",IF(D90=50%,"Excavation work in process",IF(D90=100%,"Excavation work Completed. ","0")))&amp;(IF(C91=0%,"",IF(C91=J92,"Footing work is process",IF(C91=J93,"Footing work Completed",IF(C91=J94,"1st Basement Completed",IF(C91=J95,"1st &amp; 2nd Basement Completed",IF(C91=J96,"1st to 3rd Basement Completed",IF(C91=J97,"1st to 4th Basement Completed",IF(C91=J98,"Plinth work is process",IF(C91=J99,"Plinth work completed","0")))))))))))&amp;(IF(C92=(D87+F87+H87),", RCC Slab",IF(C92&gt;0,", RCC upto "&amp;C92&amp;" Slab",""))&amp;(IF(C93=H87,", Brickwork",IF(C93&gt;0,", Brickwork upto "&amp;C93&amp;" Floor",""))&amp;(IF(C94=H87,", Internal Plaster",IF(C94&gt;0,", Internal Plaster upto "&amp;C94&amp;" Floor",""))&amp;(IF(C95=H87,", External Plaster",IF(C95&gt;0,", External Plaster upto "&amp;C95&amp;" Floor",""))&amp;(IF(C96=H87,", Flooring",IF(C96&gt;0,", Flooring upto "&amp;C96&amp;" Floor",""))&amp;(IF(C97=H87,", Painting",IF(C97&gt;0,", Painting upto "&amp;C97&amp;" Floor",""))&amp;(IF(C98&gt;0,", Finishing upto "&amp;C98&amp;" Floor","")&amp;(IF(C92&gt;0.5," Completed",""))))))))))))))</f>
        <v>Excavation work Completed. Plinth work completed, RCC upto 21 Slab, Brickwork upto 9 Floor, Internal Plaster upto 6.75 Floor, External Plaster upto 5.85 Floor Completed</v>
      </c>
      <c r="J86" s="42"/>
    </row>
    <row r="87" spans="1:10" s="14" customFormat="1">
      <c r="A87" s="29" t="s">
        <v>124</v>
      </c>
      <c r="B87" s="24">
        <v>5</v>
      </c>
      <c r="C87" s="24" t="s">
        <v>125</v>
      </c>
      <c r="D87" s="24">
        <v>1</v>
      </c>
      <c r="E87" s="24" t="s">
        <v>126</v>
      </c>
      <c r="F87" s="24">
        <v>11</v>
      </c>
      <c r="G87" s="24" t="s">
        <v>127</v>
      </c>
      <c r="H87" s="30">
        <f ca="1">--TRIM(RIGHT(SUBSTITUTE(LEFT(C86,_xlfn.AGGREGATE(16,6,FIND({0,1,2,3,4,5,6,7,8,9},C86,ROW(INDIRECT("1:"&amp;LEN(C86)))),1))," ",REPT(" ",LEN(C86))),LEN(C86)))</f>
        <v>54</v>
      </c>
      <c r="I87" s="43"/>
      <c r="J87" s="44"/>
    </row>
    <row r="88" spans="1:10" s="14" customFormat="1" ht="50.25" customHeight="1">
      <c r="A88" s="101" t="s">
        <v>128</v>
      </c>
      <c r="B88" s="102"/>
      <c r="C88" s="103" t="str">
        <f ca="1">I86</f>
        <v>Excavation work Completed. Plinth work completed, RCC upto 21 Slab, Brickwork upto 9 Floor, Internal Plaster upto 6.75 Floor, External Plaster upto 5.85 Floor Completed</v>
      </c>
      <c r="D88" s="103"/>
      <c r="E88" s="103"/>
      <c r="F88" s="103"/>
      <c r="G88" s="103"/>
      <c r="H88" s="104"/>
      <c r="I88" s="43" t="s">
        <v>129</v>
      </c>
      <c r="J88" s="44"/>
    </row>
    <row r="89" spans="1:10" s="14" customFormat="1" ht="15.75" customHeight="1">
      <c r="A89" s="92" t="s">
        <v>130</v>
      </c>
      <c r="B89" s="93"/>
      <c r="C89" s="31" t="s">
        <v>131</v>
      </c>
      <c r="D89" s="31" t="s">
        <v>132</v>
      </c>
      <c r="E89" s="93" t="s">
        <v>133</v>
      </c>
      <c r="F89" s="93"/>
      <c r="G89" s="93" t="s">
        <v>134</v>
      </c>
      <c r="H89" s="105"/>
      <c r="I89" s="45" t="s">
        <v>135</v>
      </c>
      <c r="J89" s="46">
        <f ca="1">H87*25%</f>
        <v>13.5</v>
      </c>
    </row>
    <row r="90" spans="1:10" s="14" customFormat="1">
      <c r="A90" s="92" t="s">
        <v>136</v>
      </c>
      <c r="B90" s="93"/>
      <c r="C90" s="32">
        <f ca="1">J91</f>
        <v>54</v>
      </c>
      <c r="D90" s="33">
        <f ca="1">((100/H87)*C90)/100</f>
        <v>1</v>
      </c>
      <c r="E90" s="87">
        <f ca="1">(((C91/H87*10)+(40/(D87+F87+H87)*C92)+(7.5/(H87)*C93)+(7.5/(H87)*C94)+(10/H87*C95)+(10/H87*C96)+(5/H87*C97)+(5/H87*C98)+(5/H87*C99))/100)</f>
        <v>0.25998106060606058</v>
      </c>
      <c r="F90" s="87"/>
      <c r="G90" s="87">
        <f ca="1">((((C90/H87)*20)+((C91/H87)*25)+(30/(H87+F87+D87)*C92)+(5/H87*C93)+(5/H87*C94)+(5/H87*C95)+(5/H87*C96)+(0/H87*C97)+(0/H87*C98)+(5/H87*C99))/100)</f>
        <v>0.56545454545454543</v>
      </c>
      <c r="H90" s="89"/>
      <c r="I90" s="45" t="s">
        <v>137</v>
      </c>
      <c r="J90" s="47">
        <f ca="1">H87*50%</f>
        <v>27</v>
      </c>
    </row>
    <row r="91" spans="1:10" s="14" customFormat="1">
      <c r="A91" s="92" t="s">
        <v>138</v>
      </c>
      <c r="B91" s="93"/>
      <c r="C91" s="34">
        <v>54</v>
      </c>
      <c r="D91" s="33">
        <f ca="1">((100/H87)*C91)/100</f>
        <v>1</v>
      </c>
      <c r="E91" s="87"/>
      <c r="F91" s="87"/>
      <c r="G91" s="87"/>
      <c r="H91" s="89"/>
      <c r="I91" s="45" t="s">
        <v>139</v>
      </c>
      <c r="J91" s="47">
        <f ca="1">H87</f>
        <v>54</v>
      </c>
    </row>
    <row r="92" spans="1:10" s="14" customFormat="1" ht="15.75" customHeight="1">
      <c r="A92" s="92" t="s">
        <v>140</v>
      </c>
      <c r="B92" s="93"/>
      <c r="C92" s="34">
        <f>D87+F87+9</f>
        <v>21</v>
      </c>
      <c r="D92" s="33">
        <f ca="1">((100/(D87+F87+H87))*C92)/100</f>
        <v>0.31818181818181818</v>
      </c>
      <c r="E92" s="87"/>
      <c r="F92" s="87"/>
      <c r="G92" s="87"/>
      <c r="H92" s="89"/>
      <c r="I92" s="45" t="s">
        <v>141</v>
      </c>
      <c r="J92" s="48">
        <f ca="1">(IF(B87&gt;1,(H87/(B87+2)),H87/4))</f>
        <v>7.7142857142857144</v>
      </c>
    </row>
    <row r="93" spans="1:10" s="14" customFormat="1" ht="15.75" customHeight="1">
      <c r="A93" s="92" t="s">
        <v>142</v>
      </c>
      <c r="B93" s="93" t="s">
        <v>143</v>
      </c>
      <c r="C93" s="34">
        <f>C92-F87-D87</f>
        <v>9</v>
      </c>
      <c r="D93" s="33">
        <f ca="1">((100/H87)*C93)/100</f>
        <v>0.16666666666666669</v>
      </c>
      <c r="E93" s="87"/>
      <c r="F93" s="87"/>
      <c r="G93" s="87"/>
      <c r="H93" s="89"/>
      <c r="I93" s="45" t="s">
        <v>144</v>
      </c>
      <c r="J93" s="48">
        <f ca="1">(IF(B87&gt;1,(H87/(B87+2)+J92),H87/4+J92))</f>
        <v>15.428571428571429</v>
      </c>
    </row>
    <row r="94" spans="1:10" s="14" customFormat="1" ht="15.75" customHeight="1">
      <c r="A94" s="92" t="s">
        <v>145</v>
      </c>
      <c r="B94" s="93" t="s">
        <v>143</v>
      </c>
      <c r="C94" s="34">
        <f>C93*0.75</f>
        <v>6.75</v>
      </c>
      <c r="D94" s="33">
        <f ca="1">((100/H87)*C94)/100</f>
        <v>0.125</v>
      </c>
      <c r="E94" s="87"/>
      <c r="F94" s="87"/>
      <c r="G94" s="87"/>
      <c r="H94" s="89"/>
      <c r="I94" s="45" t="s">
        <v>146</v>
      </c>
      <c r="J94" s="48">
        <f ca="1">(IF(B87&gt;1,(H87/(B87+2)+J93),0))</f>
        <v>23.142857142857142</v>
      </c>
    </row>
    <row r="95" spans="1:10" s="14" customFormat="1" ht="15" customHeight="1">
      <c r="A95" s="92" t="s">
        <v>147</v>
      </c>
      <c r="B95" s="93" t="s">
        <v>148</v>
      </c>
      <c r="C95" s="34">
        <f>C93*0.65</f>
        <v>5.8500000000000005</v>
      </c>
      <c r="D95" s="33">
        <f ca="1">((100/(H87))*C95)/100</f>
        <v>0.10833333333333334</v>
      </c>
      <c r="E95" s="87"/>
      <c r="F95" s="87"/>
      <c r="G95" s="87"/>
      <c r="H95" s="89"/>
      <c r="I95" s="45" t="s">
        <v>149</v>
      </c>
      <c r="J95" s="48">
        <f ca="1">(IF(B87&gt;2,(H87/(B87+2)+J94),0))</f>
        <v>30.857142857142858</v>
      </c>
    </row>
    <row r="96" spans="1:10" s="14" customFormat="1" ht="15.75" customHeight="1">
      <c r="A96" s="92" t="s">
        <v>150</v>
      </c>
      <c r="B96" s="93" t="s">
        <v>150</v>
      </c>
      <c r="C96" s="32">
        <v>0</v>
      </c>
      <c r="D96" s="33">
        <f ca="1">((100/H87)*C96)/100</f>
        <v>0</v>
      </c>
      <c r="E96" s="87"/>
      <c r="F96" s="87"/>
      <c r="G96" s="87"/>
      <c r="H96" s="89"/>
      <c r="I96" s="45" t="s">
        <v>151</v>
      </c>
      <c r="J96" s="49">
        <f ca="1">(IF(B87&gt;3,(H87/(B87+2)+J95),0))</f>
        <v>38.571428571428569</v>
      </c>
    </row>
    <row r="97" spans="1:12" s="14" customFormat="1" ht="15.75" customHeight="1">
      <c r="A97" s="92" t="s">
        <v>152</v>
      </c>
      <c r="B97" s="93"/>
      <c r="C97" s="32">
        <v>0</v>
      </c>
      <c r="D97" s="33">
        <f ca="1">((100/H87)*C97)/100</f>
        <v>0</v>
      </c>
      <c r="E97" s="87"/>
      <c r="F97" s="87"/>
      <c r="G97" s="87"/>
      <c r="H97" s="89"/>
      <c r="I97" s="45" t="s">
        <v>153</v>
      </c>
      <c r="J97" s="48">
        <f ca="1">(IF(B87&gt;4,(H87/(B87+2)+J96),0))</f>
        <v>46.285714285714285</v>
      </c>
    </row>
    <row r="98" spans="1:12" s="14" customFormat="1" ht="15.75" customHeight="1">
      <c r="A98" s="92" t="s">
        <v>154</v>
      </c>
      <c r="B98" s="93" t="s">
        <v>154</v>
      </c>
      <c r="C98" s="32">
        <v>0</v>
      </c>
      <c r="D98" s="33">
        <f ca="1">((100/(H87))*C98)/100</f>
        <v>0</v>
      </c>
      <c r="E98" s="87"/>
      <c r="F98" s="87"/>
      <c r="G98" s="87"/>
      <c r="H98" s="89"/>
      <c r="I98" s="45" t="s">
        <v>155</v>
      </c>
      <c r="J98" s="48">
        <f>(IF(B87=1,(H87/(B87+3)+J93),IF(B87=0,(H87/4+J93),IF(B87&gt;1,0))))</f>
        <v>0</v>
      </c>
    </row>
    <row r="99" spans="1:12" s="14" customFormat="1" ht="16.5" thickBot="1">
      <c r="A99" s="94" t="s">
        <v>156</v>
      </c>
      <c r="B99" s="95"/>
      <c r="C99" s="35">
        <v>0</v>
      </c>
      <c r="D99" s="36">
        <f ca="1">((100/(H87))*C99)/100</f>
        <v>0</v>
      </c>
      <c r="E99" s="88"/>
      <c r="F99" s="88"/>
      <c r="G99" s="88"/>
      <c r="H99" s="90"/>
      <c r="I99" s="50" t="s">
        <v>157</v>
      </c>
      <c r="J99" s="51">
        <f ca="1">(IF(B87&gt;1.5,(H87/(B87+2)+J93+MAX(0,J94-J93)+MAX(0,J95-J94)+MAX(0,J96-J95)+MAX(0,J97-J96)+MAX(0,J98-J97)),IF(B87=1,(H87/(B87+3)+J98),IF(B87=0,H87/4+J98))))</f>
        <v>53.999999999999993</v>
      </c>
    </row>
    <row r="100" spans="1:12" s="14" customFormat="1" ht="15.75" customHeight="1">
      <c r="A100" s="96" t="s">
        <v>123</v>
      </c>
      <c r="B100" s="97"/>
      <c r="C100" s="98" t="str">
        <f>D63</f>
        <v>Tower 3 &amp; 4 = 5B + G + 9P + 2Lvl Amenity + 1st to 54th Floor</v>
      </c>
      <c r="D100" s="99"/>
      <c r="E100" s="99"/>
      <c r="F100" s="99"/>
      <c r="G100" s="99"/>
      <c r="H100" s="100"/>
      <c r="I100" s="41" t="str">
        <f>(IF(E104&gt;99%,"All work completed. Please provide OC.",IF(E104&gt;89.8%,"Plinth, RCC, Brick, Plaster, Flooring, Painting work Completed. Finishing work is in process.",IF(E104&lt;94%,(IF(C104=0,"Work not yet Started.",IF(D104=25%,"Piling work in process",IF(D104=50%,"Excavation work in process",IF(D104=100%,"Excavation work Completed. ","0")))&amp;(IF(C105=0%,"",IF(C105=J106,"Footing work is process",IF(C105=J107,"Footing work Completed",IF(C105=J108,"1st Basement Completed",IF(C105=J109,"1st &amp; 2nd Basement Completed",IF(C105=J110,"1st to 3rd Basement Completed",IF(C105=J111,"1st to 4th Basement Completed",IF(C105=J112,"Plinth work is process",IF(C105=J113,"Plinth work completed","0")))))))))))&amp;(IF(C106=(D101+F101+H101),", RCC Slab",IF(C106&gt;0,", RCC upto "&amp;C106&amp;" Slab",""))&amp;(IF(C107=H101,", Brickwork",IF(C107&gt;0,", Brickwork upto "&amp;C107&amp;" Floor",""))&amp;(IF(C108=H101,", Internal Plaster",IF(C108&gt;0,", Internal Plaster upto "&amp;C108&amp;" Floor",""))&amp;(IF(C109=H101,", External Plaster",IF(C109&gt;0,", External Plaster upto "&amp;C109&amp;" Floor",""))&amp;(IF(C110=H101,", Flooring",IF(C110&gt;0,", Flooring upto "&amp;C110&amp;" Floor",""))&amp;(IF(C111=H101,", Painting",IF(C111&gt;0,", Painting upto "&amp;C111&amp;" Floor",""))&amp;(IF(C112&gt;0,", Finishing upto "&amp;C112&amp;" Floor","")&amp;(IF(C106&gt;0.5," Completed",""))))))))))))))</f>
        <v>Excavation work Completed. Plinth work completed, RCC upto 53 Slab, Brickwork upto 41 Floor, Internal Plaster upto 30.75 Floor, External Plaster upto 26.65 Floor Completed</v>
      </c>
      <c r="J100" s="42"/>
    </row>
    <row r="101" spans="1:12" s="14" customFormat="1">
      <c r="A101" s="29" t="s">
        <v>124</v>
      </c>
      <c r="B101" s="24">
        <v>5</v>
      </c>
      <c r="C101" s="24" t="s">
        <v>125</v>
      </c>
      <c r="D101" s="24">
        <v>1</v>
      </c>
      <c r="E101" s="24" t="s">
        <v>126</v>
      </c>
      <c r="F101" s="24">
        <v>11</v>
      </c>
      <c r="G101" s="24" t="s">
        <v>127</v>
      </c>
      <c r="H101" s="30">
        <v>54</v>
      </c>
      <c r="I101" s="43"/>
      <c r="J101" s="44"/>
    </row>
    <row r="102" spans="1:12" s="14" customFormat="1" ht="48.75" customHeight="1">
      <c r="A102" s="101" t="s">
        <v>128</v>
      </c>
      <c r="B102" s="102"/>
      <c r="C102" s="103" t="str">
        <f>I100</f>
        <v>Excavation work Completed. Plinth work completed, RCC upto 53 Slab, Brickwork upto 41 Floor, Internal Plaster upto 30.75 Floor, External Plaster upto 26.65 Floor Completed</v>
      </c>
      <c r="D102" s="103"/>
      <c r="E102" s="103"/>
      <c r="F102" s="103"/>
      <c r="G102" s="103"/>
      <c r="H102" s="104"/>
      <c r="I102" s="43" t="s">
        <v>129</v>
      </c>
      <c r="J102" s="44"/>
    </row>
    <row r="103" spans="1:12" s="14" customFormat="1" ht="15.75" customHeight="1">
      <c r="A103" s="92" t="s">
        <v>130</v>
      </c>
      <c r="B103" s="93"/>
      <c r="C103" s="31" t="s">
        <v>131</v>
      </c>
      <c r="D103" s="31" t="s">
        <v>132</v>
      </c>
      <c r="E103" s="93" t="s">
        <v>133</v>
      </c>
      <c r="F103" s="93"/>
      <c r="G103" s="93" t="s">
        <v>134</v>
      </c>
      <c r="H103" s="105"/>
      <c r="I103" s="45" t="s">
        <v>135</v>
      </c>
      <c r="J103" s="46">
        <f>H101*25%</f>
        <v>13.5</v>
      </c>
    </row>
    <row r="104" spans="1:12" s="14" customFormat="1">
      <c r="A104" s="92" t="s">
        <v>136</v>
      </c>
      <c r="B104" s="93"/>
      <c r="C104" s="32">
        <f>J105</f>
        <v>54</v>
      </c>
      <c r="D104" s="33">
        <f>((100/H101)*C104)/100</f>
        <v>1</v>
      </c>
      <c r="E104" s="87">
        <f>(((C105/H101*10)+(40/(D101+F101+H101)*C106)+(7.5/(H101)*C107)+(7.5/(H101)*C108)+(10/H101*C109)+(10/H101*C110)+(5/H101*C111)+(5/H101*C112)+(5/H101*C113))/100)</f>
        <v>0.57021675084175083</v>
      </c>
      <c r="F104" s="87"/>
      <c r="G104" s="87">
        <f>((((C104/H101)*20)+((C105/H101)*25)+(30/(H101+F101+D101)*C106)+(5/H101*C107)+(5/H101*C108)+(5/H101*C109)+(5/H101*C110)+(0/H101*C111)+(0/H101*C112)+(5/H101*C113))/100)</f>
        <v>0.78202020202020206</v>
      </c>
      <c r="H104" s="89"/>
      <c r="I104" s="45" t="s">
        <v>137</v>
      </c>
      <c r="J104" s="47">
        <f>H101*50%</f>
        <v>27</v>
      </c>
    </row>
    <row r="105" spans="1:12" s="14" customFormat="1">
      <c r="A105" s="92" t="s">
        <v>138</v>
      </c>
      <c r="B105" s="93"/>
      <c r="C105" s="34">
        <v>54</v>
      </c>
      <c r="D105" s="33">
        <f>((100/H101)*C105)/100</f>
        <v>1</v>
      </c>
      <c r="E105" s="87"/>
      <c r="F105" s="87"/>
      <c r="G105" s="87"/>
      <c r="H105" s="89"/>
      <c r="I105" s="45" t="s">
        <v>139</v>
      </c>
      <c r="J105" s="47">
        <f>H101</f>
        <v>54</v>
      </c>
    </row>
    <row r="106" spans="1:12" s="14" customFormat="1" ht="15.75" customHeight="1">
      <c r="A106" s="92" t="s">
        <v>140</v>
      </c>
      <c r="B106" s="93"/>
      <c r="C106" s="34">
        <v>53</v>
      </c>
      <c r="D106" s="33">
        <f>((100/(D101+F101+H101))*C106)/100</f>
        <v>0.80303030303030298</v>
      </c>
      <c r="E106" s="87"/>
      <c r="F106" s="87"/>
      <c r="G106" s="87"/>
      <c r="H106" s="89"/>
      <c r="I106" s="45" t="s">
        <v>141</v>
      </c>
      <c r="J106" s="48">
        <f>(IF(B101&gt;1,(H101/(B101+2)),H101/4))</f>
        <v>7.7142857142857144</v>
      </c>
    </row>
    <row r="107" spans="1:12" s="14" customFormat="1" ht="15.75" customHeight="1">
      <c r="A107" s="92" t="s">
        <v>142</v>
      </c>
      <c r="B107" s="93" t="s">
        <v>143</v>
      </c>
      <c r="C107" s="34">
        <f>C106-F101-D101</f>
        <v>41</v>
      </c>
      <c r="D107" s="33">
        <f>((100/H101)*C107)/100</f>
        <v>0.75925925925925919</v>
      </c>
      <c r="E107" s="87"/>
      <c r="F107" s="87"/>
      <c r="G107" s="87"/>
      <c r="H107" s="89"/>
      <c r="I107" s="45" t="s">
        <v>144</v>
      </c>
      <c r="J107" s="48">
        <f>(IF(B101&gt;1,(H101/(B101+2)+J106),H101/4+J106))</f>
        <v>15.428571428571429</v>
      </c>
      <c r="L107" s="14">
        <f>54/4</f>
        <v>13.5</v>
      </c>
    </row>
    <row r="108" spans="1:12" s="14" customFormat="1" ht="15.75" customHeight="1">
      <c r="A108" s="92" t="s">
        <v>145</v>
      </c>
      <c r="B108" s="93" t="s">
        <v>143</v>
      </c>
      <c r="C108" s="34">
        <f>C107*0.75</f>
        <v>30.75</v>
      </c>
      <c r="D108" s="33">
        <f>((100/H101)*C108)/100</f>
        <v>0.56944444444444442</v>
      </c>
      <c r="E108" s="87"/>
      <c r="F108" s="87"/>
      <c r="G108" s="87"/>
      <c r="H108" s="89"/>
      <c r="I108" s="45" t="s">
        <v>146</v>
      </c>
      <c r="J108" s="48">
        <f>(IF(B101&gt;1,(H101/(B101+2)+J107),0))</f>
        <v>23.142857142857142</v>
      </c>
      <c r="L108" s="14">
        <f>9+14</f>
        <v>23</v>
      </c>
    </row>
    <row r="109" spans="1:12" s="14" customFormat="1" ht="15" customHeight="1">
      <c r="A109" s="92" t="s">
        <v>147</v>
      </c>
      <c r="B109" s="93" t="s">
        <v>148</v>
      </c>
      <c r="C109" s="34">
        <f>C107*0.65</f>
        <v>26.650000000000002</v>
      </c>
      <c r="D109" s="33">
        <f>((100/(H101))*C109)/100</f>
        <v>0.49351851851851852</v>
      </c>
      <c r="E109" s="87"/>
      <c r="F109" s="87"/>
      <c r="G109" s="87"/>
      <c r="H109" s="89"/>
      <c r="I109" s="45" t="s">
        <v>149</v>
      </c>
      <c r="J109" s="48">
        <f>(IF(B101&gt;2,(H101/(B101+2)+J108),0))</f>
        <v>30.857142857142858</v>
      </c>
    </row>
    <row r="110" spans="1:12" s="14" customFormat="1" ht="15.75" customHeight="1">
      <c r="A110" s="92" t="s">
        <v>150</v>
      </c>
      <c r="B110" s="93" t="s">
        <v>150</v>
      </c>
      <c r="C110" s="32">
        <v>0</v>
      </c>
      <c r="D110" s="33">
        <f>((100/H101)*C110)/100</f>
        <v>0</v>
      </c>
      <c r="E110" s="87"/>
      <c r="F110" s="87"/>
      <c r="G110" s="87"/>
      <c r="H110" s="89"/>
      <c r="I110" s="45" t="s">
        <v>151</v>
      </c>
      <c r="J110" s="49">
        <f>(IF(B101&gt;3,(H101/(B101+2)+J109),0))</f>
        <v>38.571428571428569</v>
      </c>
    </row>
    <row r="111" spans="1:12" s="14" customFormat="1" ht="15.75" customHeight="1">
      <c r="A111" s="92" t="s">
        <v>152</v>
      </c>
      <c r="B111" s="93"/>
      <c r="C111" s="32">
        <v>0</v>
      </c>
      <c r="D111" s="33">
        <f>((100/H101)*C111)/100</f>
        <v>0</v>
      </c>
      <c r="E111" s="87"/>
      <c r="F111" s="87"/>
      <c r="G111" s="87"/>
      <c r="H111" s="89"/>
      <c r="I111" s="45" t="s">
        <v>153</v>
      </c>
      <c r="J111" s="48">
        <f>(IF(B101&gt;4,(H101/(B101+2)+J110),0))</f>
        <v>46.285714285714285</v>
      </c>
    </row>
    <row r="112" spans="1:12" s="14" customFormat="1" ht="15.75" customHeight="1">
      <c r="A112" s="92" t="s">
        <v>154</v>
      </c>
      <c r="B112" s="93" t="s">
        <v>154</v>
      </c>
      <c r="C112" s="32">
        <v>0</v>
      </c>
      <c r="D112" s="33">
        <f>((100/(H101))*C112)/100</f>
        <v>0</v>
      </c>
      <c r="E112" s="87"/>
      <c r="F112" s="87"/>
      <c r="G112" s="87"/>
      <c r="H112" s="89"/>
      <c r="I112" s="45" t="s">
        <v>155</v>
      </c>
      <c r="J112" s="48">
        <f>(IF(B101=1,(H101/(B101+3)+J107),IF(B101=0,(H101/4+J107),IF(B101&gt;1,0))))</f>
        <v>0</v>
      </c>
    </row>
    <row r="113" spans="1:10" s="14" customFormat="1">
      <c r="A113" s="94" t="s">
        <v>156</v>
      </c>
      <c r="B113" s="95"/>
      <c r="C113" s="35">
        <v>0</v>
      </c>
      <c r="D113" s="36">
        <f>((100/(H101))*C113)/100</f>
        <v>0</v>
      </c>
      <c r="E113" s="88"/>
      <c r="F113" s="88"/>
      <c r="G113" s="88"/>
      <c r="H113" s="90"/>
      <c r="I113" s="50" t="s">
        <v>157</v>
      </c>
      <c r="J113" s="51">
        <f>(IF(B101&gt;1.5,(H101/(B101+2)+J107+MAX(0,J108-J107)+MAX(0,J109-J108)+MAX(0,J110-J109)+MAX(0,J111-J110)+MAX(0,J112-J111)),IF(B101=1,(H101/(B101+3)+J112),IF(B101=0,H101/4+J112))))</f>
        <v>53.999999999999993</v>
      </c>
    </row>
    <row r="114" spans="1:10" s="14" customFormat="1" ht="15.75" customHeight="1">
      <c r="A114" s="96" t="s">
        <v>123</v>
      </c>
      <c r="B114" s="97"/>
      <c r="C114" s="148" t="str">
        <f>D64</f>
        <v>Tower 5 = 5B + G + 9P + 2Lvl Amenity + 1st to 54th Floor</v>
      </c>
      <c r="D114" s="99"/>
      <c r="E114" s="99"/>
      <c r="F114" s="99"/>
      <c r="G114" s="99"/>
      <c r="H114" s="100"/>
      <c r="I114" s="41" t="str">
        <f ca="1">(IF(E118&gt;99%,"All work completed. Please provide OC.",IF(E118&gt;89.8%,"Plinth, RCC, Brick, Plaster, Flooring, Painting work Completed. Finishing work is in process.",IF(E118&lt;94%,(IF(C118=0,"Work not yet Started.",IF(D118=25%,"Piling work in process",IF(D118=50%,"Excavation work in process",IF(D118=100%,"Excavation work Completed. ","0")))&amp;(IF(C119=0%,"",IF(C119=J120,"Footing work is process",IF(C119=J121,"Footing work Completed",IF(C119=J122,"1st Basement Completed",IF(C119=J123,"1st &amp; 2nd Basement Completed",IF(C119=J124,"1st to 3rd Basement Completed",IF(C119=J125,"1st to 4th Basement Completed",IF(C119=J126,"Plinth work is process",IF(C119=J127,"Plinth work completed","0")))))))))))&amp;(IF(C120=(D115+F115+H115),", RCC Slab",IF(C120&gt;0,", RCC upto "&amp;C120&amp;" Slab",""))&amp;(IF(C121=H115,", Brickwork",IF(C121&gt;0,", Brickwork upto "&amp;C121&amp;" Floor",""))&amp;(IF(C122=H115,", Internal Plaster",IF(C122&gt;0,", Internal Plaster upto "&amp;C122&amp;" Floor",""))&amp;(IF(C123=H115,", External Plaster",IF(C123&gt;0,", External Plaster upto "&amp;C123&amp;" Floor",""))&amp;(IF(C124=H115,", Flooring",IF(C124&gt;0,", Flooring upto "&amp;C124&amp;" Floor",""))&amp;(IF(C125=H115,", Painting",IF(C125&gt;0,", Painting upto "&amp;C125&amp;" Floor",""))&amp;(IF(C126&gt;0,", Finishing upto "&amp;C126&amp;" Floor","")&amp;(IF(C120&gt;0.5," Completed",""))))))))))))))</f>
        <v>Excavation work Completed. Plinth work completed, RCC upto 19 Slab, Brickwork upto 7 Floor, Internal Plaster upto 5.25 Floor, External Plaster upto 4.55 Floor Completed</v>
      </c>
      <c r="J114" s="42"/>
    </row>
    <row r="115" spans="1:10" s="14" customFormat="1">
      <c r="A115" s="29" t="s">
        <v>124</v>
      </c>
      <c r="B115" s="24">
        <v>5</v>
      </c>
      <c r="C115" s="24" t="s">
        <v>125</v>
      </c>
      <c r="D115" s="24">
        <v>1</v>
      </c>
      <c r="E115" s="24" t="s">
        <v>126</v>
      </c>
      <c r="F115" s="24">
        <v>11</v>
      </c>
      <c r="G115" s="24" t="s">
        <v>127</v>
      </c>
      <c r="H115" s="30">
        <f ca="1">--TRIM(RIGHT(SUBSTITUTE(LEFT(C114,_xlfn.AGGREGATE(16,6,FIND({0,1,2,3,4,5,6,7,8,9},C114,ROW(INDIRECT("1:"&amp;LEN(C114)))),1))," ",REPT(" ",LEN(C114))),LEN(C114)))</f>
        <v>54</v>
      </c>
      <c r="I115" s="43"/>
      <c r="J115" s="44"/>
    </row>
    <row r="116" spans="1:10" s="14" customFormat="1" ht="51.75" customHeight="1">
      <c r="A116" s="101" t="s">
        <v>128</v>
      </c>
      <c r="B116" s="102"/>
      <c r="C116" s="103" t="str">
        <f ca="1">I114</f>
        <v>Excavation work Completed. Plinth work completed, RCC upto 19 Slab, Brickwork upto 7 Floor, Internal Plaster upto 5.25 Floor, External Plaster upto 4.55 Floor Completed</v>
      </c>
      <c r="D116" s="103"/>
      <c r="E116" s="103"/>
      <c r="F116" s="103"/>
      <c r="G116" s="103"/>
      <c r="H116" s="104"/>
      <c r="I116" s="43" t="s">
        <v>129</v>
      </c>
      <c r="J116" s="44"/>
    </row>
    <row r="117" spans="1:10" s="14" customFormat="1" ht="15.75" customHeight="1">
      <c r="A117" s="92" t="s">
        <v>130</v>
      </c>
      <c r="B117" s="93"/>
      <c r="C117" s="31" t="s">
        <v>131</v>
      </c>
      <c r="D117" s="31" t="s">
        <v>132</v>
      </c>
      <c r="E117" s="93" t="s">
        <v>133</v>
      </c>
      <c r="F117" s="93"/>
      <c r="G117" s="93" t="s">
        <v>134</v>
      </c>
      <c r="H117" s="105"/>
      <c r="I117" s="45" t="s">
        <v>135</v>
      </c>
      <c r="J117" s="46">
        <f ca="1">H115*25%</f>
        <v>13.5</v>
      </c>
    </row>
    <row r="118" spans="1:10" s="14" customFormat="1">
      <c r="A118" s="92" t="s">
        <v>136</v>
      </c>
      <c r="B118" s="93"/>
      <c r="C118" s="32">
        <f ca="1">J119</f>
        <v>54</v>
      </c>
      <c r="D118" s="33">
        <f ca="1">((100/H115)*C118)/100</f>
        <v>1</v>
      </c>
      <c r="E118" s="87">
        <f ca="1">(((C119/H115*10)+(40/(D115+F115+H115)*C120)+(7.5/(H115)*C121)+(7.5/(H115)*C122)+(10/H115*C123)+(10/H115*C124)+(5/H115*C125)+(5/H115*C126)+(5/H115*C127))/100)</f>
        <v>0.24059132996632995</v>
      </c>
      <c r="F118" s="87"/>
      <c r="G118" s="87">
        <f ca="1">((((C118/H115)*20)+((C119/H115)*25)+(30/(H115+F115+D115)*C120)+(5/H115*C121)+(5/H115*C122)+(5/H115*C123)+(5/H115*C124)+(0/H115*C125)+(0/H115*C126)+(5/H115*C127))/100)</f>
        <v>0.55191919191919192</v>
      </c>
      <c r="H118" s="89"/>
      <c r="I118" s="45" t="s">
        <v>137</v>
      </c>
      <c r="J118" s="47">
        <f ca="1">H115*50%</f>
        <v>27</v>
      </c>
    </row>
    <row r="119" spans="1:10" s="14" customFormat="1">
      <c r="A119" s="92" t="s">
        <v>138</v>
      </c>
      <c r="B119" s="93"/>
      <c r="C119" s="37">
        <v>54</v>
      </c>
      <c r="D119" s="33">
        <f ca="1">((100/H115)*C119)/100</f>
        <v>1</v>
      </c>
      <c r="E119" s="87"/>
      <c r="F119" s="87"/>
      <c r="G119" s="87"/>
      <c r="H119" s="89"/>
      <c r="I119" s="45" t="s">
        <v>139</v>
      </c>
      <c r="J119" s="47">
        <f ca="1">H115</f>
        <v>54</v>
      </c>
    </row>
    <row r="120" spans="1:10" s="14" customFormat="1" ht="15.75" customHeight="1">
      <c r="A120" s="92" t="s">
        <v>140</v>
      </c>
      <c r="B120" s="93"/>
      <c r="C120" s="34">
        <f>D115+F115+7</f>
        <v>19</v>
      </c>
      <c r="D120" s="33">
        <f ca="1">((100/(D115+F115+H115))*C120)/100</f>
        <v>0.2878787878787879</v>
      </c>
      <c r="E120" s="87"/>
      <c r="F120" s="87"/>
      <c r="G120" s="87"/>
      <c r="H120" s="89"/>
      <c r="I120" s="45" t="s">
        <v>141</v>
      </c>
      <c r="J120" s="48">
        <f ca="1">(IF(B115&gt;1,(H115/(B115+2)),H115/4))</f>
        <v>7.7142857142857144</v>
      </c>
    </row>
    <row r="121" spans="1:10" s="14" customFormat="1" ht="15.75" customHeight="1">
      <c r="A121" s="92" t="s">
        <v>142</v>
      </c>
      <c r="B121" s="93" t="s">
        <v>143</v>
      </c>
      <c r="C121" s="34">
        <f>C120-F115-D115</f>
        <v>7</v>
      </c>
      <c r="D121" s="33">
        <f ca="1">((100/H115)*C121)/100</f>
        <v>0.12962962962962965</v>
      </c>
      <c r="E121" s="87"/>
      <c r="F121" s="87"/>
      <c r="G121" s="87"/>
      <c r="H121" s="89"/>
      <c r="I121" s="45" t="s">
        <v>144</v>
      </c>
      <c r="J121" s="48">
        <f ca="1">(IF(B115&gt;1,(H115/(B115+2)+J120),H115/4+J120))</f>
        <v>15.428571428571429</v>
      </c>
    </row>
    <row r="122" spans="1:10" s="14" customFormat="1" ht="15.75" customHeight="1">
      <c r="A122" s="92" t="s">
        <v>145</v>
      </c>
      <c r="B122" s="93" t="s">
        <v>143</v>
      </c>
      <c r="C122" s="34">
        <f>C121*0.75</f>
        <v>5.25</v>
      </c>
      <c r="D122" s="33">
        <f ca="1">((100/H115)*C122)/100</f>
        <v>9.722222222222221E-2</v>
      </c>
      <c r="E122" s="87"/>
      <c r="F122" s="87"/>
      <c r="G122" s="87"/>
      <c r="H122" s="89"/>
      <c r="I122" s="45" t="s">
        <v>146</v>
      </c>
      <c r="J122" s="48">
        <f ca="1">(IF(B115&gt;1,(H115/(B115+2)+J121),0))</f>
        <v>23.142857142857142</v>
      </c>
    </row>
    <row r="123" spans="1:10" s="14" customFormat="1" ht="15" customHeight="1">
      <c r="A123" s="92" t="s">
        <v>147</v>
      </c>
      <c r="B123" s="93" t="s">
        <v>148</v>
      </c>
      <c r="C123" s="34">
        <f>C121*0.65</f>
        <v>4.55</v>
      </c>
      <c r="D123" s="33">
        <f ca="1">((100/(H115))*C123)/100</f>
        <v>8.4259259259259256E-2</v>
      </c>
      <c r="E123" s="87"/>
      <c r="F123" s="87"/>
      <c r="G123" s="87"/>
      <c r="H123" s="89"/>
      <c r="I123" s="45" t="s">
        <v>149</v>
      </c>
      <c r="J123" s="48">
        <f ca="1">(IF(B115&gt;2,(H115/(B115+2)+J122),0))</f>
        <v>30.857142857142858</v>
      </c>
    </row>
    <row r="124" spans="1:10" s="14" customFormat="1" ht="15.75" customHeight="1">
      <c r="A124" s="92" t="s">
        <v>150</v>
      </c>
      <c r="B124" s="93" t="s">
        <v>150</v>
      </c>
      <c r="C124" s="32">
        <v>0</v>
      </c>
      <c r="D124" s="33">
        <f ca="1">((100/H115)*C124)/100</f>
        <v>0</v>
      </c>
      <c r="E124" s="87"/>
      <c r="F124" s="87"/>
      <c r="G124" s="87"/>
      <c r="H124" s="89"/>
      <c r="I124" s="45" t="s">
        <v>151</v>
      </c>
      <c r="J124" s="49">
        <f ca="1">(IF(B115&gt;3,(H115/(B115+2)+J123),0))</f>
        <v>38.571428571428569</v>
      </c>
    </row>
    <row r="125" spans="1:10" s="14" customFormat="1" ht="15.75" customHeight="1">
      <c r="A125" s="92" t="s">
        <v>152</v>
      </c>
      <c r="B125" s="93"/>
      <c r="C125" s="32">
        <v>0</v>
      </c>
      <c r="D125" s="33">
        <f ca="1">((100/H115)*C125)/100</f>
        <v>0</v>
      </c>
      <c r="E125" s="87"/>
      <c r="F125" s="87"/>
      <c r="G125" s="87"/>
      <c r="H125" s="89"/>
      <c r="I125" s="45" t="s">
        <v>153</v>
      </c>
      <c r="J125" s="48">
        <f ca="1">(IF(B115&gt;4,(H115/(B115+2)+J124),0))</f>
        <v>46.285714285714285</v>
      </c>
    </row>
    <row r="126" spans="1:10" s="14" customFormat="1" ht="15.75" customHeight="1">
      <c r="A126" s="92" t="s">
        <v>154</v>
      </c>
      <c r="B126" s="93" t="s">
        <v>154</v>
      </c>
      <c r="C126" s="32">
        <v>0</v>
      </c>
      <c r="D126" s="33">
        <f ca="1">((100/(H115))*C126)/100</f>
        <v>0</v>
      </c>
      <c r="E126" s="87"/>
      <c r="F126" s="87"/>
      <c r="G126" s="87"/>
      <c r="H126" s="89"/>
      <c r="I126" s="45" t="s">
        <v>155</v>
      </c>
      <c r="J126" s="48">
        <f>(IF(B115=1,(H115/(B115+3)+J121),IF(B115=0,(H115/4+J121),IF(B115&gt;1,0))))</f>
        <v>0</v>
      </c>
    </row>
    <row r="127" spans="1:10" s="14" customFormat="1">
      <c r="A127" s="94" t="s">
        <v>156</v>
      </c>
      <c r="B127" s="95"/>
      <c r="C127" s="35">
        <v>0</v>
      </c>
      <c r="D127" s="36">
        <f ca="1">((100/(H115))*C127)/100</f>
        <v>0</v>
      </c>
      <c r="E127" s="88"/>
      <c r="F127" s="88"/>
      <c r="G127" s="88"/>
      <c r="H127" s="90"/>
      <c r="I127" s="50" t="s">
        <v>157</v>
      </c>
      <c r="J127" s="51">
        <f ca="1">(IF(B115&gt;1.5,(H115/(B115+2)+J121+MAX(0,J122-J121)+MAX(0,J123-J122)+MAX(0,J124-J123)+MAX(0,J125-J124)+MAX(0,J126-J125)),IF(B115=1,(H115/(B115+3)+J126),IF(B115=0,H115/4+J126))))</f>
        <v>53.999999999999993</v>
      </c>
    </row>
    <row r="128" spans="1:10" s="14" customFormat="1">
      <c r="A128" s="102" t="s">
        <v>158</v>
      </c>
      <c r="B128" s="102"/>
      <c r="C128" s="102"/>
      <c r="D128" s="102"/>
      <c r="E128" s="102"/>
      <c r="F128" s="102"/>
      <c r="G128" s="102"/>
      <c r="H128" s="102"/>
    </row>
    <row r="129" spans="1:10" s="14" customFormat="1">
      <c r="A129" s="86" t="s">
        <v>159</v>
      </c>
      <c r="B129" s="86"/>
      <c r="C129" s="86"/>
      <c r="D129" s="86"/>
      <c r="E129" s="86"/>
      <c r="F129" s="102">
        <v>15700</v>
      </c>
      <c r="G129" s="102"/>
      <c r="H129" s="102"/>
    </row>
    <row r="130" spans="1:10" s="15" customFormat="1">
      <c r="A130" s="86" t="s">
        <v>160</v>
      </c>
      <c r="B130" s="86"/>
      <c r="C130" s="86"/>
      <c r="D130" s="86"/>
      <c r="E130" s="86"/>
      <c r="F130" s="86" t="s">
        <v>161</v>
      </c>
      <c r="G130" s="86"/>
      <c r="H130" s="86"/>
      <c r="J130" s="15" t="s">
        <v>162</v>
      </c>
    </row>
    <row r="131" spans="1:10" s="15" customFormat="1" hidden="1">
      <c r="A131" s="86" t="s">
        <v>163</v>
      </c>
      <c r="B131" s="86"/>
      <c r="C131" s="86"/>
      <c r="D131" s="86"/>
      <c r="E131" s="86"/>
      <c r="F131" s="86" t="s">
        <v>58</v>
      </c>
      <c r="G131" s="86"/>
      <c r="H131" s="86"/>
    </row>
    <row r="132" spans="1:10" s="15" customFormat="1">
      <c r="A132" s="86" t="s">
        <v>164</v>
      </c>
      <c r="B132" s="86"/>
      <c r="C132" s="86"/>
      <c r="D132" s="86"/>
      <c r="E132" s="86"/>
      <c r="F132" s="86" t="s">
        <v>165</v>
      </c>
      <c r="G132" s="86"/>
      <c r="H132" s="86"/>
    </row>
    <row r="133" spans="1:10" s="15" customFormat="1" hidden="1">
      <c r="A133" s="86" t="s">
        <v>166</v>
      </c>
      <c r="B133" s="86"/>
      <c r="C133" s="86"/>
      <c r="D133" s="86"/>
      <c r="E133" s="86"/>
      <c r="F133" s="86" t="s">
        <v>58</v>
      </c>
      <c r="G133" s="86"/>
      <c r="H133" s="86"/>
    </row>
    <row r="134" spans="1:10" s="15" customFormat="1" hidden="1">
      <c r="A134" s="86" t="s">
        <v>167</v>
      </c>
      <c r="B134" s="86"/>
      <c r="C134" s="86"/>
      <c r="D134" s="86"/>
      <c r="E134" s="86"/>
      <c r="F134" s="86" t="s">
        <v>58</v>
      </c>
      <c r="G134" s="86"/>
      <c r="H134" s="86"/>
    </row>
    <row r="135" spans="1:10" s="15" customFormat="1" hidden="1">
      <c r="A135" s="86" t="s">
        <v>168</v>
      </c>
      <c r="B135" s="86"/>
      <c r="C135" s="86"/>
      <c r="D135" s="86"/>
      <c r="E135" s="86"/>
      <c r="F135" s="86" t="s">
        <v>58</v>
      </c>
      <c r="G135" s="86"/>
      <c r="H135" s="86"/>
    </row>
    <row r="136" spans="1:10" s="15" customFormat="1" hidden="1">
      <c r="A136" s="86" t="s">
        <v>169</v>
      </c>
      <c r="B136" s="86"/>
      <c r="C136" s="86"/>
      <c r="D136" s="86"/>
      <c r="E136" s="86"/>
      <c r="F136" s="86" t="s">
        <v>58</v>
      </c>
      <c r="G136" s="86"/>
      <c r="H136" s="86"/>
    </row>
    <row r="137" spans="1:10" s="15" customFormat="1">
      <c r="A137" s="86" t="s">
        <v>170</v>
      </c>
      <c r="B137" s="86"/>
      <c r="C137" s="86"/>
      <c r="D137" s="86"/>
      <c r="E137" s="86"/>
      <c r="F137" s="86" t="s">
        <v>171</v>
      </c>
      <c r="G137" s="86"/>
      <c r="H137" s="86"/>
    </row>
    <row r="138" spans="1:10" s="14" customFormat="1">
      <c r="A138" s="86" t="s">
        <v>172</v>
      </c>
      <c r="B138" s="86"/>
      <c r="C138" s="86"/>
      <c r="D138" s="86"/>
      <c r="E138" s="86"/>
      <c r="F138" s="81" t="s">
        <v>173</v>
      </c>
      <c r="G138" s="81"/>
      <c r="H138" s="81"/>
    </row>
    <row r="139" spans="1:10" s="16" customFormat="1">
      <c r="A139" s="102" t="s">
        <v>174</v>
      </c>
      <c r="B139" s="102"/>
      <c r="C139" s="102"/>
      <c r="D139" s="102"/>
      <c r="E139" s="102"/>
      <c r="F139" s="86">
        <f>F129*0.8</f>
        <v>12560</v>
      </c>
      <c r="G139" s="86"/>
      <c r="H139" s="86"/>
    </row>
    <row r="140" spans="1:10" s="17" customFormat="1">
      <c r="A140" s="143" t="s">
        <v>175</v>
      </c>
      <c r="B140" s="143"/>
      <c r="C140" s="143"/>
      <c r="D140" s="143"/>
      <c r="E140" s="143"/>
      <c r="F140" s="143"/>
      <c r="G140" s="143"/>
      <c r="H140" s="143"/>
    </row>
    <row r="141" spans="1:10" s="17" customFormat="1" ht="15.75" customHeight="1">
      <c r="A141" s="144" t="s">
        <v>176</v>
      </c>
      <c r="B141" s="144"/>
      <c r="C141" s="145" t="s">
        <v>177</v>
      </c>
      <c r="D141" s="145"/>
      <c r="E141" s="146" t="s">
        <v>178</v>
      </c>
      <c r="F141" s="146"/>
      <c r="G141" s="144" t="s">
        <v>179</v>
      </c>
      <c r="H141" s="144"/>
    </row>
    <row r="142" spans="1:10" s="17" customFormat="1">
      <c r="A142" s="140" t="s">
        <v>180</v>
      </c>
      <c r="B142" s="140"/>
      <c r="C142" s="141">
        <f>COUNT(D161:D163)+COUNT(D165:D168)*3+COUNT(D170:D173)*4+COUNT(D176:D178)+COUNT(D180:D183)*11+COUNT(D186:D188)+COUNT(D192:D194)+COUNT(D196:D199)*11+COUNT(D202:D204)*2+COUNT(D206:D209)*3+COUNT(D211:D214)*2+COUNT(D216:D219)*2+COUNT(D222:D224)+COUNT(D226:D229)*2+COUNT(D231:D234)</f>
        <v>177</v>
      </c>
      <c r="D142" s="141"/>
      <c r="E142" s="147">
        <f>SUM(F161:F163)+SUM(F165:F168)*3+SUM(F170:F173)*4+SUM(F176:F178)+SUM(F180:F183)*11+SUM(F186:F188)+SUM(F192:F194)+SUM(F196:F199)*11+SUM(F202:F204)*2+SUM(F206:F209)*3+SUM(F211:F214)*2+SUM(F216:F219)*2+SUM(F222:F224)+SUM(F226:F229)*2+SUM(F231:F234)</f>
        <v>149035.65299999999</v>
      </c>
      <c r="F142" s="147"/>
      <c r="G142" s="147">
        <f>SUM(H161:H163)+SUM(H165:H168)*3+SUM(H170:H173)*4+SUM(H176:H178)+SUM(H180:H183)*11+SUM(H186:H188)+SUM(H192:H194)+SUM(H196:H199)*11+SUM(H202:H204)*2+SUM(H206:H209)*3+SUM(H211:H214)*2+SUM(H216:H219)*2+SUM(H222:H224)+SUM(H226:H229)*2+SUM(H231:H234)</f>
        <v>231005.26215000002</v>
      </c>
      <c r="H142" s="147"/>
    </row>
    <row r="143" spans="1:10" s="17" customFormat="1">
      <c r="A143" s="140" t="s">
        <v>181</v>
      </c>
      <c r="B143" s="140"/>
      <c r="C143" s="141">
        <f>COUNT(D237:D240)+COUNT(D244:D247)*3+COUNT(D251:D255)*2+COUNT(D258:D262)*2+COUNT(D265:D268,D270)+COUNT(D272:D277)*11+COUNT(D279:D282)+COUNT(D287:D290,D292)+COUNT(D294:D299)*11+COUNT(D301:D304,D306)*2+COUNT(D308:D311,D313)*3+COUNT(D315:D319)+COUNT(D322:D326)+COUNT(D329:D333)+COUNT(D336:D340)+COUNT(D343:D346,D348)+COUNT(D350:D355)*2+COUNT(D357:D362)</f>
        <v>250</v>
      </c>
      <c r="D143" s="141"/>
      <c r="E143" s="142">
        <f>SUM(F237:F240)+SUM(F244:F247)*3+SUM(F251:F255)*2+SUM(F258:F262)*2+SUM(F265:F268,F270)+SUM(F272:F277)*11+SUM(F279:F282)+SUM(F287:F290,F292)+SUM(F294:F299)*11+SUM(F301:F304,F306)*2+SUM(F308:F311,F313)*3+SUM(F315:F319)+SUM(F322:F326)+SUM(F329:F333)+SUM(F336:F340)+SUM(F343:F346,F348)+SUM(F350:F355)*2+SUM(F357:F362)</f>
        <v>146093.74416</v>
      </c>
      <c r="F143" s="142"/>
      <c r="G143" s="142">
        <f>SUM(H237:H240)+SUM(H244:H247)*3+SUM(H251:H255)*2+SUM(H258:H262)*2+SUM(H265:H268,H270)+SUM(H272:H277)*11+SUM(H279:H282)+SUM(H287:H290,H292)+SUM(H294:H299)*11+SUM(H301:H304,H306)*2+SUM(H308:H311,H313)*3+SUM(H315:H319)+SUM(H322:H326)+SUM(H329:H333)+SUM(H336:H340)+SUM(H343:H346,H348)+SUM(H350:H355)*2+SUM(H357:H362)</f>
        <v>226445.30344800002</v>
      </c>
      <c r="H143" s="142"/>
    </row>
    <row r="144" spans="1:10" s="17" customFormat="1">
      <c r="A144" s="140" t="s">
        <v>182</v>
      </c>
      <c r="B144" s="140"/>
      <c r="C144" s="141">
        <f>COUNT(D366:D367)+COUNT(D371:D372)*3+COUNT(D375:D377)*4+COUNT(D381:D383)+COUNT(D385:D388)*11+COUNT(D391:D392)+COUNT(D397:D399)+COUNT(D401:D404)*11+COUNT(D407:D409)*2+COUNT(D412:D414)*3+COUNT(D416:D418)+COUNT(D421:D423)+COUNT(D426:D428)*2+COUNT(D432:D434)+COUNT(D436:D439)*2+COUNT(D441:D444)+COUNT(D446:D449)*3+COUNT(D452:D453)+COUNT(D456:D458)*2</f>
        <v>178</v>
      </c>
      <c r="D144" s="141"/>
      <c r="E144" s="142">
        <f>SUM(F366:F367)+SUM(F371:F372)*3+SUM(F375:F377)*4+SUM(F381:F383)+SUM(F385:F388)*11+SUM(F391:F392)+SUM(F397:F399)+SUM(F401:F404)*11+SUM(F407:F409)*2+SUM(F412:F414)*3+SUM(F416:F418)+SUM(F421:F423)+SUM(F426:F428)*2+SUM(F432:F434)+SUM(F436:F439)*2+SUM(F441:F444)+SUM(F446:F449)*3+SUM(F452:F453)+SUM(F456:F459)*2</f>
        <v>98564.871599999999</v>
      </c>
      <c r="F144" s="142"/>
      <c r="G144" s="142">
        <f>SUM(H366:H367)+SUM(H371:H372)*3+SUM(H375:H377)*4+SUM(H381:H383)+SUM(H385:H388)*11+SUM(H391:H392)+SUM(H397:H399)+SUM(H401:H404)*11+SUM(H407:H409)*2+SUM(H412:H414)*3+SUM(H416:H418)+SUM(H421:H423)+SUM(H426:H428)*2+SUM(H432:H434)+SUM(H436:H439)*2+SUM(H441:H444)+SUM(H446:H449)*3+SUM(H452:H453)+SUM(H456:H459)*2</f>
        <v>152775.55098</v>
      </c>
      <c r="H144" s="142"/>
    </row>
    <row r="145" spans="1:14" s="17" customFormat="1">
      <c r="A145" s="140" t="s">
        <v>183</v>
      </c>
      <c r="B145" s="140"/>
      <c r="C145" s="141">
        <f>COUNT(D463:D464)+COUNT(D468:D469)*3+COUNT(D473:D475)*4+COUNT(D477:D479)+COUNT(D482:D485)*11+COUNT(D488:D489)+COUNT(D493:D495)+COUNT(D498:D501)*11+COUNT(D503:D505)*2+COUNT(D508:D510)*3+COUNT(D514:D516)+COUNT(D519:D521)+COUNT(D524:D526)*2+COUNT(D528:D530)+COUNT(D533:D536)*2+COUNT(D538:D541)+COUNT(D543:D546)*3+COUNT(D549:D550)+COUNT(D554:D556)*2</f>
        <v>178</v>
      </c>
      <c r="D145" s="141"/>
      <c r="E145" s="142">
        <f>SUM(F463:F464)+SUM(F468:F469)*3+SUM(F473:F475)*4+SUM(F477:F479)+SUM(F482:F485)*11+SUM(F488:F489)+SUM(F493:F495)+SUM(F498:F501)*11+SUM(F503:F505)*2+SUM(F508:F510)*3+SUM(F514:F516)+SUM(F519:F521)+SUM(F524:F526)*2+SUM(F528:F530)+SUM(F533:F536)*2+SUM(F538:F541)+SUM(F543:F546)*3+SUM(F549:F550)+SUM(F554:F556)*2</f>
        <v>138116.97431999998</v>
      </c>
      <c r="F145" s="142"/>
      <c r="G145" s="142">
        <f>SUM(H463:H464)+SUM(H468:H469)*3+SUM(H473:H475)*4+SUM(H477:H479)+SUM(H482:H485)*11+SUM(H488:H489)+SUM(H493:H495)+SUM(H498:H501)*11+SUM(H503:H505)*2+SUM(H508:H510)*3+SUM(H514:H516)+SUM(H519:H521)+SUM(H524:H526)*2+SUM(H528:H530)+SUM(H533:H536)*2+SUM(H538:H541)+SUM(H543:H546)*3+SUM(H549:H550)+SUM(H554:H556)*2</f>
        <v>214081.31019599995</v>
      </c>
      <c r="H145" s="142"/>
    </row>
    <row r="146" spans="1:14" s="17" customFormat="1" ht="16.5" thickBot="1">
      <c r="A146" s="129" t="s">
        <v>184</v>
      </c>
      <c r="B146" s="129"/>
      <c r="C146" s="130">
        <f>COUNT(D561:D563)+COUNT(D567:D569)*3+COUNT(D572:D575)*4+COUNT(D577,D579:D581)+COUNT(D583:D587)*11+COUNT(D591:D593)+COUNT(D596,D598:D600)+COUNT(D602:D606)*11+COUNT(D608,D610:D612)*2+COUNT(D614,D616:D618)*3+COUNT(D621:D624)+COUNT(D627:D630)+COUNT(D633:D636)+COUNT(D639:D642)+COUNT(D644,D646:D648)+COUNT(D650:D654)*2</f>
        <v>199</v>
      </c>
      <c r="D146" s="130"/>
      <c r="E146" s="131">
        <f>SUM(F561:F563)+SUM(F567:F569)*3+SUM(F572:F575)*4+SUM(F577,F579:F581)+SUM(F583:F587)*11+SUM(F591:F593)+SUM(F596,F598:F600)+SUM(F602:F606)*11+SUM(F608,F610:F612)*2+SUM(F614,F616:F618)*3+SUM(F621:F624)+SUM(F627:F630)+SUM(F633:F636)+SUM(F639:F642)+SUM(F644,F646:F648)+SUM(F650:F654)*2</f>
        <v>122872.56696000001</v>
      </c>
      <c r="F146" s="131"/>
      <c r="G146" s="131">
        <f>SUM(H561:H563)+SUM(H567:H569)*3+SUM(H572:H575)*4+SUM(H577,H579:H581)+SUM(H583:H587)*11+SUM(H591:H593)+SUM(H596,H598:H600)+SUM(H602:H606)*11+SUM(H608,H610:H612)*2+SUM(H614,H616:H618)*3+SUM(H621:H624)+SUM(H627:H630)+SUM(H633:H636)+SUM(H639:H642)+SUM(H644,H646:H648)+SUM(H650:H654)*2</f>
        <v>190452.47878799998</v>
      </c>
      <c r="H146" s="131"/>
    </row>
    <row r="147" spans="1:14" s="17" customFormat="1" ht="16.5" thickBot="1">
      <c r="A147" s="132" t="s">
        <v>291</v>
      </c>
      <c r="B147" s="133"/>
      <c r="C147" s="134">
        <f>SUM(C142:D146)</f>
        <v>982</v>
      </c>
      <c r="D147" s="135"/>
      <c r="E147" s="136">
        <f>SUM(E142:F146)</f>
        <v>654683.81003999989</v>
      </c>
      <c r="F147" s="137"/>
      <c r="G147" s="136">
        <f>SUM(G142:H146)</f>
        <v>1014759.905562</v>
      </c>
      <c r="H147" s="138"/>
    </row>
    <row r="148" spans="1:14" s="16" customFormat="1">
      <c r="A148" s="139" t="s">
        <v>185</v>
      </c>
      <c r="B148" s="139"/>
      <c r="C148" s="139"/>
      <c r="D148" s="139"/>
      <c r="E148" s="139"/>
      <c r="F148" s="139"/>
      <c r="G148" s="139"/>
      <c r="H148" s="139"/>
    </row>
    <row r="149" spans="1:14" s="14" customFormat="1">
      <c r="A149" s="128" t="s">
        <v>186</v>
      </c>
      <c r="B149" s="128"/>
      <c r="C149" s="128"/>
      <c r="D149" s="128"/>
      <c r="E149" s="128"/>
      <c r="F149" s="128"/>
      <c r="G149" s="128"/>
      <c r="H149" s="128"/>
    </row>
    <row r="150" spans="1:14" s="14" customFormat="1" ht="47.25" customHeight="1">
      <c r="A150" s="108" t="s">
        <v>187</v>
      </c>
      <c r="B150" s="108" t="s">
        <v>188</v>
      </c>
      <c r="C150" s="110" t="s">
        <v>189</v>
      </c>
      <c r="D150" s="110" t="s">
        <v>190</v>
      </c>
      <c r="E150" s="112" t="s">
        <v>290</v>
      </c>
      <c r="F150" s="112" t="s">
        <v>190</v>
      </c>
      <c r="G150" s="114" t="s">
        <v>191</v>
      </c>
      <c r="H150" s="52" t="s">
        <v>192</v>
      </c>
      <c r="I150" s="56">
        <f>3+6+6+6+3+4</f>
        <v>28</v>
      </c>
    </row>
    <row r="151" spans="1:14" s="18" customFormat="1">
      <c r="A151" s="109"/>
      <c r="B151" s="109"/>
      <c r="C151" s="111"/>
      <c r="D151" s="111"/>
      <c r="E151" s="113"/>
      <c r="F151" s="113"/>
      <c r="G151" s="115"/>
      <c r="H151" s="53">
        <v>0.55000000000000004</v>
      </c>
      <c r="I151" s="56"/>
    </row>
    <row r="152" spans="1:14" s="18" customFormat="1">
      <c r="A152" s="127" t="s">
        <v>193</v>
      </c>
      <c r="B152" s="127"/>
      <c r="C152" s="127"/>
      <c r="D152" s="127"/>
      <c r="E152" s="127"/>
      <c r="F152" s="127"/>
      <c r="G152" s="127"/>
      <c r="H152" s="127"/>
      <c r="I152" s="56"/>
      <c r="L152" s="71"/>
      <c r="M152" s="71"/>
    </row>
    <row r="153" spans="1:14" s="18" customFormat="1">
      <c r="A153" s="70" t="s">
        <v>194</v>
      </c>
      <c r="B153" s="70"/>
      <c r="C153" s="70"/>
      <c r="D153" s="70"/>
      <c r="E153" s="70"/>
      <c r="F153" s="70"/>
      <c r="G153" s="70"/>
      <c r="H153" s="70"/>
      <c r="I153" s="56"/>
      <c r="L153" s="71"/>
      <c r="M153" s="71"/>
    </row>
    <row r="154" spans="1:14" s="18" customFormat="1">
      <c r="A154" s="70" t="s">
        <v>195</v>
      </c>
      <c r="B154" s="70"/>
      <c r="C154" s="70"/>
      <c r="D154" s="70"/>
      <c r="E154" s="70"/>
      <c r="F154" s="70"/>
      <c r="G154" s="70"/>
      <c r="H154" s="70"/>
      <c r="I154" s="56"/>
      <c r="L154" s="71"/>
      <c r="M154" s="71"/>
    </row>
    <row r="155" spans="1:14" s="18" customFormat="1">
      <c r="A155" s="70" t="s">
        <v>196</v>
      </c>
      <c r="B155" s="70"/>
      <c r="C155" s="70"/>
      <c r="D155" s="70"/>
      <c r="E155" s="70"/>
      <c r="F155" s="70"/>
      <c r="G155" s="70"/>
      <c r="H155" s="70"/>
      <c r="I155" s="56"/>
      <c r="L155" s="71"/>
      <c r="M155" s="71"/>
    </row>
    <row r="156" spans="1:14" s="18" customFormat="1">
      <c r="A156" s="70" t="s">
        <v>197</v>
      </c>
      <c r="B156" s="70"/>
      <c r="C156" s="70"/>
      <c r="D156" s="70"/>
      <c r="E156" s="70"/>
      <c r="F156" s="70"/>
      <c r="G156" s="70"/>
      <c r="H156" s="70"/>
      <c r="I156" s="56"/>
      <c r="L156" s="71"/>
      <c r="M156" s="71"/>
    </row>
    <row r="157" spans="1:14" s="18" customFormat="1">
      <c r="A157" s="70" t="s">
        <v>198</v>
      </c>
      <c r="B157" s="70"/>
      <c r="C157" s="70"/>
      <c r="D157" s="70"/>
      <c r="E157" s="70"/>
      <c r="F157" s="70"/>
      <c r="G157" s="70"/>
      <c r="H157" s="70"/>
      <c r="I157" s="56"/>
      <c r="L157" s="71"/>
      <c r="M157" s="71"/>
    </row>
    <row r="158" spans="1:14" s="18" customFormat="1">
      <c r="A158" s="127" t="s">
        <v>180</v>
      </c>
      <c r="B158" s="127"/>
      <c r="C158" s="127"/>
      <c r="D158" s="127"/>
      <c r="E158" s="127"/>
      <c r="F158" s="127"/>
      <c r="G158" s="127"/>
      <c r="H158" s="127"/>
      <c r="I158" s="54">
        <v>10.763999999999999</v>
      </c>
      <c r="L158" s="71"/>
      <c r="M158" s="71"/>
    </row>
    <row r="159" spans="1:14" s="18" customFormat="1">
      <c r="A159" s="70" t="s">
        <v>199</v>
      </c>
      <c r="B159" s="70"/>
      <c r="C159" s="70"/>
      <c r="D159" s="70"/>
      <c r="E159" s="70"/>
      <c r="F159" s="70"/>
      <c r="G159" s="70"/>
      <c r="H159" s="70"/>
      <c r="I159" s="56"/>
      <c r="L159" s="71"/>
      <c r="M159" s="71"/>
    </row>
    <row r="160" spans="1:14" s="18" customFormat="1" ht="15.75" customHeight="1">
      <c r="A160" s="72">
        <v>1</v>
      </c>
      <c r="B160" s="72"/>
      <c r="C160" s="76" t="s">
        <v>200</v>
      </c>
      <c r="D160" s="77"/>
      <c r="E160" s="77"/>
      <c r="F160" s="77"/>
      <c r="G160" s="77"/>
      <c r="H160" s="78"/>
      <c r="I160" s="56"/>
      <c r="N160" s="56"/>
    </row>
    <row r="161" spans="1:17" s="18" customFormat="1" ht="15.75" customHeight="1">
      <c r="A161" s="72">
        <f>A160+1</f>
        <v>2</v>
      </c>
      <c r="B161" s="72"/>
      <c r="C161" s="54" t="s">
        <v>201</v>
      </c>
      <c r="D161" s="54">
        <f>(77.34)*10.764</f>
        <v>832.48775999999998</v>
      </c>
      <c r="E161" s="54">
        <f>(1.88)*10.764</f>
        <v>20.236319999999999</v>
      </c>
      <c r="F161" s="54">
        <f>D161*(($F$151)+1)+(IF(E161&lt;101,E161,IF(E161&lt;201,E161/2,IF(E161&lt;=301,E161/3,E161/4))))</f>
        <v>852.72407999999996</v>
      </c>
      <c r="G161" s="55">
        <v>0</v>
      </c>
      <c r="H161" s="55">
        <f>F161*(($H$151)+1)+(IF(G161&lt;101,G161,IF(G161&lt;201,G161/2,IF(G161&lt;=301,G161/3,G161/4))))</f>
        <v>1321.7223240000001</v>
      </c>
      <c r="I161" s="56"/>
      <c r="J161" s="56"/>
      <c r="N161" s="56"/>
      <c r="Q161" s="54">
        <v>10.763999999999999</v>
      </c>
    </row>
    <row r="162" spans="1:17" s="18" customFormat="1" ht="15.75" customHeight="1">
      <c r="A162" s="72">
        <f>A161+1</f>
        <v>3</v>
      </c>
      <c r="B162" s="72"/>
      <c r="C162" s="54" t="s">
        <v>202</v>
      </c>
      <c r="D162" s="54">
        <f>(80.42)*10.764</f>
        <v>865.64087999999992</v>
      </c>
      <c r="E162" s="54">
        <f>(1.76)*10.764</f>
        <v>18.94464</v>
      </c>
      <c r="F162" s="54">
        <f>D162*(($F$151)+1)+(IF(E162&lt;101,E162,IF(E162&lt;201,E162/2,IF(E162&lt;=301,E162/3,E162/4))))</f>
        <v>884.58551999999997</v>
      </c>
      <c r="G162" s="55">
        <v>0</v>
      </c>
      <c r="H162" s="55">
        <f>F162*(($H$151)+1)+(IF(G162&lt;101,G162,IF(G162&lt;201,G162/2,IF(G162&lt;=301,G162/3,G162/4))))</f>
        <v>1371.1075559999999</v>
      </c>
      <c r="I162" s="56"/>
      <c r="J162" s="56"/>
      <c r="N162" s="56"/>
    </row>
    <row r="163" spans="1:17" s="18" customFormat="1" ht="15.75" customHeight="1">
      <c r="A163" s="72">
        <f>A162+1</f>
        <v>4</v>
      </c>
      <c r="B163" s="72"/>
      <c r="C163" s="54" t="s">
        <v>203</v>
      </c>
      <c r="D163" s="54">
        <f>(61.28)*10.764</f>
        <v>659.61792000000003</v>
      </c>
      <c r="E163" s="54">
        <f>(1.69)*10.764</f>
        <v>18.19116</v>
      </c>
      <c r="F163" s="54">
        <f>D163*(($F$151)+1)+(IF(E163&lt;101,E163,IF(E163&lt;201,E163/2,IF(E163&lt;=301,E163/3,E163/4))))</f>
        <v>677.80907999999999</v>
      </c>
      <c r="G163" s="55">
        <v>0</v>
      </c>
      <c r="H163" s="55">
        <f>F163*(($H$151)+1)+(IF(G163&lt;101,G163,IF(G163&lt;201,G163/2,IF(G163&lt;=301,G163/3,G163/4))))</f>
        <v>1050.6040740000001</v>
      </c>
      <c r="I163" s="57"/>
      <c r="N163" s="56"/>
    </row>
    <row r="164" spans="1:17" s="18" customFormat="1">
      <c r="A164" s="70" t="s">
        <v>204</v>
      </c>
      <c r="B164" s="70"/>
      <c r="C164" s="70"/>
      <c r="D164" s="70"/>
      <c r="E164" s="70"/>
      <c r="F164" s="70"/>
      <c r="G164" s="70"/>
      <c r="H164" s="70"/>
      <c r="I164" s="56"/>
      <c r="L164" s="71"/>
      <c r="M164" s="71"/>
    </row>
    <row r="165" spans="1:17" s="18" customFormat="1" ht="15.75" customHeight="1">
      <c r="A165" s="72">
        <v>1</v>
      </c>
      <c r="B165" s="72"/>
      <c r="C165" s="54" t="s">
        <v>202</v>
      </c>
      <c r="D165" s="54">
        <f>(84.04)*10.764</f>
        <v>904.60656000000006</v>
      </c>
      <c r="E165" s="54">
        <f>(5.81)*10.764</f>
        <v>62.538839999999993</v>
      </c>
      <c r="F165" s="55">
        <f>D165+E165</f>
        <v>967.14540000000011</v>
      </c>
      <c r="G165" s="55">
        <v>0</v>
      </c>
      <c r="H165" s="55">
        <f>F165*(($H$151)+1)+(IF(G165&lt;101,G165,IF(G165&lt;201,G165/2,IF(G165&lt;=301,G165/3,G165/4))))</f>
        <v>1499.0753700000002</v>
      </c>
      <c r="I165" s="56"/>
      <c r="N165" s="56"/>
    </row>
    <row r="166" spans="1:17" s="18" customFormat="1" ht="15.75" customHeight="1">
      <c r="A166" s="72">
        <f>A165+1</f>
        <v>2</v>
      </c>
      <c r="B166" s="72"/>
      <c r="C166" s="54" t="s">
        <v>201</v>
      </c>
      <c r="D166" s="54">
        <f>(77.34)*10.764</f>
        <v>832.48775999999998</v>
      </c>
      <c r="E166" s="54">
        <f>(1.88)*10.764</f>
        <v>20.236319999999999</v>
      </c>
      <c r="F166" s="54">
        <f>D166*(($F$151)+1)+(IF(E166&lt;101,E166,IF(E166&lt;201,E166/2,IF(E166&lt;=301,E166/3,E166/4))))</f>
        <v>852.72407999999996</v>
      </c>
      <c r="G166" s="55">
        <v>0</v>
      </c>
      <c r="H166" s="55">
        <f>F166*(($H$151)+1)+(IF(G166&lt;101,G166,IF(G166&lt;201,G166/2,IF(G166&lt;=301,G166/3,G166/4))))</f>
        <v>1321.7223240000001</v>
      </c>
      <c r="I166" s="56"/>
      <c r="N166" s="56"/>
    </row>
    <row r="167" spans="1:17" s="18" customFormat="1" ht="15.75" customHeight="1">
      <c r="A167" s="72">
        <f>A166+1</f>
        <v>3</v>
      </c>
      <c r="B167" s="72"/>
      <c r="C167" s="54" t="s">
        <v>202</v>
      </c>
      <c r="D167" s="54">
        <f>(80.42)*10.764</f>
        <v>865.64087999999992</v>
      </c>
      <c r="E167" s="54">
        <f>(1.76)*10.764</f>
        <v>18.94464</v>
      </c>
      <c r="F167" s="54">
        <f>D167*(($F$151)+1)+(IF(E167&lt;101,E167,IF(E167&lt;201,E167/2,IF(E167&lt;=301,E167/3,E167/4))))</f>
        <v>884.58551999999997</v>
      </c>
      <c r="G167" s="55">
        <v>0</v>
      </c>
      <c r="H167" s="55">
        <f>F167*(($H$151)+1)+(IF(G167&lt;101,G167,IF(G167&lt;201,G167/2,IF(G167&lt;=301,G167/3,G167/4))))</f>
        <v>1371.1075559999999</v>
      </c>
      <c r="I167" s="56"/>
      <c r="N167" s="56"/>
    </row>
    <row r="168" spans="1:17" s="18" customFormat="1" ht="15.75" customHeight="1">
      <c r="A168" s="72">
        <f>A167+1</f>
        <v>4</v>
      </c>
      <c r="B168" s="72"/>
      <c r="C168" s="54" t="s">
        <v>203</v>
      </c>
      <c r="D168" s="54">
        <f>(61.28)*10.764</f>
        <v>659.61792000000003</v>
      </c>
      <c r="E168" s="54">
        <f>(1.69)*10.764</f>
        <v>18.19116</v>
      </c>
      <c r="F168" s="54">
        <f>D168*(($F$151)+1)+(IF(E168&lt;101,E168,IF(E168&lt;201,E168/2,IF(E168&lt;=301,E168/3,E168/4))))</f>
        <v>677.80907999999999</v>
      </c>
      <c r="G168" s="55">
        <v>0</v>
      </c>
      <c r="H168" s="55">
        <f>F168*(($H$151)+1)+(IF(G168&lt;101,G168,IF(G168&lt;201,G168/2,IF(G168&lt;=301,G168/3,G168/4))))</f>
        <v>1050.6040740000001</v>
      </c>
      <c r="I168" s="56"/>
      <c r="N168" s="56"/>
    </row>
    <row r="169" spans="1:17" s="18" customFormat="1">
      <c r="A169" s="70" t="s">
        <v>205</v>
      </c>
      <c r="B169" s="70"/>
      <c r="C169" s="70"/>
      <c r="D169" s="70"/>
      <c r="E169" s="70"/>
      <c r="F169" s="70"/>
      <c r="G169" s="70"/>
      <c r="H169" s="70"/>
      <c r="I169" s="56"/>
      <c r="L169" s="71"/>
      <c r="M169" s="71"/>
    </row>
    <row r="170" spans="1:17" s="18" customFormat="1" ht="15.75" customHeight="1">
      <c r="A170" s="72">
        <v>1</v>
      </c>
      <c r="B170" s="72"/>
      <c r="C170" s="54" t="s">
        <v>202</v>
      </c>
      <c r="D170" s="54">
        <f>(84.04)*10.764</f>
        <v>904.60656000000006</v>
      </c>
      <c r="E170" s="54">
        <f>(5.81)*10.764</f>
        <v>62.538839999999993</v>
      </c>
      <c r="F170" s="55">
        <f>D170+E170</f>
        <v>967.14540000000011</v>
      </c>
      <c r="G170" s="55">
        <v>0</v>
      </c>
      <c r="H170" s="55">
        <f>F170*(($H$151)+1)+(IF(G170&lt;101,G170,IF(G170&lt;201,G170/2,IF(G170&lt;=301,G170/3,G170/4))))</f>
        <v>1499.0753700000002</v>
      </c>
      <c r="I170" s="56"/>
      <c r="N170" s="56"/>
    </row>
    <row r="171" spans="1:17" s="18" customFormat="1" ht="15.75" customHeight="1">
      <c r="A171" s="72">
        <f>A170+1</f>
        <v>2</v>
      </c>
      <c r="B171" s="72"/>
      <c r="C171" s="54" t="s">
        <v>201</v>
      </c>
      <c r="D171" s="54">
        <f>(77.34)*10.764</f>
        <v>832.48775999999998</v>
      </c>
      <c r="E171" s="54">
        <f>(1.88)*10.764</f>
        <v>20.236319999999999</v>
      </c>
      <c r="F171" s="54">
        <f>D171*(($F$151)+1)+(IF(E171&lt;101,E171,IF(E171&lt;201,E171/2,IF(E171&lt;=301,E171/3,E171/4))))</f>
        <v>852.72407999999996</v>
      </c>
      <c r="G171" s="55">
        <v>0</v>
      </c>
      <c r="H171" s="55">
        <f>F171*(($H$151)+1)+(IF(G171&lt;101,G171,IF(G171&lt;201,G171/2,IF(G171&lt;=301,G171/3,G171/4))))</f>
        <v>1321.7223240000001</v>
      </c>
      <c r="I171" s="56"/>
      <c r="N171" s="56"/>
    </row>
    <row r="172" spans="1:17" s="18" customFormat="1" ht="15.75" customHeight="1">
      <c r="A172" s="72">
        <f>A171+1</f>
        <v>3</v>
      </c>
      <c r="B172" s="72"/>
      <c r="C172" s="54" t="s">
        <v>202</v>
      </c>
      <c r="D172" s="54">
        <f>(80.42)*10.764</f>
        <v>865.64087999999992</v>
      </c>
      <c r="E172" s="54">
        <f>(1.76)*10.764</f>
        <v>18.94464</v>
      </c>
      <c r="F172" s="54">
        <f>D172*(($F$151)+1)+(IF(E172&lt;101,E172,IF(E172&lt;201,E172/2,IF(E172&lt;=301,E172/3,E172/4))))</f>
        <v>884.58551999999997</v>
      </c>
      <c r="G172" s="55">
        <v>0</v>
      </c>
      <c r="H172" s="55">
        <f>F172*(($H$151)+1)+(IF(G172&lt;101,G172,IF(G172&lt;201,G172/2,IF(G172&lt;=301,G172/3,G172/4))))</f>
        <v>1371.1075559999999</v>
      </c>
      <c r="I172" s="56"/>
      <c r="N172" s="56"/>
    </row>
    <row r="173" spans="1:17" s="18" customFormat="1" ht="15.75" customHeight="1">
      <c r="A173" s="72">
        <f>A172+1</f>
        <v>4</v>
      </c>
      <c r="B173" s="72"/>
      <c r="C173" s="54" t="s">
        <v>203</v>
      </c>
      <c r="D173" s="54">
        <f>(61.28)*10.764</f>
        <v>659.61792000000003</v>
      </c>
      <c r="E173" s="54">
        <f>(1.69)*10.764</f>
        <v>18.19116</v>
      </c>
      <c r="F173" s="54">
        <f>D173*(($F$151)+1)+(IF(E173&lt;101,E173,IF(E173&lt;201,E173/2,IF(E173&lt;=301,E173/3,E173/4))))</f>
        <v>677.80907999999999</v>
      </c>
      <c r="G173" s="55">
        <v>0</v>
      </c>
      <c r="H173" s="55">
        <f>F173*(($H$151)+1)+(IF(G173&lt;101,G173,IF(G173&lt;201,G173/2,IF(G173&lt;=301,G173/3,G173/4))))</f>
        <v>1050.6040740000001</v>
      </c>
      <c r="I173" s="56"/>
      <c r="N173" s="56"/>
    </row>
    <row r="174" spans="1:17" s="18" customFormat="1">
      <c r="A174" s="70" t="s">
        <v>206</v>
      </c>
      <c r="B174" s="70"/>
      <c r="C174" s="70"/>
      <c r="D174" s="70"/>
      <c r="E174" s="70"/>
      <c r="F174" s="70"/>
      <c r="G174" s="70"/>
      <c r="H174" s="70"/>
      <c r="I174" s="56"/>
      <c r="L174" s="71"/>
      <c r="M174" s="71"/>
    </row>
    <row r="175" spans="1:17" s="18" customFormat="1" ht="15.75" customHeight="1">
      <c r="A175" s="72">
        <v>1</v>
      </c>
      <c r="B175" s="72"/>
      <c r="C175" s="76" t="s">
        <v>200</v>
      </c>
      <c r="D175" s="77"/>
      <c r="E175" s="77"/>
      <c r="F175" s="77"/>
      <c r="G175" s="77"/>
      <c r="H175" s="78"/>
      <c r="I175" s="56"/>
      <c r="N175" s="56"/>
    </row>
    <row r="176" spans="1:17" s="18" customFormat="1" ht="15.75" customHeight="1">
      <c r="A176" s="72">
        <f>A175+1</f>
        <v>2</v>
      </c>
      <c r="B176" s="72"/>
      <c r="C176" s="54" t="s">
        <v>201</v>
      </c>
      <c r="D176" s="54">
        <f>(77.34)*10.764</f>
        <v>832.48775999999998</v>
      </c>
      <c r="E176" s="54">
        <f>(1.88)*10.764</f>
        <v>20.236319999999999</v>
      </c>
      <c r="F176" s="54">
        <f>D176*(($F$151)+1)+(IF(E176&lt;101,E176,IF(E176&lt;201,E176/2,IF(E176&lt;=301,E176/3,E176/4))))</f>
        <v>852.72407999999996</v>
      </c>
      <c r="G176" s="55">
        <v>0</v>
      </c>
      <c r="H176" s="55">
        <f>F176*(($H$151)+1)+(IF(G176&lt;101,G176,IF(G176&lt;201,G176/2,IF(G176&lt;=301,G176/3,G176/4))))</f>
        <v>1321.7223240000001</v>
      </c>
      <c r="I176" s="56"/>
      <c r="J176" s="56"/>
      <c r="N176" s="56"/>
    </row>
    <row r="177" spans="1:14" s="18" customFormat="1" ht="15.75" customHeight="1">
      <c r="A177" s="72">
        <f>A176+1</f>
        <v>3</v>
      </c>
      <c r="B177" s="72"/>
      <c r="C177" s="54" t="s">
        <v>202</v>
      </c>
      <c r="D177" s="54">
        <f>(80.42)*10.764</f>
        <v>865.64087999999992</v>
      </c>
      <c r="E177" s="54">
        <f>(1.76)*10.764</f>
        <v>18.94464</v>
      </c>
      <c r="F177" s="54">
        <f>D177*(($F$151)+1)+(IF(E177&lt;101,E177,IF(E177&lt;201,E177/2,IF(E177&lt;=301,E177/3,E177/4))))</f>
        <v>884.58551999999997</v>
      </c>
      <c r="G177" s="55">
        <v>0</v>
      </c>
      <c r="H177" s="55">
        <f>F177*(($H$151)+1)+(IF(G177&lt;101,G177,IF(G177&lt;201,G177/2,IF(G177&lt;=301,G177/3,G177/4))))</f>
        <v>1371.1075559999999</v>
      </c>
      <c r="I177" s="56"/>
      <c r="J177" s="56"/>
      <c r="N177" s="56"/>
    </row>
    <row r="178" spans="1:14" s="18" customFormat="1" ht="15.75" customHeight="1">
      <c r="A178" s="72">
        <f>A177+1</f>
        <v>4</v>
      </c>
      <c r="B178" s="72"/>
      <c r="C178" s="54" t="s">
        <v>203</v>
      </c>
      <c r="D178" s="54">
        <f>(61.28)*10.764</f>
        <v>659.61792000000003</v>
      </c>
      <c r="E178" s="54">
        <f>(1.69)*10.764</f>
        <v>18.19116</v>
      </c>
      <c r="F178" s="54">
        <f>D178*(($F$151)+1)+(IF(E178&lt;101,E178,IF(E178&lt;201,E178/2,IF(E178&lt;=301,E178/3,E178/4))))</f>
        <v>677.80907999999999</v>
      </c>
      <c r="G178" s="55">
        <v>0</v>
      </c>
      <c r="H178" s="55">
        <f>F178*(($H$151)+1)+(IF(G178&lt;101,G178,IF(G178&lt;201,G178/2,IF(G178&lt;=301,G178/3,G178/4))))</f>
        <v>1050.6040740000001</v>
      </c>
      <c r="I178" s="57"/>
      <c r="N178" s="56"/>
    </row>
    <row r="179" spans="1:14" s="18" customFormat="1">
      <c r="A179" s="70" t="s">
        <v>207</v>
      </c>
      <c r="B179" s="70"/>
      <c r="C179" s="70"/>
      <c r="D179" s="70"/>
      <c r="E179" s="70"/>
      <c r="F179" s="70"/>
      <c r="G179" s="70"/>
      <c r="H179" s="70"/>
      <c r="I179" s="56"/>
      <c r="L179" s="71"/>
      <c r="M179" s="71"/>
    </row>
    <row r="180" spans="1:14" s="18" customFormat="1" ht="15.75" customHeight="1">
      <c r="A180" s="72">
        <v>1</v>
      </c>
      <c r="B180" s="72"/>
      <c r="C180" s="54" t="s">
        <v>202</v>
      </c>
      <c r="D180" s="54">
        <f>(84.04)*10.764</f>
        <v>904.60656000000006</v>
      </c>
      <c r="E180" s="54">
        <f>(5.81)*10.764</f>
        <v>62.538839999999993</v>
      </c>
      <c r="F180" s="55">
        <f>D180+E180</f>
        <v>967.14540000000011</v>
      </c>
      <c r="G180" s="55">
        <v>0</v>
      </c>
      <c r="H180" s="55">
        <f>F180*(($H$151)+1)+(IF(G180&lt;101,G180,IF(G180&lt;201,G180/2,IF(G180&lt;=301,G180/3,G180/4))))</f>
        <v>1499.0753700000002</v>
      </c>
      <c r="I180" s="56"/>
      <c r="N180" s="56"/>
    </row>
    <row r="181" spans="1:14" s="18" customFormat="1" ht="15.75" customHeight="1">
      <c r="A181" s="72">
        <f>A180+1</f>
        <v>2</v>
      </c>
      <c r="B181" s="72"/>
      <c r="C181" s="54" t="s">
        <v>201</v>
      </c>
      <c r="D181" s="54">
        <f>(77.34)*10.764</f>
        <v>832.48775999999998</v>
      </c>
      <c r="E181" s="54">
        <f>(1.88)*10.764</f>
        <v>20.236319999999999</v>
      </c>
      <c r="F181" s="54">
        <f>D181*(($F$151)+1)+(IF(E181&lt;101,E181,IF(E181&lt;201,E181/2,IF(E181&lt;=301,E181/3,E181/4))))</f>
        <v>852.72407999999996</v>
      </c>
      <c r="G181" s="55">
        <v>0</v>
      </c>
      <c r="H181" s="55">
        <f>F181*(($H$151)+1)+(IF(G181&lt;101,G181,IF(G181&lt;201,G181/2,IF(G181&lt;=301,G181/3,G181/4))))</f>
        <v>1321.7223240000001</v>
      </c>
      <c r="I181" s="56"/>
      <c r="N181" s="56"/>
    </row>
    <row r="182" spans="1:14" s="18" customFormat="1" ht="15.75" customHeight="1">
      <c r="A182" s="72">
        <f>A181+1</f>
        <v>3</v>
      </c>
      <c r="B182" s="72"/>
      <c r="C182" s="54" t="s">
        <v>202</v>
      </c>
      <c r="D182" s="54">
        <f>(80.42)*10.764</f>
        <v>865.64087999999992</v>
      </c>
      <c r="E182" s="54">
        <f>(1.76)*10.764</f>
        <v>18.94464</v>
      </c>
      <c r="F182" s="54">
        <f>D182*(($F$151)+1)+(IF(E182&lt;101,E182,IF(E182&lt;201,E182/2,IF(E182&lt;=301,E182/3,E182/4))))</f>
        <v>884.58551999999997</v>
      </c>
      <c r="G182" s="55">
        <v>0</v>
      </c>
      <c r="H182" s="55">
        <f>F182*(($H$151)+1)+(IF(G182&lt;101,G182,IF(G182&lt;201,G182/2,IF(G182&lt;=301,G182/3,G182/4))))</f>
        <v>1371.1075559999999</v>
      </c>
      <c r="I182" s="56"/>
      <c r="N182" s="56"/>
    </row>
    <row r="183" spans="1:14" s="18" customFormat="1" ht="15.75" customHeight="1">
      <c r="A183" s="72">
        <f>A182+1</f>
        <v>4</v>
      </c>
      <c r="B183" s="72"/>
      <c r="C183" s="54" t="s">
        <v>203</v>
      </c>
      <c r="D183" s="54">
        <f>(61.28)*10.764</f>
        <v>659.61792000000003</v>
      </c>
      <c r="E183" s="54">
        <f>(1.69)*10.764</f>
        <v>18.19116</v>
      </c>
      <c r="F183" s="54">
        <f>D183*(($F$151)+1)+(IF(E183&lt;101,E183,IF(E183&lt;201,E183/2,IF(E183&lt;=301,E183/3,E183/4))))</f>
        <v>677.80907999999999</v>
      </c>
      <c r="G183" s="55">
        <v>0</v>
      </c>
      <c r="H183" s="55">
        <f>F183*(($H$151)+1)+(IF(G183&lt;101,G183,IF(G183&lt;201,G183/2,IF(G183&lt;=301,G183/3,G183/4))))</f>
        <v>1050.6040740000001</v>
      </c>
      <c r="I183" s="56"/>
      <c r="N183" s="56"/>
    </row>
    <row r="184" spans="1:14" s="18" customFormat="1">
      <c r="A184" s="70" t="s">
        <v>208</v>
      </c>
      <c r="B184" s="70"/>
      <c r="C184" s="70"/>
      <c r="D184" s="70"/>
      <c r="E184" s="70"/>
      <c r="F184" s="70"/>
      <c r="G184" s="70"/>
      <c r="H184" s="70"/>
      <c r="I184" s="56"/>
      <c r="L184" s="71"/>
      <c r="M184" s="71"/>
    </row>
    <row r="185" spans="1:14" s="18" customFormat="1" ht="15.75" customHeight="1">
      <c r="A185" s="72">
        <v>1</v>
      </c>
      <c r="B185" s="72"/>
      <c r="C185" s="76" t="s">
        <v>200</v>
      </c>
      <c r="D185" s="77"/>
      <c r="E185" s="77"/>
      <c r="F185" s="77"/>
      <c r="G185" s="77"/>
      <c r="H185" s="78"/>
      <c r="I185" s="56"/>
      <c r="N185" s="56"/>
    </row>
    <row r="186" spans="1:14" s="18" customFormat="1" ht="15.75" customHeight="1">
      <c r="A186" s="72">
        <f>A185+1</f>
        <v>2</v>
      </c>
      <c r="B186" s="72"/>
      <c r="C186" s="54" t="s">
        <v>201</v>
      </c>
      <c r="D186" s="54">
        <f>(77.34)*10.764</f>
        <v>832.48775999999998</v>
      </c>
      <c r="E186" s="54">
        <f>(1.88)*10.764</f>
        <v>20.236319999999999</v>
      </c>
      <c r="F186" s="54">
        <f>D186*(($F$151)+1)+(IF(E186&lt;101,E186,IF(E186&lt;201,E186/2,IF(E186&lt;=301,E186/3,E186/4))))</f>
        <v>852.72407999999996</v>
      </c>
      <c r="G186" s="55">
        <v>0</v>
      </c>
      <c r="H186" s="55">
        <f>F186*(($H$151)+1)+(IF(G186&lt;101,G186,IF(G186&lt;201,G186/2,IF(G186&lt;=301,G186/3,G186/4))))</f>
        <v>1321.7223240000001</v>
      </c>
      <c r="I186" s="56"/>
      <c r="J186" s="56"/>
      <c r="N186" s="56"/>
    </row>
    <row r="187" spans="1:14" s="18" customFormat="1" ht="15.75" customHeight="1">
      <c r="A187" s="72">
        <f>A186+1</f>
        <v>3</v>
      </c>
      <c r="B187" s="72"/>
      <c r="C187" s="54" t="s">
        <v>202</v>
      </c>
      <c r="D187" s="54">
        <f>(80.42)*10.764</f>
        <v>865.64087999999992</v>
      </c>
      <c r="E187" s="54">
        <f>(1.76)*10.764</f>
        <v>18.94464</v>
      </c>
      <c r="F187" s="54">
        <f>D187*(($F$151)+1)+(IF(E187&lt;101,E187,IF(E187&lt;201,E187/2,IF(E187&lt;=301,E187/3,E187/4))))</f>
        <v>884.58551999999997</v>
      </c>
      <c r="G187" s="55">
        <v>0</v>
      </c>
      <c r="H187" s="55">
        <f>F187*(($H$151)+1)+(IF(G187&lt;101,G187,IF(G187&lt;201,G187/2,IF(G187&lt;=301,G187/3,G187/4))))</f>
        <v>1371.1075559999999</v>
      </c>
      <c r="I187" s="56"/>
      <c r="J187" s="56"/>
      <c r="N187" s="56"/>
    </row>
    <row r="188" spans="1:14" s="18" customFormat="1" ht="15.75" customHeight="1">
      <c r="A188" s="72">
        <f>A187+1</f>
        <v>4</v>
      </c>
      <c r="B188" s="72"/>
      <c r="C188" s="54" t="s">
        <v>203</v>
      </c>
      <c r="D188" s="54">
        <f>(61.28)*10.764</f>
        <v>659.61792000000003</v>
      </c>
      <c r="E188" s="54">
        <f>(1.69)*10.764</f>
        <v>18.19116</v>
      </c>
      <c r="F188" s="54">
        <f>D188*(($F$151)+1)+(IF(E188&lt;101,E188,IF(E188&lt;201,E188/2,IF(E188&lt;=301,E188/3,E188/4))))</f>
        <v>677.80907999999999</v>
      </c>
      <c r="G188" s="55">
        <v>0</v>
      </c>
      <c r="H188" s="55">
        <f>F188*(($H$151)+1)+(IF(G188&lt;101,G188,IF(G188&lt;201,G188/2,IF(G188&lt;=301,G188/3,G188/4))))</f>
        <v>1050.6040740000001</v>
      </c>
      <c r="I188" s="57"/>
      <c r="N188" s="56"/>
    </row>
    <row r="189" spans="1:14" s="19" customFormat="1">
      <c r="A189" s="70" t="s">
        <v>209</v>
      </c>
      <c r="B189" s="70"/>
      <c r="C189" s="70"/>
      <c r="D189" s="70"/>
      <c r="E189" s="70"/>
      <c r="F189" s="70"/>
      <c r="G189" s="70"/>
      <c r="H189" s="70"/>
      <c r="I189" s="58"/>
      <c r="L189" s="80"/>
      <c r="M189" s="80"/>
    </row>
    <row r="190" spans="1:14" s="19" customFormat="1">
      <c r="A190" s="79" t="s">
        <v>210</v>
      </c>
      <c r="B190" s="79"/>
      <c r="C190" s="79"/>
      <c r="D190" s="79"/>
      <c r="E190" s="79"/>
      <c r="F190" s="79"/>
      <c r="G190" s="79"/>
      <c r="H190" s="79"/>
      <c r="I190" s="58"/>
      <c r="L190" s="80"/>
      <c r="M190" s="80"/>
    </row>
    <row r="191" spans="1:14" s="18" customFormat="1" ht="15.75" customHeight="1">
      <c r="A191" s="72">
        <v>1</v>
      </c>
      <c r="B191" s="72"/>
      <c r="C191" s="76" t="s">
        <v>200</v>
      </c>
      <c r="D191" s="77"/>
      <c r="E191" s="77"/>
      <c r="F191" s="77"/>
      <c r="G191" s="77"/>
      <c r="H191" s="78"/>
      <c r="I191" s="56"/>
      <c r="N191" s="56"/>
    </row>
    <row r="192" spans="1:14" s="18" customFormat="1" ht="15.75" customHeight="1">
      <c r="A192" s="72">
        <f>A191+1</f>
        <v>2</v>
      </c>
      <c r="B192" s="72"/>
      <c r="C192" s="54" t="s">
        <v>201</v>
      </c>
      <c r="D192" s="54">
        <f>(77.34)*10.764</f>
        <v>832.48775999999998</v>
      </c>
      <c r="E192" s="54">
        <f>(1.88)*10.764</f>
        <v>20.236319999999999</v>
      </c>
      <c r="F192" s="54">
        <f>D192*(($F$151)+1)+(IF(E192&lt;101,E192,IF(E192&lt;201,E192/2,IF(E192&lt;=301,E192/3,E192/4))))</f>
        <v>852.72407999999996</v>
      </c>
      <c r="G192" s="55">
        <v>0</v>
      </c>
      <c r="H192" s="55">
        <f>F192*(($H$151)+1)+(IF(G192&lt;101,G192,IF(G192&lt;201,G192/2,IF(G192&lt;=301,G192/3,G192/4))))</f>
        <v>1321.7223240000001</v>
      </c>
      <c r="I192" s="56"/>
      <c r="J192" s="56"/>
      <c r="N192" s="56"/>
    </row>
    <row r="193" spans="1:14" s="18" customFormat="1" ht="15.75" customHeight="1">
      <c r="A193" s="72">
        <f>A192+1</f>
        <v>3</v>
      </c>
      <c r="B193" s="72"/>
      <c r="C193" s="54" t="s">
        <v>202</v>
      </c>
      <c r="D193" s="54">
        <f>(80.42)*10.764</f>
        <v>865.64087999999992</v>
      </c>
      <c r="E193" s="54">
        <f>(1.76)*10.764</f>
        <v>18.94464</v>
      </c>
      <c r="F193" s="54">
        <f>D193*(($F$151)+1)+(IF(E193&lt;101,E193,IF(E193&lt;201,E193/2,IF(E193&lt;=301,E193/3,E193/4))))</f>
        <v>884.58551999999997</v>
      </c>
      <c r="G193" s="55">
        <v>0</v>
      </c>
      <c r="H193" s="55">
        <f>F193*(($H$151)+1)+(IF(G193&lt;101,G193,IF(G193&lt;201,G193/2,IF(G193&lt;=301,G193/3,G193/4))))</f>
        <v>1371.1075559999999</v>
      </c>
      <c r="I193" s="56"/>
      <c r="J193" s="56"/>
      <c r="N193" s="56"/>
    </row>
    <row r="194" spans="1:14" s="18" customFormat="1" ht="15.75" customHeight="1">
      <c r="A194" s="72">
        <f>A193+1</f>
        <v>4</v>
      </c>
      <c r="B194" s="72"/>
      <c r="C194" s="54" t="s">
        <v>203</v>
      </c>
      <c r="D194" s="54">
        <f>(61.28)*10.764</f>
        <v>659.61792000000003</v>
      </c>
      <c r="E194" s="54">
        <f>(1.69)*10.764</f>
        <v>18.19116</v>
      </c>
      <c r="F194" s="54">
        <f>D194*(($F$151)+1)+(IF(E194&lt;101,E194,IF(E194&lt;201,E194/2,IF(E194&lt;=301,E194/3,E194/4))))</f>
        <v>677.80907999999999</v>
      </c>
      <c r="G194" s="55">
        <v>0</v>
      </c>
      <c r="H194" s="55">
        <f>F194*(($H$151)+1)+(IF(G194&lt;101,G194,IF(G194&lt;201,G194/2,IF(G194&lt;=301,G194/3,G194/4))))</f>
        <v>1050.6040740000001</v>
      </c>
      <c r="I194" s="57"/>
      <c r="N194" s="56"/>
    </row>
    <row r="195" spans="1:14" s="19" customFormat="1">
      <c r="A195" s="79" t="s">
        <v>211</v>
      </c>
      <c r="B195" s="79"/>
      <c r="C195" s="79"/>
      <c r="D195" s="79"/>
      <c r="E195" s="79"/>
      <c r="F195" s="79"/>
      <c r="G195" s="79"/>
      <c r="H195" s="79"/>
      <c r="I195" s="58"/>
      <c r="L195" s="80"/>
      <c r="M195" s="80"/>
    </row>
    <row r="196" spans="1:14" s="19" customFormat="1" ht="15.75" customHeight="1">
      <c r="A196" s="69">
        <v>1</v>
      </c>
      <c r="B196" s="69"/>
      <c r="C196" s="55" t="s">
        <v>202</v>
      </c>
      <c r="D196" s="54">
        <f>(84.04)*10.764</f>
        <v>904.60656000000006</v>
      </c>
      <c r="E196" s="54">
        <f>(5.81)*10.764</f>
        <v>62.538839999999993</v>
      </c>
      <c r="F196" s="55">
        <f>D196+E196</f>
        <v>967.14540000000011</v>
      </c>
      <c r="G196" s="55">
        <v>0</v>
      </c>
      <c r="H196" s="55">
        <f>F196*(($H$151)+1)+(IF(G196&lt;101,G196,IF(G196&lt;201,G196/2,IF(G196&lt;=301,G196/3,G196/4))))</f>
        <v>1499.0753700000002</v>
      </c>
      <c r="I196" s="58"/>
      <c r="N196" s="58"/>
    </row>
    <row r="197" spans="1:14" s="19" customFormat="1" ht="15.75" customHeight="1">
      <c r="A197" s="69">
        <f>A196+1</f>
        <v>2</v>
      </c>
      <c r="B197" s="69"/>
      <c r="C197" s="55" t="s">
        <v>201</v>
      </c>
      <c r="D197" s="54">
        <f>(77.34)*10.764</f>
        <v>832.48775999999998</v>
      </c>
      <c r="E197" s="54">
        <f>(1.88)*10.764</f>
        <v>20.236319999999999</v>
      </c>
      <c r="F197" s="54">
        <f>D197*(($F$151)+1)+(IF(E197&lt;101,E197,IF(E197&lt;201,E197/2,IF(E197&lt;=301,E197/3,E197/4))))</f>
        <v>852.72407999999996</v>
      </c>
      <c r="G197" s="55">
        <v>0</v>
      </c>
      <c r="H197" s="55">
        <f>F197*(($H$151)+1)+(IF(G197&lt;101,G197,IF(G197&lt;201,G197/2,IF(G197&lt;=301,G197/3,G197/4))))</f>
        <v>1321.7223240000001</v>
      </c>
      <c r="I197" s="58"/>
      <c r="N197" s="58"/>
    </row>
    <row r="198" spans="1:14" s="19" customFormat="1" ht="15.75" customHeight="1">
      <c r="A198" s="69">
        <f>A197+1</f>
        <v>3</v>
      </c>
      <c r="B198" s="69"/>
      <c r="C198" s="55" t="s">
        <v>202</v>
      </c>
      <c r="D198" s="54">
        <f>(80.42)*10.764</f>
        <v>865.64087999999992</v>
      </c>
      <c r="E198" s="54">
        <f>(1.76)*10.764</f>
        <v>18.94464</v>
      </c>
      <c r="F198" s="54">
        <f>D198*(($F$151)+1)+(IF(E198&lt;101,E198,IF(E198&lt;201,E198/2,IF(E198&lt;=301,E198/3,E198/4))))</f>
        <v>884.58551999999997</v>
      </c>
      <c r="G198" s="55">
        <v>0</v>
      </c>
      <c r="H198" s="55">
        <f>F198*(($H$151)+1)+(IF(G198&lt;101,G198,IF(G198&lt;201,G198/2,IF(G198&lt;=301,G198/3,G198/4))))</f>
        <v>1371.1075559999999</v>
      </c>
      <c r="I198" s="58"/>
      <c r="N198" s="58"/>
    </row>
    <row r="199" spans="1:14" s="19" customFormat="1" ht="15.75" customHeight="1">
      <c r="A199" s="69">
        <f>A198+1</f>
        <v>4</v>
      </c>
      <c r="B199" s="69"/>
      <c r="C199" s="55" t="s">
        <v>203</v>
      </c>
      <c r="D199" s="54">
        <f>(61.28)*10.764</f>
        <v>659.61792000000003</v>
      </c>
      <c r="E199" s="54">
        <f>(1.69)*10.764</f>
        <v>18.19116</v>
      </c>
      <c r="F199" s="54">
        <f>D199*(($F$151)+1)+(IF(E199&lt;101,E199,IF(E199&lt;201,E199/2,IF(E199&lt;=301,E199/3,E199/4))))</f>
        <v>677.80907999999999</v>
      </c>
      <c r="G199" s="55">
        <v>0</v>
      </c>
      <c r="H199" s="55">
        <f>F199*(($H$151)+1)+(IF(G199&lt;101,G199,IF(G199&lt;201,G199/2,IF(G199&lt;=301,G199/3,G199/4))))</f>
        <v>1050.6040740000001</v>
      </c>
      <c r="I199" s="58"/>
      <c r="N199" s="58"/>
    </row>
    <row r="200" spans="1:14" s="19" customFormat="1">
      <c r="A200" s="79" t="s">
        <v>212</v>
      </c>
      <c r="B200" s="79"/>
      <c r="C200" s="79"/>
      <c r="D200" s="79"/>
      <c r="E200" s="79"/>
      <c r="F200" s="79"/>
      <c r="G200" s="79"/>
      <c r="H200" s="79"/>
      <c r="I200" s="58"/>
      <c r="L200" s="80"/>
      <c r="M200" s="80"/>
    </row>
    <row r="201" spans="1:14" s="19" customFormat="1" ht="15.75" customHeight="1">
      <c r="A201" s="69">
        <v>1</v>
      </c>
      <c r="B201" s="69"/>
      <c r="C201" s="76" t="s">
        <v>200</v>
      </c>
      <c r="D201" s="77"/>
      <c r="E201" s="77"/>
      <c r="F201" s="77"/>
      <c r="G201" s="77"/>
      <c r="H201" s="78"/>
      <c r="I201" s="58"/>
      <c r="N201" s="58"/>
    </row>
    <row r="202" spans="1:14" s="19" customFormat="1" ht="15.75" customHeight="1">
      <c r="A202" s="69">
        <f>A201+1</f>
        <v>2</v>
      </c>
      <c r="B202" s="69"/>
      <c r="C202" s="54" t="s">
        <v>201</v>
      </c>
      <c r="D202" s="54">
        <f>(77.34)*10.764</f>
        <v>832.48775999999998</v>
      </c>
      <c r="E202" s="54">
        <f>(1.88)*10.764</f>
        <v>20.236319999999999</v>
      </c>
      <c r="F202" s="54">
        <f>D202*(($F$151)+1)+(IF(E202&lt;101,E202,IF(E202&lt;201,E202/2,IF(E202&lt;=301,E202/3,E202/4))))</f>
        <v>852.72407999999996</v>
      </c>
      <c r="G202" s="55">
        <v>0</v>
      </c>
      <c r="H202" s="55">
        <f>F202*(($H$151)+1)+(IF(G202&lt;101,G202,IF(G202&lt;201,G202/2,IF(G202&lt;=301,G202/3,G202/4))))</f>
        <v>1321.7223240000001</v>
      </c>
      <c r="I202" s="58"/>
      <c r="N202" s="58"/>
    </row>
    <row r="203" spans="1:14" s="19" customFormat="1" ht="15.75" customHeight="1">
      <c r="A203" s="69">
        <f>A202+1</f>
        <v>3</v>
      </c>
      <c r="B203" s="69"/>
      <c r="C203" s="54" t="s">
        <v>202</v>
      </c>
      <c r="D203" s="54">
        <f>(80.42)*10.764</f>
        <v>865.64087999999992</v>
      </c>
      <c r="E203" s="54">
        <f>(1.76)*10.764</f>
        <v>18.94464</v>
      </c>
      <c r="F203" s="54">
        <f>D203*(($F$151)+1)+(IF(E203&lt;101,E203,IF(E203&lt;201,E203/2,IF(E203&lt;=301,E203/3,E203/4))))</f>
        <v>884.58551999999997</v>
      </c>
      <c r="G203" s="55">
        <v>0</v>
      </c>
      <c r="H203" s="55">
        <f>F203*(($H$151)+1)+(IF(G203&lt;101,G203,IF(G203&lt;201,G203/2,IF(G203&lt;=301,G203/3,G203/4))))</f>
        <v>1371.1075559999999</v>
      </c>
      <c r="I203" s="58"/>
      <c r="N203" s="58"/>
    </row>
    <row r="204" spans="1:14" s="19" customFormat="1" ht="15.75" customHeight="1">
      <c r="A204" s="69">
        <f>A203+1</f>
        <v>4</v>
      </c>
      <c r="B204" s="69"/>
      <c r="C204" s="54" t="s">
        <v>203</v>
      </c>
      <c r="D204" s="54">
        <f>(61.28)*10.764</f>
        <v>659.61792000000003</v>
      </c>
      <c r="E204" s="54">
        <f>(1.69)*10.764</f>
        <v>18.19116</v>
      </c>
      <c r="F204" s="54">
        <f>D204*(($F$151)+1)+(IF(E204&lt;101,E204,IF(E204&lt;201,E204/2,IF(E204&lt;=301,E204/3,E204/4))))</f>
        <v>677.80907999999999</v>
      </c>
      <c r="G204" s="55">
        <v>0</v>
      </c>
      <c r="H204" s="55">
        <f>F204*(($H$151)+1)+(IF(G204&lt;101,G204,IF(G204&lt;201,G204/2,IF(G204&lt;=301,G204/3,G204/4))))</f>
        <v>1050.6040740000001</v>
      </c>
      <c r="I204" s="58"/>
      <c r="N204" s="58"/>
    </row>
    <row r="205" spans="1:14" s="19" customFormat="1">
      <c r="A205" s="79" t="s">
        <v>213</v>
      </c>
      <c r="B205" s="79"/>
      <c r="C205" s="79"/>
      <c r="D205" s="79"/>
      <c r="E205" s="79"/>
      <c r="F205" s="79"/>
      <c r="G205" s="79"/>
      <c r="H205" s="79"/>
      <c r="I205" s="58"/>
      <c r="L205" s="80"/>
      <c r="M205" s="80"/>
    </row>
    <row r="206" spans="1:14" s="19" customFormat="1" ht="15.75" customHeight="1">
      <c r="A206" s="69">
        <v>1</v>
      </c>
      <c r="B206" s="69"/>
      <c r="C206" s="55" t="s">
        <v>202</v>
      </c>
      <c r="D206" s="54">
        <f>(84.04)*10.764</f>
        <v>904.60656000000006</v>
      </c>
      <c r="E206" s="54">
        <f>(5.81)*10.764</f>
        <v>62.538839999999993</v>
      </c>
      <c r="F206" s="55">
        <f>D206+E206</f>
        <v>967.14540000000011</v>
      </c>
      <c r="G206" s="55">
        <v>0</v>
      </c>
      <c r="H206" s="55">
        <f>F206*(($H$151)+1)+(IF(G206&lt;101,G206,IF(G206&lt;201,G206/2,IF(G206&lt;=301,G206/3,G206/4))))</f>
        <v>1499.0753700000002</v>
      </c>
      <c r="I206" s="58"/>
      <c r="N206" s="58"/>
    </row>
    <row r="207" spans="1:14" s="19" customFormat="1" ht="15.75" customHeight="1">
      <c r="A207" s="69">
        <f>A206+1</f>
        <v>2</v>
      </c>
      <c r="B207" s="69"/>
      <c r="C207" s="55" t="s">
        <v>201</v>
      </c>
      <c r="D207" s="54">
        <f>(77.34)*10.764</f>
        <v>832.48775999999998</v>
      </c>
      <c r="E207" s="54">
        <f>(1.88)*10.764</f>
        <v>20.236319999999999</v>
      </c>
      <c r="F207" s="54">
        <f>D207*(($F$151)+1)+(IF(E207&lt;101,E207,IF(E207&lt;201,E207/2,IF(E207&lt;=301,E207/3,E207/4))))</f>
        <v>852.72407999999996</v>
      </c>
      <c r="G207" s="55">
        <v>0</v>
      </c>
      <c r="H207" s="55">
        <f>F207*(($H$151)+1)+(IF(G207&lt;101,G207,IF(G207&lt;201,G207/2,IF(G207&lt;=301,G207/3,G207/4))))</f>
        <v>1321.7223240000001</v>
      </c>
      <c r="I207" s="58"/>
      <c r="N207" s="58"/>
    </row>
    <row r="208" spans="1:14" s="19" customFormat="1" ht="15.75" customHeight="1">
      <c r="A208" s="69">
        <f>A207+1</f>
        <v>3</v>
      </c>
      <c r="B208" s="69"/>
      <c r="C208" s="55" t="s">
        <v>202</v>
      </c>
      <c r="D208" s="54">
        <f>(80.42)*10.764</f>
        <v>865.64087999999992</v>
      </c>
      <c r="E208" s="54">
        <f>(1.76)*10.764</f>
        <v>18.94464</v>
      </c>
      <c r="F208" s="54">
        <f>D208*(($F$151)+1)+(IF(E208&lt;101,E208,IF(E208&lt;201,E208/2,IF(E208&lt;=301,E208/3,E208/4))))</f>
        <v>884.58551999999997</v>
      </c>
      <c r="G208" s="55">
        <v>0</v>
      </c>
      <c r="H208" s="55">
        <f>F208*(($H$151)+1)+(IF(G208&lt;101,G208,IF(G208&lt;201,G208/2,IF(G208&lt;=301,G208/3,G208/4))))</f>
        <v>1371.1075559999999</v>
      </c>
      <c r="I208" s="58"/>
      <c r="N208" s="58"/>
    </row>
    <row r="209" spans="1:14" s="19" customFormat="1" ht="15.75" customHeight="1">
      <c r="A209" s="69">
        <f>A208+1</f>
        <v>4</v>
      </c>
      <c r="B209" s="69"/>
      <c r="C209" s="55" t="s">
        <v>203</v>
      </c>
      <c r="D209" s="54">
        <f>(61.28)*10.764</f>
        <v>659.61792000000003</v>
      </c>
      <c r="E209" s="54">
        <f>(1.69)*10.764</f>
        <v>18.19116</v>
      </c>
      <c r="F209" s="54">
        <f>D209*(($F$151)+1)+(IF(E209&lt;101,E209,IF(E209&lt;201,E209/2,IF(E209&lt;=301,E209/3,E209/4))))</f>
        <v>677.80907999999999</v>
      </c>
      <c r="G209" s="55">
        <v>0</v>
      </c>
      <c r="H209" s="55">
        <f>F209*(($H$151)+1)+(IF(G209&lt;101,G209,IF(G209&lt;201,G209/2,IF(G209&lt;=301,G209/3,G209/4))))</f>
        <v>1050.6040740000001</v>
      </c>
      <c r="I209" s="58"/>
      <c r="N209" s="58"/>
    </row>
    <row r="210" spans="1:14" s="19" customFormat="1">
      <c r="A210" s="79" t="s">
        <v>268</v>
      </c>
      <c r="B210" s="79"/>
      <c r="C210" s="79"/>
      <c r="D210" s="79"/>
      <c r="E210" s="79"/>
      <c r="F210" s="79"/>
      <c r="G210" s="79"/>
      <c r="H210" s="79"/>
      <c r="I210" s="58"/>
      <c r="L210" s="80"/>
      <c r="M210" s="80"/>
    </row>
    <row r="211" spans="1:14" s="19" customFormat="1" ht="15.75" customHeight="1">
      <c r="A211" s="69">
        <v>1</v>
      </c>
      <c r="B211" s="69"/>
      <c r="C211" s="55" t="s">
        <v>202</v>
      </c>
      <c r="D211" s="54">
        <f>(84.04)*10.764</f>
        <v>904.60656000000006</v>
      </c>
      <c r="E211" s="54">
        <f>(5.81)*10.764</f>
        <v>62.538839999999993</v>
      </c>
      <c r="F211" s="55">
        <f>D211+E211</f>
        <v>967.14540000000011</v>
      </c>
      <c r="G211" s="55">
        <v>0</v>
      </c>
      <c r="H211" s="55">
        <f>F211*(($H$151)+1)+(IF(G211&lt;101,G211,IF(G211&lt;201,G211/2,IF(G211&lt;=301,G211/3,G211/4))))</f>
        <v>1499.0753700000002</v>
      </c>
      <c r="I211" s="58"/>
      <c r="N211" s="58"/>
    </row>
    <row r="212" spans="1:14" s="19" customFormat="1" ht="15.75" customHeight="1">
      <c r="A212" s="69">
        <f>A211+1</f>
        <v>2</v>
      </c>
      <c r="B212" s="69"/>
      <c r="C212" s="55" t="s">
        <v>201</v>
      </c>
      <c r="D212" s="54">
        <f>(77.34)*10.764</f>
        <v>832.48775999999998</v>
      </c>
      <c r="E212" s="54">
        <f>(1.88)*10.764</f>
        <v>20.236319999999999</v>
      </c>
      <c r="F212" s="54">
        <f>D212*(($F$151)+1)+(IF(E212&lt;101,E212,IF(E212&lt;201,E212/2,IF(E212&lt;=301,E212/3,E212/4))))</f>
        <v>852.72407999999996</v>
      </c>
      <c r="G212" s="55">
        <v>0</v>
      </c>
      <c r="H212" s="55">
        <f>F212*(($H$151)+1)+(IF(G212&lt;101,G212,IF(G212&lt;201,G212/2,IF(G212&lt;=301,G212/3,G212/4))))</f>
        <v>1321.7223240000001</v>
      </c>
      <c r="I212" s="58"/>
      <c r="N212" s="58"/>
    </row>
    <row r="213" spans="1:14" s="19" customFormat="1" ht="15.75" customHeight="1">
      <c r="A213" s="69">
        <f>A212+1</f>
        <v>3</v>
      </c>
      <c r="B213" s="69"/>
      <c r="C213" s="55" t="s">
        <v>202</v>
      </c>
      <c r="D213" s="54">
        <f>(80.42)*10.764</f>
        <v>865.64087999999992</v>
      </c>
      <c r="E213" s="54">
        <f>(1.76)*10.764</f>
        <v>18.94464</v>
      </c>
      <c r="F213" s="54">
        <f>D213*(($F$151)+1)+(IF(E213&lt;101,E213,IF(E213&lt;201,E213/2,IF(E213&lt;=301,E213/3,E213/4))))</f>
        <v>884.58551999999997</v>
      </c>
      <c r="G213" s="55">
        <v>0</v>
      </c>
      <c r="H213" s="55">
        <f>F213*(($H$151)+1)+(IF(G213&lt;101,G213,IF(G213&lt;201,G213/2,IF(G213&lt;=301,G213/3,G213/4))))</f>
        <v>1371.1075559999999</v>
      </c>
      <c r="I213" s="58"/>
      <c r="N213" s="58"/>
    </row>
    <row r="214" spans="1:14" s="19" customFormat="1" ht="15.75" customHeight="1">
      <c r="A214" s="69">
        <f>A213+1</f>
        <v>4</v>
      </c>
      <c r="B214" s="69"/>
      <c r="C214" s="55" t="s">
        <v>203</v>
      </c>
      <c r="D214" s="54">
        <f>(61.28)*10.764</f>
        <v>659.61792000000003</v>
      </c>
      <c r="E214" s="54">
        <f>(1.69)*10.764</f>
        <v>18.19116</v>
      </c>
      <c r="F214" s="54">
        <f>D214*(($F$151)+1)+(IF(E214&lt;101,E214,IF(E214&lt;201,E214/2,IF(E214&lt;=301,E214/3,E214/4))))</f>
        <v>677.80907999999999</v>
      </c>
      <c r="G214" s="55">
        <v>0</v>
      </c>
      <c r="H214" s="55">
        <f>F214*(($H$151)+1)+(IF(G214&lt;101,G214,IF(G214&lt;201,G214/2,IF(G214&lt;=301,G214/3,G214/4))))</f>
        <v>1050.6040740000001</v>
      </c>
      <c r="I214" s="58"/>
      <c r="N214" s="58"/>
    </row>
    <row r="215" spans="1:14" s="19" customFormat="1">
      <c r="A215" s="79" t="s">
        <v>223</v>
      </c>
      <c r="B215" s="79"/>
      <c r="C215" s="79"/>
      <c r="D215" s="79"/>
      <c r="E215" s="79"/>
      <c r="F215" s="79"/>
      <c r="G215" s="79"/>
      <c r="H215" s="79"/>
      <c r="I215" s="58"/>
      <c r="L215" s="80"/>
      <c r="M215" s="80"/>
    </row>
    <row r="216" spans="1:14" s="19" customFormat="1" ht="15.75" customHeight="1">
      <c r="A216" s="69">
        <v>1</v>
      </c>
      <c r="B216" s="69"/>
      <c r="C216" s="55" t="s">
        <v>202</v>
      </c>
      <c r="D216" s="54">
        <f>(84.04)*10.764</f>
        <v>904.60656000000006</v>
      </c>
      <c r="E216" s="54">
        <f>(5.81)*10.764</f>
        <v>62.538839999999993</v>
      </c>
      <c r="F216" s="55">
        <f>D216+E216</f>
        <v>967.14540000000011</v>
      </c>
      <c r="G216" s="55">
        <v>0</v>
      </c>
      <c r="H216" s="55">
        <f>F216*(($H$151)+1)+(IF(G216&lt;101,G216,IF(G216&lt;201,G216/2,IF(G216&lt;=301,G216/3,G216/4))))</f>
        <v>1499.0753700000002</v>
      </c>
      <c r="I216" s="58"/>
      <c r="N216" s="58"/>
    </row>
    <row r="217" spans="1:14" s="19" customFormat="1" ht="15.75" customHeight="1">
      <c r="A217" s="69">
        <f>A216+1</f>
        <v>2</v>
      </c>
      <c r="B217" s="69"/>
      <c r="C217" s="55" t="s">
        <v>201</v>
      </c>
      <c r="D217" s="54">
        <f>(77.34)*10.764</f>
        <v>832.48775999999998</v>
      </c>
      <c r="E217" s="54">
        <f>(1.88)*10.764</f>
        <v>20.236319999999999</v>
      </c>
      <c r="F217" s="54">
        <f>D217*(($F$151)+1)+(IF(E217&lt;101,E217,IF(E217&lt;201,E217/2,IF(E217&lt;=301,E217/3,E217/4))))</f>
        <v>852.72407999999996</v>
      </c>
      <c r="G217" s="55">
        <v>0</v>
      </c>
      <c r="H217" s="55">
        <f>F217*(($H$151)+1)+(IF(G217&lt;101,G217,IF(G217&lt;201,G217/2,IF(G217&lt;=301,G217/3,G217/4))))</f>
        <v>1321.7223240000001</v>
      </c>
      <c r="I217" s="58"/>
      <c r="N217" s="58"/>
    </row>
    <row r="218" spans="1:14" s="19" customFormat="1" ht="15.75" customHeight="1">
      <c r="A218" s="69">
        <f>A217+1</f>
        <v>3</v>
      </c>
      <c r="B218" s="69"/>
      <c r="C218" s="55" t="s">
        <v>202</v>
      </c>
      <c r="D218" s="54">
        <f>(80.42)*10.764</f>
        <v>865.64087999999992</v>
      </c>
      <c r="E218" s="54">
        <f>(1.76)*10.764</f>
        <v>18.94464</v>
      </c>
      <c r="F218" s="54">
        <f>D218*(($F$151)+1)+(IF(E218&lt;101,E218,IF(E218&lt;201,E218/2,IF(E218&lt;=301,E218/3,E218/4))))</f>
        <v>884.58551999999997</v>
      </c>
      <c r="G218" s="55">
        <v>0</v>
      </c>
      <c r="H218" s="55">
        <f>F218*(($H$151)+1)+(IF(G218&lt;101,G218,IF(G218&lt;201,G218/2,IF(G218&lt;=301,G218/3,G218/4))))</f>
        <v>1371.1075559999999</v>
      </c>
      <c r="I218" s="58"/>
      <c r="N218" s="58"/>
    </row>
    <row r="219" spans="1:14" s="19" customFormat="1" ht="15.75" customHeight="1">
      <c r="A219" s="69">
        <f>A218+1</f>
        <v>4</v>
      </c>
      <c r="B219" s="69"/>
      <c r="C219" s="55" t="s">
        <v>203</v>
      </c>
      <c r="D219" s="54">
        <f>(61.76)*10.764</f>
        <v>664.78463999999997</v>
      </c>
      <c r="E219" s="54">
        <f>(4.64)*10.764</f>
        <v>49.944959999999995</v>
      </c>
      <c r="F219" s="54">
        <f>D219*(($F$151)+1)+(IF(E219&lt;101,E219,IF(E219&lt;201,E219/2,IF(E219&lt;=301,E219/3,E219/4))))</f>
        <v>714.7296</v>
      </c>
      <c r="G219" s="55">
        <v>0</v>
      </c>
      <c r="H219" s="55">
        <f>F219*(($H$151)+1)+(IF(G219&lt;101,G219,IF(G219&lt;201,G219/2,IF(G219&lt;=301,G219/3,G219/4))))</f>
        <v>1107.83088</v>
      </c>
      <c r="I219" s="58"/>
      <c r="N219" s="58"/>
    </row>
    <row r="220" spans="1:14" s="19" customFormat="1">
      <c r="A220" s="79" t="s">
        <v>225</v>
      </c>
      <c r="B220" s="79"/>
      <c r="C220" s="79"/>
      <c r="D220" s="79"/>
      <c r="E220" s="79"/>
      <c r="F220" s="79"/>
      <c r="G220" s="79"/>
      <c r="H220" s="79"/>
      <c r="I220" s="58"/>
      <c r="L220" s="80"/>
      <c r="M220" s="80"/>
    </row>
    <row r="221" spans="1:14" s="19" customFormat="1" ht="15.75" customHeight="1">
      <c r="A221" s="69">
        <v>1</v>
      </c>
      <c r="B221" s="69"/>
      <c r="C221" s="76" t="s">
        <v>200</v>
      </c>
      <c r="D221" s="77"/>
      <c r="E221" s="77"/>
      <c r="F221" s="77"/>
      <c r="G221" s="77"/>
      <c r="H221" s="78"/>
      <c r="I221" s="58"/>
      <c r="N221" s="58"/>
    </row>
    <row r="222" spans="1:14" s="19" customFormat="1" ht="15.75" customHeight="1">
      <c r="A222" s="69">
        <f>A221+1</f>
        <v>2</v>
      </c>
      <c r="B222" s="69"/>
      <c r="C222" s="55" t="s">
        <v>201</v>
      </c>
      <c r="D222" s="54">
        <f>(77.34)*10.764</f>
        <v>832.48775999999998</v>
      </c>
      <c r="E222" s="54">
        <f>(1.88)*10.764</f>
        <v>20.236319999999999</v>
      </c>
      <c r="F222" s="54">
        <f>D222*(($F$151)+1)+(IF(E222&lt;101,E222,IF(E222&lt;201,E222/2,IF(E222&lt;=301,E222/3,E222/4))))</f>
        <v>852.72407999999996</v>
      </c>
      <c r="G222" s="55">
        <v>0</v>
      </c>
      <c r="H222" s="55">
        <f>F222*(($H$151)+1)+(IF(G222&lt;101,G222,IF(G222&lt;201,G222/2,IF(G222&lt;=301,G222/3,G222/4))))</f>
        <v>1321.7223240000001</v>
      </c>
      <c r="I222" s="58"/>
      <c r="N222" s="58"/>
    </row>
    <row r="223" spans="1:14" s="19" customFormat="1" ht="15.75" customHeight="1">
      <c r="A223" s="69">
        <f>A222+1</f>
        <v>3</v>
      </c>
      <c r="B223" s="69"/>
      <c r="C223" s="55" t="s">
        <v>202</v>
      </c>
      <c r="D223" s="54">
        <f>(80.42)*10.764</f>
        <v>865.64087999999992</v>
      </c>
      <c r="E223" s="54">
        <f>(1.76)*10.764</f>
        <v>18.94464</v>
      </c>
      <c r="F223" s="54">
        <f>D223*(($F$151)+1)+(IF(E223&lt;101,E223,IF(E223&lt;201,E223/2,IF(E223&lt;=301,E223/3,E223/4))))</f>
        <v>884.58551999999997</v>
      </c>
      <c r="G223" s="55">
        <v>0</v>
      </c>
      <c r="H223" s="55">
        <f>F223*(($H$151)+1)+(IF(G223&lt;101,G223,IF(G223&lt;201,G223/2,IF(G223&lt;=301,G223/3,G223/4))))</f>
        <v>1371.1075559999999</v>
      </c>
      <c r="I223" s="58"/>
      <c r="N223" s="58"/>
    </row>
    <row r="224" spans="1:14" s="19" customFormat="1" ht="15.75" customHeight="1">
      <c r="A224" s="69">
        <f>A223+1</f>
        <v>4</v>
      </c>
      <c r="B224" s="69"/>
      <c r="C224" s="55" t="s">
        <v>203</v>
      </c>
      <c r="D224" s="54">
        <f>(61.76)*10.764</f>
        <v>664.78463999999997</v>
      </c>
      <c r="E224" s="54">
        <f>(4.64)*10.764</f>
        <v>49.944959999999995</v>
      </c>
      <c r="F224" s="54">
        <f>D224*(($F$151)+1)+(IF(E224&lt;101,E224,IF(E224&lt;201,E224/2,IF(E224&lt;=301,E224/3,E224/4))))</f>
        <v>714.7296</v>
      </c>
      <c r="G224" s="55">
        <v>0</v>
      </c>
      <c r="H224" s="55">
        <f>F224*(($H$151)+1)+(IF(G224&lt;101,G224,IF(G224&lt;201,G224/2,IF(G224&lt;=301,G224/3,G224/4))))</f>
        <v>1107.83088</v>
      </c>
      <c r="I224" s="58"/>
      <c r="N224" s="58"/>
    </row>
    <row r="225" spans="1:17" s="19" customFormat="1">
      <c r="A225" s="79" t="s">
        <v>269</v>
      </c>
      <c r="B225" s="79"/>
      <c r="C225" s="79"/>
      <c r="D225" s="79"/>
      <c r="E225" s="79"/>
      <c r="F225" s="79"/>
      <c r="G225" s="79"/>
      <c r="H225" s="79"/>
      <c r="I225" s="58"/>
      <c r="L225" s="80"/>
      <c r="M225" s="80"/>
    </row>
    <row r="226" spans="1:17" s="19" customFormat="1" ht="15.75" customHeight="1">
      <c r="A226" s="69">
        <v>1</v>
      </c>
      <c r="B226" s="69"/>
      <c r="C226" s="55" t="s">
        <v>202</v>
      </c>
      <c r="D226" s="54">
        <f>(84.04)*10.764</f>
        <v>904.60656000000006</v>
      </c>
      <c r="E226" s="54">
        <f>(5.81)*10.764</f>
        <v>62.538839999999993</v>
      </c>
      <c r="F226" s="55">
        <f>D226+E226</f>
        <v>967.14540000000011</v>
      </c>
      <c r="G226" s="55">
        <v>0</v>
      </c>
      <c r="H226" s="55">
        <f>F226*(($H$151)+1)+(IF(G226&lt;101,G226,IF(G226&lt;201,G226/2,IF(G226&lt;=301,G226/3,G226/4))))</f>
        <v>1499.0753700000002</v>
      </c>
      <c r="I226" s="58"/>
      <c r="N226" s="58"/>
    </row>
    <row r="227" spans="1:17" s="19" customFormat="1" ht="15.75" customHeight="1">
      <c r="A227" s="69">
        <f>A226+1</f>
        <v>2</v>
      </c>
      <c r="B227" s="69"/>
      <c r="C227" s="55" t="s">
        <v>201</v>
      </c>
      <c r="D227" s="54">
        <f>(77.34)*10.764</f>
        <v>832.48775999999998</v>
      </c>
      <c r="E227" s="54">
        <f>(1.88)*10.764</f>
        <v>20.236319999999999</v>
      </c>
      <c r="F227" s="54">
        <f>D227*(($F$151)+1)+(IF(E227&lt;101,E227,IF(E227&lt;201,E227/2,IF(E227&lt;=301,E227/3,E227/4))))</f>
        <v>852.72407999999996</v>
      </c>
      <c r="G227" s="55">
        <v>0</v>
      </c>
      <c r="H227" s="55">
        <f>F227*(($H$151)+1)+(IF(G227&lt;101,G227,IF(G227&lt;201,G227/2,IF(G227&lt;=301,G227/3,G227/4))))</f>
        <v>1321.7223240000001</v>
      </c>
      <c r="I227" s="58"/>
      <c r="N227" s="58"/>
    </row>
    <row r="228" spans="1:17" s="19" customFormat="1" ht="15.75" customHeight="1">
      <c r="A228" s="69">
        <f>A227+1</f>
        <v>3</v>
      </c>
      <c r="B228" s="69"/>
      <c r="C228" s="55" t="s">
        <v>202</v>
      </c>
      <c r="D228" s="54">
        <f>(80.42)*10.764</f>
        <v>865.64087999999992</v>
      </c>
      <c r="E228" s="54">
        <f>(1.76)*10.764</f>
        <v>18.94464</v>
      </c>
      <c r="F228" s="54">
        <f>D228*(($F$151)+1)+(IF(E228&lt;101,E228,IF(E228&lt;201,E228/2,IF(E228&lt;=301,E228/3,E228/4))))</f>
        <v>884.58551999999997</v>
      </c>
      <c r="G228" s="55">
        <v>0</v>
      </c>
      <c r="H228" s="55">
        <f>F228*(($H$151)+1)+(IF(G228&lt;101,G228,IF(G228&lt;201,G228/2,IF(G228&lt;=301,G228/3,G228/4))))</f>
        <v>1371.1075559999999</v>
      </c>
      <c r="I228" s="58"/>
      <c r="N228" s="58"/>
    </row>
    <row r="229" spans="1:17" s="19" customFormat="1" ht="15.75" customHeight="1">
      <c r="A229" s="69">
        <f>A228+1</f>
        <v>4</v>
      </c>
      <c r="B229" s="69"/>
      <c r="C229" s="55" t="s">
        <v>203</v>
      </c>
      <c r="D229" s="54">
        <f>(61.76)*10.764</f>
        <v>664.78463999999997</v>
      </c>
      <c r="E229" s="54">
        <f>(4.64)*10.764</f>
        <v>49.944959999999995</v>
      </c>
      <c r="F229" s="54">
        <f>D229*(($F$151)+1)+(IF(E229&lt;101,E229,IF(E229&lt;201,E229/2,IF(E229&lt;=301,E229/3,E229/4))))</f>
        <v>714.7296</v>
      </c>
      <c r="G229" s="55">
        <v>0</v>
      </c>
      <c r="H229" s="55">
        <f>F229*(($H$151)+1)+(IF(G229&lt;101,G229,IF(G229&lt;201,G229/2,IF(G229&lt;=301,G229/3,G229/4))))</f>
        <v>1107.83088</v>
      </c>
      <c r="I229" s="58"/>
      <c r="N229" s="58"/>
    </row>
    <row r="230" spans="1:17" s="19" customFormat="1">
      <c r="A230" s="79" t="s">
        <v>270</v>
      </c>
      <c r="B230" s="79"/>
      <c r="C230" s="79"/>
      <c r="D230" s="79"/>
      <c r="E230" s="79"/>
      <c r="F230" s="79"/>
      <c r="G230" s="79"/>
      <c r="H230" s="79"/>
      <c r="I230" s="58"/>
      <c r="L230" s="80"/>
      <c r="M230" s="80"/>
    </row>
    <row r="231" spans="1:17" s="19" customFormat="1" ht="15.75" customHeight="1">
      <c r="A231" s="69">
        <v>1</v>
      </c>
      <c r="B231" s="69"/>
      <c r="C231" s="55" t="s">
        <v>202</v>
      </c>
      <c r="D231" s="54">
        <f>(84.04)*10.764</f>
        <v>904.60656000000006</v>
      </c>
      <c r="E231" s="54">
        <f>(5.81)*10.764</f>
        <v>62.538839999999993</v>
      </c>
      <c r="F231" s="55">
        <f>D231+E231</f>
        <v>967.14540000000011</v>
      </c>
      <c r="G231" s="55">
        <v>0</v>
      </c>
      <c r="H231" s="55">
        <f>F231*(($H$151)+1)+(IF(G231&lt;101,G231,IF(G231&lt;201,G231/2,IF(G231&lt;=301,G231/3,G231/4))))</f>
        <v>1499.0753700000002</v>
      </c>
      <c r="I231" s="58"/>
      <c r="N231" s="58"/>
    </row>
    <row r="232" spans="1:17" s="19" customFormat="1" ht="15.75" customHeight="1">
      <c r="A232" s="69">
        <f>A231+1</f>
        <v>2</v>
      </c>
      <c r="B232" s="69"/>
      <c r="C232" s="55" t="s">
        <v>201</v>
      </c>
      <c r="D232" s="54">
        <f>(77.34)*10.764</f>
        <v>832.48775999999998</v>
      </c>
      <c r="E232" s="54">
        <f>(1.88)*10.764</f>
        <v>20.236319999999999</v>
      </c>
      <c r="F232" s="54">
        <f>D232*(($F$151)+1)+(IF(E232&lt;101,E232,IF(E232&lt;201,E232/2,IF(E232&lt;=301,E232/3,E232/4))))</f>
        <v>852.72407999999996</v>
      </c>
      <c r="G232" s="55">
        <v>0</v>
      </c>
      <c r="H232" s="55">
        <f>F232*(($H$151)+1)+(IF(G232&lt;101,G232,IF(G232&lt;201,G232/2,IF(G232&lt;=301,G232/3,G232/4))))</f>
        <v>1321.7223240000001</v>
      </c>
      <c r="I232" s="58"/>
      <c r="N232" s="58"/>
    </row>
    <row r="233" spans="1:17" s="19" customFormat="1" ht="15.75" customHeight="1">
      <c r="A233" s="69">
        <f>A232+1</f>
        <v>3</v>
      </c>
      <c r="B233" s="69"/>
      <c r="C233" s="55" t="s">
        <v>202</v>
      </c>
      <c r="D233" s="54">
        <f>(80.42)*10.764</f>
        <v>865.64087999999992</v>
      </c>
      <c r="E233" s="54">
        <f>(1.76)*10.764</f>
        <v>18.94464</v>
      </c>
      <c r="F233" s="54">
        <f>D233*(($F$151)+1)+(IF(E233&lt;101,E233,IF(E233&lt;201,E233/2,IF(E233&lt;=301,E233/3,E233/4))))</f>
        <v>884.58551999999997</v>
      </c>
      <c r="G233" s="55">
        <v>0</v>
      </c>
      <c r="H233" s="55">
        <f>F233*(($H$151)+1)+(IF(G233&lt;101,G233,IF(G233&lt;201,G233/2,IF(G233&lt;=301,G233/3,G233/4))))</f>
        <v>1371.1075559999999</v>
      </c>
      <c r="I233" s="58"/>
      <c r="N233" s="58"/>
    </row>
    <row r="234" spans="1:17" s="19" customFormat="1" ht="15.75" customHeight="1">
      <c r="A234" s="69">
        <f>A233+1</f>
        <v>4</v>
      </c>
      <c r="B234" s="69"/>
      <c r="C234" s="55" t="s">
        <v>203</v>
      </c>
      <c r="D234" s="54">
        <f>(61.76)*10.764</f>
        <v>664.78463999999997</v>
      </c>
      <c r="E234" s="54">
        <f>(4.64)*10.764</f>
        <v>49.944959999999995</v>
      </c>
      <c r="F234" s="54">
        <f>D234*(($F$151)+1)+(IF(E234&lt;101,E234,IF(E234&lt;201,E234/2,IF(E234&lt;=301,E234/3,E234/4))))</f>
        <v>714.7296</v>
      </c>
      <c r="G234" s="55">
        <v>0</v>
      </c>
      <c r="H234" s="55">
        <f>F234*(($H$151)+1)+(IF(G234&lt;101,G234,IF(G234&lt;201,G234/2,IF(G234&lt;=301,G234/3,G234/4))))</f>
        <v>1107.83088</v>
      </c>
      <c r="I234" s="58"/>
      <c r="N234" s="58"/>
    </row>
    <row r="235" spans="1:17" s="19" customFormat="1">
      <c r="A235" s="123" t="s">
        <v>181</v>
      </c>
      <c r="B235" s="123"/>
      <c r="C235" s="123"/>
      <c r="D235" s="123"/>
      <c r="E235" s="123"/>
      <c r="F235" s="123"/>
      <c r="G235" s="123"/>
      <c r="H235" s="123"/>
      <c r="I235" s="54">
        <v>10.763999999999999</v>
      </c>
      <c r="L235" s="80"/>
      <c r="M235" s="80"/>
    </row>
    <row r="236" spans="1:17" s="18" customFormat="1">
      <c r="A236" s="70" t="s">
        <v>199</v>
      </c>
      <c r="B236" s="70"/>
      <c r="C236" s="70"/>
      <c r="D236" s="70"/>
      <c r="E236" s="70"/>
      <c r="F236" s="70"/>
      <c r="G236" s="70"/>
      <c r="H236" s="70"/>
      <c r="I236" s="56">
        <v>1</v>
      </c>
      <c r="L236" s="71"/>
      <c r="M236" s="71"/>
    </row>
    <row r="237" spans="1:17" s="18" customFormat="1" ht="15.75" customHeight="1">
      <c r="A237" s="72">
        <v>1</v>
      </c>
      <c r="B237" s="72"/>
      <c r="C237" s="54" t="s">
        <v>203</v>
      </c>
      <c r="D237" s="54">
        <f>(59.49)*10.764</f>
        <v>640.35036000000002</v>
      </c>
      <c r="E237" s="54">
        <f>(1.98)*10.764</f>
        <v>21.312719999999999</v>
      </c>
      <c r="F237" s="55">
        <f>D237+E237</f>
        <v>661.66308000000004</v>
      </c>
      <c r="G237" s="55">
        <v>0</v>
      </c>
      <c r="H237" s="55">
        <f>F237*(($H$151)+1)+(IF(G237&lt;101,G237,IF(G237&lt;201,G237/2,IF(G237&lt;=301,G237/3,G237/4))))</f>
        <v>1025.5777740000001</v>
      </c>
      <c r="I237" s="56"/>
      <c r="N237" s="56"/>
    </row>
    <row r="238" spans="1:17" s="18" customFormat="1" ht="15.75" customHeight="1">
      <c r="A238" s="72">
        <f>A237+1</f>
        <v>2</v>
      </c>
      <c r="B238" s="72"/>
      <c r="C238" s="54" t="s">
        <v>203</v>
      </c>
      <c r="D238" s="54">
        <f>(64.15)*10.764</f>
        <v>690.51060000000007</v>
      </c>
      <c r="E238" s="54">
        <f>(1.75)*10.764</f>
        <v>18.837</v>
      </c>
      <c r="F238" s="55">
        <f>D238+E238</f>
        <v>709.34760000000006</v>
      </c>
      <c r="G238" s="55">
        <v>0</v>
      </c>
      <c r="H238" s="55">
        <f>F238*(($H$151)+1)+(IF(G238&lt;101,G238,IF(G238&lt;201,G238/2,IF(G238&lt;=301,G238/3,G238/4))))</f>
        <v>1099.4887800000001</v>
      </c>
      <c r="I238" s="56"/>
      <c r="J238" s="56"/>
      <c r="N238" s="56"/>
      <c r="Q238" s="54">
        <v>10.763999999999999</v>
      </c>
    </row>
    <row r="239" spans="1:17" s="18" customFormat="1" ht="15.75" customHeight="1">
      <c r="A239" s="72">
        <f>A238+1</f>
        <v>3</v>
      </c>
      <c r="B239" s="72"/>
      <c r="C239" s="54" t="s">
        <v>216</v>
      </c>
      <c r="D239" s="54">
        <f>(42.87)*10.764</f>
        <v>461.45267999999993</v>
      </c>
      <c r="E239" s="54">
        <v>0</v>
      </c>
      <c r="F239" s="55">
        <f>D239+E239</f>
        <v>461.45267999999993</v>
      </c>
      <c r="G239" s="55">
        <v>0</v>
      </c>
      <c r="H239" s="55">
        <f>F239*(($H$151)+1)+(IF(G239&lt;101,G239,IF(G239&lt;201,G239/2,IF(G239&lt;=301,G239/3,G239/4))))</f>
        <v>715.25165399999992</v>
      </c>
      <c r="I239" s="56"/>
      <c r="J239" s="56"/>
      <c r="N239" s="56"/>
    </row>
    <row r="240" spans="1:17" s="18" customFormat="1" ht="15.75" customHeight="1">
      <c r="A240" s="72">
        <f>A239+1</f>
        <v>4</v>
      </c>
      <c r="B240" s="72"/>
      <c r="C240" s="59" t="s">
        <v>216</v>
      </c>
      <c r="D240" s="59">
        <f>(42.58)*10.764</f>
        <v>458.33111999999994</v>
      </c>
      <c r="E240" s="59">
        <v>0</v>
      </c>
      <c r="F240" s="55">
        <f>D240+E240</f>
        <v>458.33111999999994</v>
      </c>
      <c r="G240" s="55">
        <v>0</v>
      </c>
      <c r="H240" s="55">
        <f>F240*(($H$151)+1)+(IF(G240&lt;101,G240,IF(G240&lt;201,G240/2,IF(G240&lt;=301,G240/3,G240/4))))</f>
        <v>710.41323599999998</v>
      </c>
      <c r="I240" s="57"/>
      <c r="L240" s="18">
        <v>6</v>
      </c>
      <c r="M240" s="18">
        <v>33</v>
      </c>
      <c r="N240" s="56"/>
    </row>
    <row r="241" spans="1:14" s="18" customFormat="1" ht="15.75" customHeight="1">
      <c r="A241" s="72">
        <f>A240+1</f>
        <v>5</v>
      </c>
      <c r="B241" s="72"/>
      <c r="C241" s="72" t="s">
        <v>200</v>
      </c>
      <c r="D241" s="72"/>
      <c r="E241" s="72"/>
      <c r="F241" s="72"/>
      <c r="G241" s="72"/>
      <c r="H241" s="72"/>
      <c r="I241" s="57"/>
      <c r="N241" s="56"/>
    </row>
    <row r="242" spans="1:14" s="18" customFormat="1" ht="15.75" customHeight="1">
      <c r="A242" s="72">
        <f>A241+1</f>
        <v>6</v>
      </c>
      <c r="B242" s="72"/>
      <c r="C242" s="72" t="s">
        <v>281</v>
      </c>
      <c r="D242" s="72"/>
      <c r="E242" s="72"/>
      <c r="F242" s="72"/>
      <c r="G242" s="72"/>
      <c r="H242" s="72"/>
      <c r="I242" s="57"/>
      <c r="N242" s="56"/>
    </row>
    <row r="243" spans="1:14" s="18" customFormat="1">
      <c r="A243" s="70" t="s">
        <v>204</v>
      </c>
      <c r="B243" s="70"/>
      <c r="C243" s="70"/>
      <c r="D243" s="70"/>
      <c r="E243" s="70"/>
      <c r="F243" s="70"/>
      <c r="G243" s="70"/>
      <c r="H243" s="70"/>
      <c r="I243" s="56">
        <v>3</v>
      </c>
      <c r="L243" s="71"/>
      <c r="M243" s="71"/>
    </row>
    <row r="244" spans="1:14" s="18" customFormat="1" ht="15.75" customHeight="1">
      <c r="A244" s="72">
        <v>1</v>
      </c>
      <c r="B244" s="72"/>
      <c r="C244" s="54" t="s">
        <v>203</v>
      </c>
      <c r="D244" s="54">
        <f>(59.49)*10.764</f>
        <v>640.35036000000002</v>
      </c>
      <c r="E244" s="54">
        <f>(1.98)*10.764</f>
        <v>21.312719999999999</v>
      </c>
      <c r="F244" s="55">
        <f>D244+E244</f>
        <v>661.66308000000004</v>
      </c>
      <c r="G244" s="55">
        <v>0</v>
      </c>
      <c r="H244" s="55">
        <f>F244*(($H$151)+1)+(IF(G244&lt;101,G244,IF(G244&lt;201,G244/2,IF(G244&lt;=301,G244/3,G244/4))))</f>
        <v>1025.5777740000001</v>
      </c>
      <c r="I244" s="56"/>
      <c r="N244" s="56"/>
    </row>
    <row r="245" spans="1:14" s="18" customFormat="1" ht="15.75" customHeight="1">
      <c r="A245" s="72">
        <f>A244+1</f>
        <v>2</v>
      </c>
      <c r="B245" s="72"/>
      <c r="C245" s="54" t="s">
        <v>203</v>
      </c>
      <c r="D245" s="54">
        <f>(64.15)*10.764</f>
        <v>690.51060000000007</v>
      </c>
      <c r="E245" s="54">
        <f>(1.75)*10.764</f>
        <v>18.837</v>
      </c>
      <c r="F245" s="55">
        <f>D245+E245</f>
        <v>709.34760000000006</v>
      </c>
      <c r="G245" s="55">
        <v>0</v>
      </c>
      <c r="H245" s="55">
        <f>F245*(($H$151)+1)+(IF(G245&lt;101,G245,IF(G245&lt;201,G245/2,IF(G245&lt;=301,G245/3,G245/4))))</f>
        <v>1099.4887800000001</v>
      </c>
      <c r="I245" s="56"/>
      <c r="N245" s="56"/>
    </row>
    <row r="246" spans="1:14" s="18" customFormat="1" ht="15.75" customHeight="1">
      <c r="A246" s="72">
        <f>A245+1</f>
        <v>3</v>
      </c>
      <c r="B246" s="72"/>
      <c r="C246" s="54" t="s">
        <v>216</v>
      </c>
      <c r="D246" s="54">
        <f>(42.87)*10.764</f>
        <v>461.45267999999993</v>
      </c>
      <c r="E246" s="54">
        <v>0</v>
      </c>
      <c r="F246" s="55">
        <f>D246+E246</f>
        <v>461.45267999999993</v>
      </c>
      <c r="G246" s="55">
        <v>0</v>
      </c>
      <c r="H246" s="55">
        <f>F246*(($H$151)+1)+(IF(G246&lt;101,G246,IF(G246&lt;201,G246/2,IF(G246&lt;=301,G246/3,G246/4))))</f>
        <v>715.25165399999992</v>
      </c>
      <c r="I246" s="56"/>
      <c r="N246" s="56"/>
    </row>
    <row r="247" spans="1:14" s="18" customFormat="1" ht="15.75" customHeight="1">
      <c r="A247" s="72">
        <f>A246+1</f>
        <v>4</v>
      </c>
      <c r="B247" s="72"/>
      <c r="C247" s="54" t="s">
        <v>216</v>
      </c>
      <c r="D247" s="59">
        <f>(42.58)*10.764</f>
        <v>458.33111999999994</v>
      </c>
      <c r="E247" s="59">
        <v>0</v>
      </c>
      <c r="F247" s="55">
        <f>D247+E247</f>
        <v>458.33111999999994</v>
      </c>
      <c r="G247" s="55">
        <v>0</v>
      </c>
      <c r="H247" s="55">
        <f>F247*(($H$151)+1)+(IF(G247&lt;101,G247,IF(G247&lt;201,G247/2,IF(G247&lt;=301,G247/3,G247/4))))</f>
        <v>710.41323599999998</v>
      </c>
      <c r="I247" s="56"/>
      <c r="N247" s="56"/>
    </row>
    <row r="248" spans="1:14" s="18" customFormat="1" ht="15.75" customHeight="1">
      <c r="A248" s="72">
        <f>A247+1</f>
        <v>5</v>
      </c>
      <c r="B248" s="72"/>
      <c r="C248" s="72" t="s">
        <v>218</v>
      </c>
      <c r="D248" s="72"/>
      <c r="E248" s="72"/>
      <c r="F248" s="72"/>
      <c r="G248" s="72"/>
      <c r="H248" s="72"/>
      <c r="I248" s="56"/>
      <c r="N248" s="56"/>
    </row>
    <row r="249" spans="1:14" s="18" customFormat="1" ht="15.75" customHeight="1">
      <c r="A249" s="72">
        <f>A248+1</f>
        <v>6</v>
      </c>
      <c r="B249" s="72"/>
      <c r="C249" s="72" t="s">
        <v>281</v>
      </c>
      <c r="D249" s="72"/>
      <c r="E249" s="72"/>
      <c r="F249" s="72"/>
      <c r="G249" s="72"/>
      <c r="H249" s="72"/>
      <c r="I249" s="56"/>
      <c r="N249" s="56"/>
    </row>
    <row r="250" spans="1:14" s="18" customFormat="1">
      <c r="A250" s="70" t="s">
        <v>284</v>
      </c>
      <c r="B250" s="70"/>
      <c r="C250" s="70"/>
      <c r="D250" s="70"/>
      <c r="E250" s="70"/>
      <c r="F250" s="70"/>
      <c r="G250" s="70"/>
      <c r="H250" s="70"/>
      <c r="I250" s="56">
        <v>2</v>
      </c>
      <c r="L250" s="71"/>
      <c r="M250" s="71"/>
    </row>
    <row r="251" spans="1:14" s="18" customFormat="1" ht="15.75" customHeight="1">
      <c r="A251" s="72">
        <v>1</v>
      </c>
      <c r="B251" s="72"/>
      <c r="C251" s="54" t="s">
        <v>203</v>
      </c>
      <c r="D251" s="54">
        <f>(59.49)*10.764</f>
        <v>640.35036000000002</v>
      </c>
      <c r="E251" s="54">
        <f>(1.98)*10.764</f>
        <v>21.312719999999999</v>
      </c>
      <c r="F251" s="55">
        <f>D251+E251</f>
        <v>661.66308000000004</v>
      </c>
      <c r="G251" s="55">
        <v>0</v>
      </c>
      <c r="H251" s="55">
        <f>F251*(($H$151)+1)+(IF(G251&lt;101,G251,IF(G251&lt;201,G251/2,IF(G251&lt;=301,G251/3,G251/4))))</f>
        <v>1025.5777740000001</v>
      </c>
      <c r="I251" s="56"/>
      <c r="N251" s="56"/>
    </row>
    <row r="252" spans="1:14" s="18" customFormat="1" ht="15.75" customHeight="1">
      <c r="A252" s="72">
        <f>A251+1</f>
        <v>2</v>
      </c>
      <c r="B252" s="72"/>
      <c r="C252" s="54" t="s">
        <v>203</v>
      </c>
      <c r="D252" s="54">
        <f>(64.15)*10.764</f>
        <v>690.51060000000007</v>
      </c>
      <c r="E252" s="54">
        <f>(1.75)*10.764</f>
        <v>18.837</v>
      </c>
      <c r="F252" s="55">
        <f>D252+E252</f>
        <v>709.34760000000006</v>
      </c>
      <c r="G252" s="55">
        <v>0</v>
      </c>
      <c r="H252" s="55">
        <f>F252*(($H$151)+1)+(IF(G252&lt;101,G252,IF(G252&lt;201,G252/2,IF(G252&lt;=301,G252/3,G252/4))))</f>
        <v>1099.4887800000001</v>
      </c>
      <c r="I252" s="56"/>
      <c r="N252" s="56"/>
    </row>
    <row r="253" spans="1:14" s="18" customFormat="1" ht="15.75" customHeight="1">
      <c r="A253" s="72">
        <f>A252+1</f>
        <v>3</v>
      </c>
      <c r="B253" s="72"/>
      <c r="C253" s="54" t="s">
        <v>216</v>
      </c>
      <c r="D253" s="54">
        <f>(42.87)*10.764</f>
        <v>461.45267999999993</v>
      </c>
      <c r="E253" s="54">
        <v>0</v>
      </c>
      <c r="F253" s="55">
        <f>D253+E253</f>
        <v>461.45267999999993</v>
      </c>
      <c r="G253" s="55">
        <v>0</v>
      </c>
      <c r="H253" s="55">
        <f>F253*(($H$151)+1)+(IF(G253&lt;101,G253,IF(G253&lt;201,G253/2,IF(G253&lt;=301,G253/3,G253/4))))</f>
        <v>715.25165399999992</v>
      </c>
      <c r="I253" s="56"/>
      <c r="N253" s="56"/>
    </row>
    <row r="254" spans="1:14" s="18" customFormat="1" ht="15.75" customHeight="1">
      <c r="A254" s="72">
        <f>A253+1</f>
        <v>4</v>
      </c>
      <c r="B254" s="72"/>
      <c r="C254" s="54" t="s">
        <v>216</v>
      </c>
      <c r="D254" s="59">
        <f>(42.58)*10.764</f>
        <v>458.33111999999994</v>
      </c>
      <c r="E254" s="59">
        <v>0</v>
      </c>
      <c r="F254" s="55">
        <f>D254+E254</f>
        <v>458.33111999999994</v>
      </c>
      <c r="G254" s="55">
        <v>0</v>
      </c>
      <c r="H254" s="55">
        <f>F254*(($H$151)+1)+(IF(G254&lt;101,G254,IF(G254&lt;201,G254/2,IF(G254&lt;=301,G254/3,G254/4))))</f>
        <v>710.41323599999998</v>
      </c>
      <c r="I254" s="56"/>
      <c r="N254" s="56"/>
    </row>
    <row r="255" spans="1:14" s="18" customFormat="1" ht="15.75" customHeight="1">
      <c r="A255" s="72">
        <f>A254+1</f>
        <v>5</v>
      </c>
      <c r="B255" s="72"/>
      <c r="C255" s="54" t="s">
        <v>203</v>
      </c>
      <c r="D255" s="54">
        <f>(55.11)*10.764</f>
        <v>593.20403999999996</v>
      </c>
      <c r="E255" s="54">
        <f>(1.69)*10.764</f>
        <v>18.19116</v>
      </c>
      <c r="F255" s="55">
        <f>D255+E255</f>
        <v>611.39519999999993</v>
      </c>
      <c r="G255" s="55">
        <v>0</v>
      </c>
      <c r="H255" s="55">
        <f>F255*(($H$151)+1)+(IF(G255&lt;101,G255,IF(G255&lt;201,G255/2,IF(G255&lt;=301,G255/3,G255/4))))</f>
        <v>947.66255999999987</v>
      </c>
      <c r="I255" s="56"/>
      <c r="N255" s="56"/>
    </row>
    <row r="256" spans="1:14" s="18" customFormat="1" ht="15.75" customHeight="1">
      <c r="A256" s="72">
        <f>A255+1</f>
        <v>6</v>
      </c>
      <c r="B256" s="72"/>
      <c r="C256" s="72" t="s">
        <v>282</v>
      </c>
      <c r="D256" s="72"/>
      <c r="E256" s="72"/>
      <c r="F256" s="72"/>
      <c r="G256" s="72"/>
      <c r="H256" s="72"/>
      <c r="I256" s="56"/>
      <c r="N256" s="56"/>
    </row>
    <row r="257" spans="1:14" s="18" customFormat="1">
      <c r="A257" s="70" t="s">
        <v>283</v>
      </c>
      <c r="B257" s="70"/>
      <c r="C257" s="70"/>
      <c r="D257" s="70"/>
      <c r="E257" s="70"/>
      <c r="F257" s="70"/>
      <c r="G257" s="70"/>
      <c r="H257" s="70"/>
      <c r="I257" s="56">
        <v>2</v>
      </c>
      <c r="L257" s="71"/>
      <c r="M257" s="71"/>
    </row>
    <row r="258" spans="1:14" s="18" customFormat="1" ht="15.75" customHeight="1">
      <c r="A258" s="72">
        <v>1</v>
      </c>
      <c r="B258" s="72"/>
      <c r="C258" s="54" t="s">
        <v>203</v>
      </c>
      <c r="D258" s="54">
        <f>(59.49)*10.764</f>
        <v>640.35036000000002</v>
      </c>
      <c r="E258" s="54">
        <f>(1.98)*10.764</f>
        <v>21.312719999999999</v>
      </c>
      <c r="F258" s="55">
        <f>D258+E258</f>
        <v>661.66308000000004</v>
      </c>
      <c r="G258" s="55">
        <v>0</v>
      </c>
      <c r="H258" s="55">
        <f>F258*(($H$151)+1)+(IF(G258&lt;101,G258,IF(G258&lt;201,G258/2,IF(G258&lt;=301,G258/3,G258/4))))</f>
        <v>1025.5777740000001</v>
      </c>
      <c r="I258" s="56"/>
      <c r="N258" s="56"/>
    </row>
    <row r="259" spans="1:14" s="18" customFormat="1" ht="15.75" customHeight="1">
      <c r="A259" s="72">
        <f>A258+1</f>
        <v>2</v>
      </c>
      <c r="B259" s="72"/>
      <c r="C259" s="54" t="s">
        <v>203</v>
      </c>
      <c r="D259" s="54">
        <f>(64.15)*10.764</f>
        <v>690.51060000000007</v>
      </c>
      <c r="E259" s="54">
        <f>(1.75)*10.764</f>
        <v>18.837</v>
      </c>
      <c r="F259" s="55">
        <f>D259+E259</f>
        <v>709.34760000000006</v>
      </c>
      <c r="G259" s="55">
        <v>0</v>
      </c>
      <c r="H259" s="55">
        <f>F259*(($H$151)+1)+(IF(G259&lt;101,G259,IF(G259&lt;201,G259/2,IF(G259&lt;=301,G259/3,G259/4))))</f>
        <v>1099.4887800000001</v>
      </c>
      <c r="I259" s="56"/>
      <c r="N259" s="56"/>
    </row>
    <row r="260" spans="1:14" s="18" customFormat="1" ht="15.75" customHeight="1">
      <c r="A260" s="72">
        <f>A259+1</f>
        <v>3</v>
      </c>
      <c r="B260" s="72"/>
      <c r="C260" s="54" t="s">
        <v>216</v>
      </c>
      <c r="D260" s="54">
        <f>(42.87)*10.764</f>
        <v>461.45267999999993</v>
      </c>
      <c r="E260" s="54">
        <v>0</v>
      </c>
      <c r="F260" s="55">
        <f>D260+E260</f>
        <v>461.45267999999993</v>
      </c>
      <c r="G260" s="55">
        <v>0</v>
      </c>
      <c r="H260" s="55">
        <f>F260*(($H$151)+1)+(IF(G260&lt;101,G260,IF(G260&lt;201,G260/2,IF(G260&lt;=301,G260/3,G260/4))))</f>
        <v>715.25165399999992</v>
      </c>
      <c r="I260" s="56"/>
      <c r="N260" s="56"/>
    </row>
    <row r="261" spans="1:14" s="18" customFormat="1" ht="15.75" customHeight="1">
      <c r="A261" s="72">
        <f>A260+1</f>
        <v>4</v>
      </c>
      <c r="B261" s="72"/>
      <c r="C261" s="54" t="s">
        <v>216</v>
      </c>
      <c r="D261" s="59">
        <f>(42.58)*10.764</f>
        <v>458.33111999999994</v>
      </c>
      <c r="E261" s="59">
        <v>0</v>
      </c>
      <c r="F261" s="55">
        <f>D261+E261</f>
        <v>458.33111999999994</v>
      </c>
      <c r="G261" s="55">
        <v>0</v>
      </c>
      <c r="H261" s="55">
        <f>F261*(($H$151)+1)+(IF(G261&lt;101,G261,IF(G261&lt;201,G261/2,IF(G261&lt;=301,G261/3,G261/4))))</f>
        <v>710.41323599999998</v>
      </c>
      <c r="I261" s="56"/>
      <c r="N261" s="56"/>
    </row>
    <row r="262" spans="1:14" s="18" customFormat="1" ht="15.75" customHeight="1">
      <c r="A262" s="72">
        <f>A261+1</f>
        <v>5</v>
      </c>
      <c r="B262" s="72"/>
      <c r="C262" s="54" t="s">
        <v>203</v>
      </c>
      <c r="D262" s="54">
        <f>(55.11)*10.764</f>
        <v>593.20403999999996</v>
      </c>
      <c r="E262" s="54">
        <f>(1.69)*10.764</f>
        <v>18.19116</v>
      </c>
      <c r="F262" s="55">
        <f>D262+E262</f>
        <v>611.39519999999993</v>
      </c>
      <c r="G262" s="55">
        <v>0</v>
      </c>
      <c r="H262" s="55">
        <f>F262*(($H$151)+1)+(IF(G262&lt;101,G262,IF(G262&lt;201,G262/2,IF(G262&lt;=301,G262/3,G262/4))))</f>
        <v>947.66255999999987</v>
      </c>
      <c r="I262" s="56"/>
      <c r="N262" s="56"/>
    </row>
    <row r="263" spans="1:14" s="18" customFormat="1" ht="15.75" customHeight="1">
      <c r="A263" s="72">
        <f>A262+1</f>
        <v>6</v>
      </c>
      <c r="B263" s="72"/>
      <c r="C263" s="72" t="s">
        <v>282</v>
      </c>
      <c r="D263" s="72"/>
      <c r="E263" s="72"/>
      <c r="F263" s="72"/>
      <c r="G263" s="72"/>
      <c r="H263" s="72"/>
      <c r="I263" s="56"/>
      <c r="N263" s="56"/>
    </row>
    <row r="264" spans="1:14" s="18" customFormat="1">
      <c r="A264" s="70" t="s">
        <v>206</v>
      </c>
      <c r="B264" s="70"/>
      <c r="C264" s="70"/>
      <c r="D264" s="70"/>
      <c r="E264" s="70"/>
      <c r="F264" s="70"/>
      <c r="G264" s="70"/>
      <c r="H264" s="70"/>
      <c r="I264" s="56">
        <v>1</v>
      </c>
      <c r="L264" s="71"/>
      <c r="M264" s="71"/>
    </row>
    <row r="265" spans="1:14" s="18" customFormat="1" ht="15.75" customHeight="1">
      <c r="A265" s="72">
        <v>1</v>
      </c>
      <c r="B265" s="72"/>
      <c r="C265" s="54" t="s">
        <v>203</v>
      </c>
      <c r="D265" s="54">
        <f>(59.49)*10.764</f>
        <v>640.35036000000002</v>
      </c>
      <c r="E265" s="54">
        <f>(1.98)*10.764</f>
        <v>21.312719999999999</v>
      </c>
      <c r="F265" s="55">
        <f t="shared" ref="F265:F270" si="0">D265+E265</f>
        <v>661.66308000000004</v>
      </c>
      <c r="G265" s="55">
        <v>0</v>
      </c>
      <c r="H265" s="55">
        <f>F265*(($H$151)+1)+(IF(G265&lt;101,G265,IF(G265&lt;201,G265/2,IF(G265&lt;=301,G265/3,G265/4))))</f>
        <v>1025.5777740000001</v>
      </c>
      <c r="I265" s="56"/>
      <c r="N265" s="56"/>
    </row>
    <row r="266" spans="1:14" s="18" customFormat="1" ht="15.75" customHeight="1">
      <c r="A266" s="72">
        <f>A265+1</f>
        <v>2</v>
      </c>
      <c r="B266" s="72"/>
      <c r="C266" s="54" t="s">
        <v>203</v>
      </c>
      <c r="D266" s="54">
        <f>(64.15)*10.764</f>
        <v>690.51060000000007</v>
      </c>
      <c r="E266" s="54">
        <f>(1.75)*10.764</f>
        <v>18.837</v>
      </c>
      <c r="F266" s="55">
        <f t="shared" si="0"/>
        <v>709.34760000000006</v>
      </c>
      <c r="G266" s="55">
        <v>0</v>
      </c>
      <c r="H266" s="55">
        <f>F266*(($H$151)+1)+(IF(G266&lt;101,G266,IF(G266&lt;201,G266/2,IF(G266&lt;=301,G266/3,G266/4))))</f>
        <v>1099.4887800000001</v>
      </c>
      <c r="I266" s="56"/>
      <c r="J266" s="56"/>
      <c r="N266" s="56"/>
    </row>
    <row r="267" spans="1:14" s="18" customFormat="1" ht="15.75" customHeight="1">
      <c r="A267" s="72">
        <f>A266+1</f>
        <v>3</v>
      </c>
      <c r="B267" s="72"/>
      <c r="C267" s="54" t="s">
        <v>216</v>
      </c>
      <c r="D267" s="54">
        <f>(42.87)*10.764</f>
        <v>461.45267999999993</v>
      </c>
      <c r="E267" s="54">
        <v>0</v>
      </c>
      <c r="F267" s="55">
        <f t="shared" si="0"/>
        <v>461.45267999999993</v>
      </c>
      <c r="G267" s="55">
        <v>0</v>
      </c>
      <c r="H267" s="55">
        <f>F267*(($H$151)+1)+(IF(G267&lt;101,G267,IF(G267&lt;201,G267/2,IF(G267&lt;=301,G267/3,G267/4))))</f>
        <v>715.25165399999992</v>
      </c>
      <c r="I267" s="56"/>
      <c r="J267" s="56"/>
      <c r="N267" s="56"/>
    </row>
    <row r="268" spans="1:14" s="18" customFormat="1" ht="15.75" customHeight="1">
      <c r="A268" s="72">
        <f>A267+1</f>
        <v>4</v>
      </c>
      <c r="B268" s="72"/>
      <c r="C268" s="54" t="s">
        <v>216</v>
      </c>
      <c r="D268" s="59">
        <f>(42.58)*10.764</f>
        <v>458.33111999999994</v>
      </c>
      <c r="E268" s="59">
        <v>0</v>
      </c>
      <c r="F268" s="55">
        <f t="shared" si="0"/>
        <v>458.33111999999994</v>
      </c>
      <c r="G268" s="55">
        <v>0</v>
      </c>
      <c r="H268" s="55">
        <f>F268*(($H$151)+1)+(IF(G268&lt;101,G268,IF(G268&lt;201,G268/2,IF(G268&lt;=301,G268/3,G268/4))))</f>
        <v>710.41323599999998</v>
      </c>
      <c r="I268" s="57"/>
      <c r="N268" s="56"/>
    </row>
    <row r="269" spans="1:14" s="18" customFormat="1" ht="15.75" customHeight="1">
      <c r="A269" s="72">
        <f>A268+1</f>
        <v>5</v>
      </c>
      <c r="B269" s="72"/>
      <c r="C269" s="76" t="s">
        <v>200</v>
      </c>
      <c r="D269" s="77"/>
      <c r="E269" s="77"/>
      <c r="F269" s="77"/>
      <c r="G269" s="77"/>
      <c r="H269" s="78"/>
      <c r="I269" s="57"/>
      <c r="N269" s="56"/>
    </row>
    <row r="270" spans="1:14" s="18" customFormat="1" ht="15.75" customHeight="1">
      <c r="A270" s="72">
        <f>A269+1</f>
        <v>6</v>
      </c>
      <c r="B270" s="72"/>
      <c r="C270" s="54" t="s">
        <v>203</v>
      </c>
      <c r="D270" s="54">
        <f>(61.61)*10.764</f>
        <v>663.17003999999997</v>
      </c>
      <c r="E270" s="54">
        <f>(2.58)*10.764</f>
        <v>27.77112</v>
      </c>
      <c r="F270" s="55">
        <f t="shared" si="0"/>
        <v>690.94115999999997</v>
      </c>
      <c r="G270" s="55">
        <v>0</v>
      </c>
      <c r="H270" s="55">
        <f>F270*(($H$151)+1)+(IF(G270&lt;101,G270,IF(G270&lt;201,G270/2,IF(G270&lt;=301,G270/3,G270/4))))</f>
        <v>1070.9587979999999</v>
      </c>
      <c r="I270" s="57"/>
      <c r="N270" s="56"/>
    </row>
    <row r="271" spans="1:14" s="18" customFormat="1">
      <c r="A271" s="70" t="s">
        <v>207</v>
      </c>
      <c r="B271" s="70"/>
      <c r="C271" s="70"/>
      <c r="D271" s="70"/>
      <c r="E271" s="70"/>
      <c r="F271" s="70"/>
      <c r="G271" s="70"/>
      <c r="H271" s="70"/>
      <c r="I271" s="56">
        <f>2+6+3</f>
        <v>11</v>
      </c>
      <c r="L271" s="71"/>
      <c r="M271" s="71"/>
    </row>
    <row r="272" spans="1:14" s="18" customFormat="1" ht="15.75" customHeight="1">
      <c r="A272" s="72">
        <v>1</v>
      </c>
      <c r="B272" s="72"/>
      <c r="C272" s="54" t="s">
        <v>203</v>
      </c>
      <c r="D272" s="54">
        <f>(59.49)*10.764</f>
        <v>640.35036000000002</v>
      </c>
      <c r="E272" s="54">
        <f>(1.98)*10.764</f>
        <v>21.312719999999999</v>
      </c>
      <c r="F272" s="55">
        <f t="shared" ref="F272:F277" si="1">D272+E272</f>
        <v>661.66308000000004</v>
      </c>
      <c r="G272" s="55">
        <v>0</v>
      </c>
      <c r="H272" s="55">
        <f t="shared" ref="H272:H277" si="2">F272*(($H$151)+1)+(IF(G272&lt;101,G272,IF(G272&lt;201,G272/2,IF(G272&lt;=301,G272/3,G272/4))))</f>
        <v>1025.5777740000001</v>
      </c>
      <c r="I272" s="56"/>
      <c r="N272" s="56"/>
    </row>
    <row r="273" spans="1:14" s="18" customFormat="1" ht="15.75" customHeight="1">
      <c r="A273" s="72">
        <f>A272+1</f>
        <v>2</v>
      </c>
      <c r="B273" s="72"/>
      <c r="C273" s="54" t="s">
        <v>203</v>
      </c>
      <c r="D273" s="54">
        <f>(64.15)*10.764</f>
        <v>690.51060000000007</v>
      </c>
      <c r="E273" s="54">
        <f>(1.75)*10.764</f>
        <v>18.837</v>
      </c>
      <c r="F273" s="55">
        <f t="shared" si="1"/>
        <v>709.34760000000006</v>
      </c>
      <c r="G273" s="55">
        <v>0</v>
      </c>
      <c r="H273" s="55">
        <f t="shared" si="2"/>
        <v>1099.4887800000001</v>
      </c>
      <c r="I273" s="56"/>
      <c r="N273" s="56"/>
    </row>
    <row r="274" spans="1:14" s="18" customFormat="1" ht="15.75" customHeight="1">
      <c r="A274" s="72">
        <f>A273+1</f>
        <v>3</v>
      </c>
      <c r="B274" s="72"/>
      <c r="C274" s="54" t="s">
        <v>216</v>
      </c>
      <c r="D274" s="54">
        <f>(42.87)*10.764</f>
        <v>461.45267999999993</v>
      </c>
      <c r="E274" s="54">
        <v>0</v>
      </c>
      <c r="F274" s="55">
        <f t="shared" si="1"/>
        <v>461.45267999999993</v>
      </c>
      <c r="G274" s="55">
        <v>0</v>
      </c>
      <c r="H274" s="55">
        <f t="shared" si="2"/>
        <v>715.25165399999992</v>
      </c>
      <c r="I274" s="56"/>
      <c r="N274" s="56"/>
    </row>
    <row r="275" spans="1:14" s="18" customFormat="1" ht="15.75" customHeight="1">
      <c r="A275" s="72">
        <f>A274+1</f>
        <v>4</v>
      </c>
      <c r="B275" s="72"/>
      <c r="C275" s="54" t="s">
        <v>216</v>
      </c>
      <c r="D275" s="59">
        <f>(42.58)*10.764</f>
        <v>458.33111999999994</v>
      </c>
      <c r="E275" s="59">
        <v>0</v>
      </c>
      <c r="F275" s="55">
        <f t="shared" si="1"/>
        <v>458.33111999999994</v>
      </c>
      <c r="G275" s="55">
        <v>0</v>
      </c>
      <c r="H275" s="55">
        <f t="shared" si="2"/>
        <v>710.41323599999998</v>
      </c>
      <c r="I275" s="56"/>
      <c r="N275" s="56"/>
    </row>
    <row r="276" spans="1:14" s="18" customFormat="1" ht="15.75" customHeight="1">
      <c r="A276" s="72">
        <f>A275+1</f>
        <v>5</v>
      </c>
      <c r="B276" s="72"/>
      <c r="C276" s="54" t="s">
        <v>203</v>
      </c>
      <c r="D276" s="54">
        <f>(55.11)*10.764</f>
        <v>593.20403999999996</v>
      </c>
      <c r="E276" s="54">
        <f>(1.69)*10.764</f>
        <v>18.19116</v>
      </c>
      <c r="F276" s="55">
        <f t="shared" si="1"/>
        <v>611.39519999999993</v>
      </c>
      <c r="G276" s="55">
        <v>0</v>
      </c>
      <c r="H276" s="55">
        <f t="shared" si="2"/>
        <v>947.66255999999987</v>
      </c>
      <c r="I276" s="56"/>
      <c r="N276" s="56"/>
    </row>
    <row r="277" spans="1:14" s="18" customFormat="1" ht="15.75" customHeight="1">
      <c r="A277" s="72">
        <f>A276+1</f>
        <v>6</v>
      </c>
      <c r="B277" s="72"/>
      <c r="C277" s="54" t="s">
        <v>203</v>
      </c>
      <c r="D277" s="54">
        <f>(61.61)*10.764</f>
        <v>663.17003999999997</v>
      </c>
      <c r="E277" s="54">
        <f>(2.58)*10.764</f>
        <v>27.77112</v>
      </c>
      <c r="F277" s="55">
        <f t="shared" si="1"/>
        <v>690.94115999999997</v>
      </c>
      <c r="G277" s="55">
        <v>0</v>
      </c>
      <c r="H277" s="55">
        <f t="shared" si="2"/>
        <v>1070.9587979999999</v>
      </c>
      <c r="I277" s="56"/>
      <c r="N277" s="56"/>
    </row>
    <row r="278" spans="1:14" s="18" customFormat="1">
      <c r="A278" s="70" t="s">
        <v>208</v>
      </c>
      <c r="B278" s="70"/>
      <c r="C278" s="70"/>
      <c r="D278" s="70"/>
      <c r="E278" s="70"/>
      <c r="F278" s="70"/>
      <c r="G278" s="70"/>
      <c r="H278" s="70"/>
      <c r="I278" s="56">
        <v>1</v>
      </c>
      <c r="L278" s="71"/>
      <c r="M278" s="71"/>
    </row>
    <row r="279" spans="1:14" s="18" customFormat="1" ht="15.75" customHeight="1">
      <c r="A279" s="72">
        <v>1</v>
      </c>
      <c r="B279" s="72"/>
      <c r="C279" s="54" t="s">
        <v>203</v>
      </c>
      <c r="D279" s="54">
        <f>(59.49)*10.764</f>
        <v>640.35036000000002</v>
      </c>
      <c r="E279" s="54">
        <f>(1.98)*10.764</f>
        <v>21.312719999999999</v>
      </c>
      <c r="F279" s="55">
        <f>D279+E279</f>
        <v>661.66308000000004</v>
      </c>
      <c r="G279" s="55">
        <v>0</v>
      </c>
      <c r="H279" s="55">
        <f>F279*(($H$151)+1)+(IF(G279&lt;101,G279,IF(G279&lt;201,G279/2,IF(G279&lt;=301,G279/3,G279/4))))</f>
        <v>1025.5777740000001</v>
      </c>
      <c r="I279" s="56"/>
      <c r="N279" s="56"/>
    </row>
    <row r="280" spans="1:14" s="18" customFormat="1" ht="15.75" customHeight="1">
      <c r="A280" s="72">
        <f>A279+1</f>
        <v>2</v>
      </c>
      <c r="B280" s="72"/>
      <c r="C280" s="54" t="s">
        <v>203</v>
      </c>
      <c r="D280" s="54">
        <f>(64.15)*10.764</f>
        <v>690.51060000000007</v>
      </c>
      <c r="E280" s="54">
        <f>(1.75)*10.764</f>
        <v>18.837</v>
      </c>
      <c r="F280" s="55">
        <f>D280+E280</f>
        <v>709.34760000000006</v>
      </c>
      <c r="G280" s="55">
        <v>0</v>
      </c>
      <c r="H280" s="55">
        <f>F280*(($H$151)+1)+(IF(G280&lt;101,G280,IF(G280&lt;201,G280/2,IF(G280&lt;=301,G280/3,G280/4))))</f>
        <v>1099.4887800000001</v>
      </c>
      <c r="I280" s="56"/>
      <c r="J280" s="56"/>
      <c r="N280" s="56"/>
    </row>
    <row r="281" spans="1:14" s="18" customFormat="1" ht="15.75" customHeight="1">
      <c r="A281" s="72">
        <f>A280+1</f>
        <v>3</v>
      </c>
      <c r="B281" s="72"/>
      <c r="C281" s="54" t="s">
        <v>216</v>
      </c>
      <c r="D281" s="54">
        <f>(42.87)*10.764</f>
        <v>461.45267999999993</v>
      </c>
      <c r="E281" s="54">
        <v>0</v>
      </c>
      <c r="F281" s="55">
        <f>D281+E281</f>
        <v>461.45267999999993</v>
      </c>
      <c r="G281" s="55">
        <v>0</v>
      </c>
      <c r="H281" s="55">
        <f>F281*(($H$151)+1)+(IF(G281&lt;101,G281,IF(G281&lt;201,G281/2,IF(G281&lt;=301,G281/3,G281/4))))</f>
        <v>715.25165399999992</v>
      </c>
      <c r="I281" s="56"/>
      <c r="J281" s="56"/>
      <c r="N281" s="56"/>
    </row>
    <row r="282" spans="1:14" s="18" customFormat="1" ht="15.75" customHeight="1">
      <c r="A282" s="72">
        <f>A281+1</f>
        <v>4</v>
      </c>
      <c r="B282" s="72"/>
      <c r="C282" s="54" t="s">
        <v>216</v>
      </c>
      <c r="D282" s="54">
        <f>(42.58)*10.764</f>
        <v>458.33111999999994</v>
      </c>
      <c r="E282" s="54">
        <v>0</v>
      </c>
      <c r="F282" s="55">
        <f>D282+E282</f>
        <v>458.33111999999994</v>
      </c>
      <c r="G282" s="55">
        <v>0</v>
      </c>
      <c r="H282" s="55">
        <f>F282*(($H$151)+1)+(IF(G282&lt;101,G282,IF(G282&lt;201,G282/2,IF(G282&lt;=301,G282/3,G282/4))))</f>
        <v>710.41323599999998</v>
      </c>
      <c r="I282" s="57"/>
      <c r="N282" s="56"/>
    </row>
    <row r="283" spans="1:14" s="18" customFormat="1" ht="15.75" customHeight="1">
      <c r="A283" s="72">
        <f>A282+1</f>
        <v>5</v>
      </c>
      <c r="B283" s="72"/>
      <c r="C283" s="72" t="s">
        <v>200</v>
      </c>
      <c r="D283" s="72"/>
      <c r="E283" s="72"/>
      <c r="F283" s="72"/>
      <c r="G283" s="72"/>
      <c r="H283" s="72"/>
      <c r="I283" s="57"/>
      <c r="N283" s="56"/>
    </row>
    <row r="284" spans="1:14" s="18" customFormat="1" ht="15.75" customHeight="1">
      <c r="A284" s="72">
        <f>A283+1</f>
        <v>6</v>
      </c>
      <c r="B284" s="72"/>
      <c r="C284" s="72" t="s">
        <v>219</v>
      </c>
      <c r="D284" s="72"/>
      <c r="E284" s="72"/>
      <c r="F284" s="72"/>
      <c r="G284" s="72"/>
      <c r="H284" s="72"/>
      <c r="I284" s="57"/>
      <c r="N284" s="56"/>
    </row>
    <row r="285" spans="1:14" s="19" customFormat="1">
      <c r="A285" s="70" t="s">
        <v>209</v>
      </c>
      <c r="B285" s="70"/>
      <c r="C285" s="70"/>
      <c r="D285" s="70"/>
      <c r="E285" s="70"/>
      <c r="F285" s="70"/>
      <c r="G285" s="70"/>
      <c r="H285" s="70"/>
      <c r="I285" s="58"/>
      <c r="L285" s="80"/>
      <c r="M285" s="80"/>
    </row>
    <row r="286" spans="1:14" s="19" customFormat="1">
      <c r="A286" s="79" t="s">
        <v>210</v>
      </c>
      <c r="B286" s="79"/>
      <c r="C286" s="79"/>
      <c r="D286" s="79"/>
      <c r="E286" s="79"/>
      <c r="F286" s="79"/>
      <c r="G286" s="79"/>
      <c r="H286" s="79"/>
      <c r="I286" s="58">
        <v>1</v>
      </c>
      <c r="L286" s="80"/>
      <c r="M286" s="80"/>
    </row>
    <row r="287" spans="1:14" s="18" customFormat="1" ht="15.75" customHeight="1">
      <c r="A287" s="72">
        <v>1</v>
      </c>
      <c r="B287" s="72"/>
      <c r="C287" s="54" t="s">
        <v>203</v>
      </c>
      <c r="D287" s="54">
        <f>(54.81)*10.764</f>
        <v>589.97483999999997</v>
      </c>
      <c r="E287" s="54">
        <f>1.98*10.764</f>
        <v>21.312719999999999</v>
      </c>
      <c r="F287" s="55">
        <f>D287+E287</f>
        <v>611.28755999999998</v>
      </c>
      <c r="G287" s="55">
        <v>0</v>
      </c>
      <c r="H287" s="55">
        <f>F287*(($H$151)+1)+(IF(G287&lt;101,G287,IF(G287&lt;201,G287/2,IF(G287&lt;=301,G287/3,G287/4))))</f>
        <v>947.49571800000001</v>
      </c>
      <c r="I287" s="56"/>
      <c r="N287" s="56"/>
    </row>
    <row r="288" spans="1:14" s="18" customFormat="1" ht="15.75" customHeight="1">
      <c r="A288" s="72">
        <f>A287+1</f>
        <v>2</v>
      </c>
      <c r="B288" s="72"/>
      <c r="C288" s="54" t="s">
        <v>203</v>
      </c>
      <c r="D288" s="54">
        <f>(59.57)*10.764</f>
        <v>641.21147999999994</v>
      </c>
      <c r="E288" s="54">
        <f>(1.75)*10.764</f>
        <v>18.837</v>
      </c>
      <c r="F288" s="55">
        <f>D288+E288</f>
        <v>660.04847999999993</v>
      </c>
      <c r="G288" s="55">
        <v>0</v>
      </c>
      <c r="H288" s="55">
        <f>F288*(($H$151)+1)+(IF(G288&lt;101,G288,IF(G288&lt;201,G288/2,IF(G288&lt;=301,G288/3,G288/4))))</f>
        <v>1023.0751439999999</v>
      </c>
      <c r="I288" s="56"/>
      <c r="J288" s="56"/>
      <c r="N288" s="56"/>
    </row>
    <row r="289" spans="1:14" s="18" customFormat="1" ht="15.75" customHeight="1">
      <c r="A289" s="72">
        <f>A288+1</f>
        <v>3</v>
      </c>
      <c r="B289" s="72"/>
      <c r="C289" s="54" t="s">
        <v>216</v>
      </c>
      <c r="D289" s="54">
        <f>(42.87)*10.764</f>
        <v>461.45267999999993</v>
      </c>
      <c r="E289" s="54">
        <v>0</v>
      </c>
      <c r="F289" s="55">
        <f>D289+E289</f>
        <v>461.45267999999993</v>
      </c>
      <c r="G289" s="55">
        <v>0</v>
      </c>
      <c r="H289" s="55">
        <f>F289*(($H$151)+1)+(IF(G289&lt;101,G289,IF(G289&lt;201,G289/2,IF(G289&lt;=301,G289/3,G289/4))))</f>
        <v>715.25165399999992</v>
      </c>
      <c r="I289" s="56"/>
      <c r="J289" s="56"/>
      <c r="N289" s="56"/>
    </row>
    <row r="290" spans="1:14" s="18" customFormat="1" ht="15.75" customHeight="1">
      <c r="A290" s="72">
        <f>A289+1</f>
        <v>4</v>
      </c>
      <c r="B290" s="72"/>
      <c r="C290" s="54" t="s">
        <v>216</v>
      </c>
      <c r="D290" s="54">
        <f>(42.58)*10.764</f>
        <v>458.33111999999994</v>
      </c>
      <c r="E290" s="54">
        <v>0</v>
      </c>
      <c r="F290" s="55">
        <f>D290+E290</f>
        <v>458.33111999999994</v>
      </c>
      <c r="G290" s="55">
        <v>0</v>
      </c>
      <c r="H290" s="55">
        <f>F290*(($H$151)+1)+(IF(G290&lt;101,G290,IF(G290&lt;201,G290/2,IF(G290&lt;=301,G290/3,G290/4))))</f>
        <v>710.41323599999998</v>
      </c>
      <c r="I290" s="57"/>
      <c r="N290" s="56"/>
    </row>
    <row r="291" spans="1:14" s="18" customFormat="1" ht="15.75" customHeight="1">
      <c r="A291" s="72">
        <f>A290+1</f>
        <v>5</v>
      </c>
      <c r="B291" s="72"/>
      <c r="C291" s="72" t="s">
        <v>200</v>
      </c>
      <c r="D291" s="72"/>
      <c r="E291" s="72"/>
      <c r="F291" s="72"/>
      <c r="G291" s="72"/>
      <c r="H291" s="72"/>
      <c r="I291" s="57"/>
      <c r="N291" s="56"/>
    </row>
    <row r="292" spans="1:14" s="18" customFormat="1" ht="15.75" customHeight="1">
      <c r="A292" s="72">
        <f>A291+1</f>
        <v>6</v>
      </c>
      <c r="B292" s="72"/>
      <c r="C292" s="54" t="s">
        <v>203</v>
      </c>
      <c r="D292" s="54">
        <f>(61.61+2.58)*10.764</f>
        <v>690.94115999999997</v>
      </c>
      <c r="E292" s="54">
        <v>0</v>
      </c>
      <c r="F292" s="55">
        <f>D292+E292</f>
        <v>690.94115999999997</v>
      </c>
      <c r="G292" s="55">
        <v>0</v>
      </c>
      <c r="H292" s="55">
        <f>F292*(($H$151)+1)+(IF(G292&lt;101,G292,IF(G292&lt;201,G292/2,IF(G292&lt;=301,G292/3,G292/4))))</f>
        <v>1070.9587979999999</v>
      </c>
      <c r="I292" s="57"/>
      <c r="N292" s="56"/>
    </row>
    <row r="293" spans="1:14" s="19" customFormat="1">
      <c r="A293" s="79" t="s">
        <v>211</v>
      </c>
      <c r="B293" s="79"/>
      <c r="C293" s="79"/>
      <c r="D293" s="79"/>
      <c r="E293" s="79"/>
      <c r="F293" s="79"/>
      <c r="G293" s="79"/>
      <c r="H293" s="79"/>
      <c r="I293" s="58">
        <f>6+3+2</f>
        <v>11</v>
      </c>
      <c r="L293" s="80"/>
      <c r="M293" s="80"/>
    </row>
    <row r="294" spans="1:14" s="19" customFormat="1" ht="15.75" customHeight="1">
      <c r="A294" s="69">
        <v>1</v>
      </c>
      <c r="B294" s="69"/>
      <c r="C294" s="54" t="s">
        <v>203</v>
      </c>
      <c r="D294" s="54">
        <f>(54.81)*10.764</f>
        <v>589.97483999999997</v>
      </c>
      <c r="E294" s="54">
        <f>1.98*10.764</f>
        <v>21.312719999999999</v>
      </c>
      <c r="F294" s="55">
        <f t="shared" ref="F294:F299" si="3">D294+E294</f>
        <v>611.28755999999998</v>
      </c>
      <c r="G294" s="55">
        <v>0</v>
      </c>
      <c r="H294" s="55">
        <f t="shared" ref="H294:H299" si="4">F294*(($H$151)+1)+(IF(G294&lt;101,G294,IF(G294&lt;201,G294/2,IF(G294&lt;=301,G294/3,G294/4))))</f>
        <v>947.49571800000001</v>
      </c>
      <c r="I294" s="58"/>
      <c r="N294" s="58"/>
    </row>
    <row r="295" spans="1:14" s="19" customFormat="1" ht="15.75" customHeight="1">
      <c r="A295" s="69">
        <f>A294+1</f>
        <v>2</v>
      </c>
      <c r="B295" s="69"/>
      <c r="C295" s="54" t="s">
        <v>203</v>
      </c>
      <c r="D295" s="54">
        <f>(59.57)*10.764</f>
        <v>641.21147999999994</v>
      </c>
      <c r="E295" s="54">
        <f>(1.75)*10.764</f>
        <v>18.837</v>
      </c>
      <c r="F295" s="55">
        <f t="shared" si="3"/>
        <v>660.04847999999993</v>
      </c>
      <c r="G295" s="55">
        <v>0</v>
      </c>
      <c r="H295" s="55">
        <f t="shared" si="4"/>
        <v>1023.0751439999999</v>
      </c>
      <c r="I295" s="58"/>
      <c r="N295" s="58"/>
    </row>
    <row r="296" spans="1:14" s="19" customFormat="1" ht="15.75" customHeight="1">
      <c r="A296" s="69">
        <f>A295+1</f>
        <v>3</v>
      </c>
      <c r="B296" s="69"/>
      <c r="C296" s="54" t="s">
        <v>216</v>
      </c>
      <c r="D296" s="54">
        <f>(42.87)*10.764</f>
        <v>461.45267999999993</v>
      </c>
      <c r="E296" s="54">
        <v>0</v>
      </c>
      <c r="F296" s="55">
        <f t="shared" si="3"/>
        <v>461.45267999999993</v>
      </c>
      <c r="G296" s="55">
        <v>0</v>
      </c>
      <c r="H296" s="55">
        <f t="shared" si="4"/>
        <v>715.25165399999992</v>
      </c>
      <c r="I296" s="58"/>
      <c r="N296" s="58"/>
    </row>
    <row r="297" spans="1:14" s="19" customFormat="1" ht="15.75" customHeight="1">
      <c r="A297" s="69">
        <f>A296+1</f>
        <v>4</v>
      </c>
      <c r="B297" s="69"/>
      <c r="C297" s="54" t="s">
        <v>216</v>
      </c>
      <c r="D297" s="59">
        <f>(42.58)*10.764</f>
        <v>458.33111999999994</v>
      </c>
      <c r="E297" s="59">
        <v>0</v>
      </c>
      <c r="F297" s="55">
        <f t="shared" si="3"/>
        <v>458.33111999999994</v>
      </c>
      <c r="G297" s="55">
        <v>0</v>
      </c>
      <c r="H297" s="55">
        <f t="shared" si="4"/>
        <v>710.41323599999998</v>
      </c>
      <c r="I297" s="58"/>
      <c r="N297" s="58"/>
    </row>
    <row r="298" spans="1:14" s="19" customFormat="1" ht="15.75" customHeight="1">
      <c r="A298" s="69">
        <f>A297+1</f>
        <v>5</v>
      </c>
      <c r="B298" s="69"/>
      <c r="C298" s="54" t="s">
        <v>203</v>
      </c>
      <c r="D298" s="54">
        <f>(55.11)*10.764</f>
        <v>593.20403999999996</v>
      </c>
      <c r="E298" s="54">
        <f>(1.69)*10.764</f>
        <v>18.19116</v>
      </c>
      <c r="F298" s="55">
        <f t="shared" si="3"/>
        <v>611.39519999999993</v>
      </c>
      <c r="G298" s="55">
        <v>0</v>
      </c>
      <c r="H298" s="55">
        <f t="shared" si="4"/>
        <v>947.66255999999987</v>
      </c>
      <c r="I298" s="58"/>
      <c r="N298" s="58"/>
    </row>
    <row r="299" spans="1:14" s="19" customFormat="1" ht="15.75" customHeight="1">
      <c r="A299" s="69">
        <f>A298+1</f>
        <v>6</v>
      </c>
      <c r="B299" s="69"/>
      <c r="C299" s="54" t="s">
        <v>203</v>
      </c>
      <c r="D299" s="54">
        <f>(61.61)*10.764</f>
        <v>663.17003999999997</v>
      </c>
      <c r="E299" s="54">
        <f>(2.58)*10.764</f>
        <v>27.77112</v>
      </c>
      <c r="F299" s="55">
        <f t="shared" si="3"/>
        <v>690.94115999999997</v>
      </c>
      <c r="G299" s="55">
        <v>0</v>
      </c>
      <c r="H299" s="55">
        <f t="shared" si="4"/>
        <v>1070.9587979999999</v>
      </c>
      <c r="I299" s="58"/>
      <c r="N299" s="58"/>
    </row>
    <row r="300" spans="1:14" s="19" customFormat="1">
      <c r="A300" s="79" t="s">
        <v>212</v>
      </c>
      <c r="B300" s="79"/>
      <c r="C300" s="79"/>
      <c r="D300" s="79"/>
      <c r="E300" s="79"/>
      <c r="F300" s="79"/>
      <c r="G300" s="79"/>
      <c r="H300" s="79"/>
      <c r="I300" s="58">
        <v>2</v>
      </c>
      <c r="L300" s="80"/>
      <c r="M300" s="80"/>
    </row>
    <row r="301" spans="1:14" s="19" customFormat="1" ht="15.75" customHeight="1">
      <c r="A301" s="69">
        <v>1</v>
      </c>
      <c r="B301" s="69"/>
      <c r="C301" s="54" t="s">
        <v>203</v>
      </c>
      <c r="D301" s="54">
        <f>(54.81)*10.764</f>
        <v>589.97483999999997</v>
      </c>
      <c r="E301" s="54">
        <f>1.98*10.764</f>
        <v>21.312719999999999</v>
      </c>
      <c r="F301" s="55">
        <f>D301+E301</f>
        <v>611.28755999999998</v>
      </c>
      <c r="G301" s="55">
        <v>0</v>
      </c>
      <c r="H301" s="55">
        <f>F301*(($H$151)+1)+(IF(G301&lt;101,G301,IF(G301&lt;201,G301/2,IF(G301&lt;=301,G301/3,G301/4))))</f>
        <v>947.49571800000001</v>
      </c>
      <c r="I301" s="58"/>
      <c r="N301" s="58"/>
    </row>
    <row r="302" spans="1:14" s="19" customFormat="1" ht="15.75" customHeight="1">
      <c r="A302" s="69">
        <f>A301+1</f>
        <v>2</v>
      </c>
      <c r="B302" s="69"/>
      <c r="C302" s="54" t="s">
        <v>203</v>
      </c>
      <c r="D302" s="54">
        <f>(59.57)*10.764</f>
        <v>641.21147999999994</v>
      </c>
      <c r="E302" s="54">
        <f>(1.75)*10.764</f>
        <v>18.837</v>
      </c>
      <c r="F302" s="55">
        <f>D302+E302</f>
        <v>660.04847999999993</v>
      </c>
      <c r="G302" s="55">
        <v>0</v>
      </c>
      <c r="H302" s="55">
        <f>F302*(($H$151)+1)+(IF(G302&lt;101,G302,IF(G302&lt;201,G302/2,IF(G302&lt;=301,G302/3,G302/4))))</f>
        <v>1023.0751439999999</v>
      </c>
      <c r="I302" s="58"/>
      <c r="N302" s="58"/>
    </row>
    <row r="303" spans="1:14" s="19" customFormat="1" ht="15.75" customHeight="1">
      <c r="A303" s="69">
        <f>A302+1</f>
        <v>3</v>
      </c>
      <c r="B303" s="69"/>
      <c r="C303" s="54" t="s">
        <v>216</v>
      </c>
      <c r="D303" s="54">
        <f>(42.87)*10.764</f>
        <v>461.45267999999993</v>
      </c>
      <c r="E303" s="54">
        <v>0</v>
      </c>
      <c r="F303" s="55">
        <f>D303+E303</f>
        <v>461.45267999999993</v>
      </c>
      <c r="G303" s="55">
        <v>0</v>
      </c>
      <c r="H303" s="55">
        <f>F303*(($H$151)+1)+(IF(G303&lt;101,G303,IF(G303&lt;201,G303/2,IF(G303&lt;=301,G303/3,G303/4))))</f>
        <v>715.25165399999992</v>
      </c>
      <c r="I303" s="58"/>
      <c r="N303" s="58"/>
    </row>
    <row r="304" spans="1:14" s="19" customFormat="1" ht="15.75" customHeight="1">
      <c r="A304" s="69">
        <f>A303+1</f>
        <v>4</v>
      </c>
      <c r="B304" s="69"/>
      <c r="C304" s="54" t="s">
        <v>216</v>
      </c>
      <c r="D304" s="54">
        <f>(42.58)*10.764</f>
        <v>458.33111999999994</v>
      </c>
      <c r="E304" s="54">
        <v>0</v>
      </c>
      <c r="F304" s="55">
        <f>D304+E304</f>
        <v>458.33111999999994</v>
      </c>
      <c r="G304" s="55">
        <v>0</v>
      </c>
      <c r="H304" s="55">
        <f>F304*(($H$151)+1)+(IF(G304&lt;101,G304,IF(G304&lt;201,G304/2,IF(G304&lt;=301,G304/3,G304/4))))</f>
        <v>710.41323599999998</v>
      </c>
      <c r="I304" s="58"/>
      <c r="N304" s="58"/>
    </row>
    <row r="305" spans="1:14" s="19" customFormat="1" ht="15.75" customHeight="1">
      <c r="A305" s="69">
        <f>A304+1</f>
        <v>5</v>
      </c>
      <c r="B305" s="69"/>
      <c r="C305" s="72" t="s">
        <v>200</v>
      </c>
      <c r="D305" s="72"/>
      <c r="E305" s="72"/>
      <c r="F305" s="72"/>
      <c r="G305" s="72"/>
      <c r="H305" s="72"/>
      <c r="I305" s="58"/>
      <c r="N305" s="58"/>
    </row>
    <row r="306" spans="1:14" s="19" customFormat="1" ht="15.75" customHeight="1">
      <c r="A306" s="69">
        <f>A305+1</f>
        <v>6</v>
      </c>
      <c r="B306" s="69"/>
      <c r="C306" s="54" t="s">
        <v>203</v>
      </c>
      <c r="D306" s="54">
        <f>(61.61+2.58)*10.764</f>
        <v>690.94115999999997</v>
      </c>
      <c r="E306" s="54">
        <v>0</v>
      </c>
      <c r="F306" s="55">
        <f>D306+E306</f>
        <v>690.94115999999997</v>
      </c>
      <c r="G306" s="55">
        <v>0</v>
      </c>
      <c r="H306" s="55">
        <f>F306*(($H$151)+1)+(IF(G306&lt;101,G306,IF(G306&lt;201,G306/2,IF(G306&lt;=301,G306/3,G306/4))))</f>
        <v>1070.9587979999999</v>
      </c>
      <c r="I306" s="58"/>
      <c r="N306" s="58"/>
    </row>
    <row r="307" spans="1:14" s="19" customFormat="1">
      <c r="A307" s="79" t="s">
        <v>213</v>
      </c>
      <c r="B307" s="79"/>
      <c r="C307" s="79"/>
      <c r="D307" s="79"/>
      <c r="E307" s="79"/>
      <c r="F307" s="79"/>
      <c r="G307" s="79"/>
      <c r="H307" s="79"/>
      <c r="I307" s="58"/>
      <c r="L307" s="80"/>
      <c r="M307" s="80"/>
    </row>
    <row r="308" spans="1:14" s="19" customFormat="1" ht="15.75" customHeight="1">
      <c r="A308" s="69">
        <v>1</v>
      </c>
      <c r="B308" s="69"/>
      <c r="C308" s="54" t="s">
        <v>203</v>
      </c>
      <c r="D308" s="54">
        <f>(54.81)*10.764</f>
        <v>589.97483999999997</v>
      </c>
      <c r="E308" s="54">
        <f>1.98*10.764</f>
        <v>21.312719999999999</v>
      </c>
      <c r="F308" s="55">
        <f>D308+E308</f>
        <v>611.28755999999998</v>
      </c>
      <c r="G308" s="55">
        <v>0</v>
      </c>
      <c r="H308" s="55">
        <f>F308*(($H$151)+1)+(IF(G308&lt;101,G308,IF(G308&lt;201,G308/2,IF(G308&lt;=301,G308/3,G308/4))))</f>
        <v>947.49571800000001</v>
      </c>
      <c r="I308" s="58">
        <v>3</v>
      </c>
      <c r="N308" s="58"/>
    </row>
    <row r="309" spans="1:14" s="19" customFormat="1" ht="15.75" customHeight="1">
      <c r="A309" s="69">
        <f>A308+1</f>
        <v>2</v>
      </c>
      <c r="B309" s="69"/>
      <c r="C309" s="54" t="s">
        <v>203</v>
      </c>
      <c r="D309" s="54">
        <f>(59.57)*10.764</f>
        <v>641.21147999999994</v>
      </c>
      <c r="E309" s="54">
        <f>(1.75)*10.764</f>
        <v>18.837</v>
      </c>
      <c r="F309" s="55">
        <f>D309+E309</f>
        <v>660.04847999999993</v>
      </c>
      <c r="G309" s="55">
        <v>0</v>
      </c>
      <c r="H309" s="55">
        <f>F309*(($H$151)+1)+(IF(G309&lt;101,G309,IF(G309&lt;201,G309/2,IF(G309&lt;=301,G309/3,G309/4))))</f>
        <v>1023.0751439999999</v>
      </c>
      <c r="I309" s="58"/>
      <c r="N309" s="58"/>
    </row>
    <row r="310" spans="1:14" s="19" customFormat="1" ht="15.75" customHeight="1">
      <c r="A310" s="69">
        <f>A309+1</f>
        <v>3</v>
      </c>
      <c r="B310" s="69"/>
      <c r="C310" s="54" t="s">
        <v>216</v>
      </c>
      <c r="D310" s="54">
        <f>(42.87)*10.764</f>
        <v>461.45267999999993</v>
      </c>
      <c r="E310" s="54">
        <v>0</v>
      </c>
      <c r="F310" s="55">
        <f>D310+E310</f>
        <v>461.45267999999993</v>
      </c>
      <c r="G310" s="55">
        <v>0</v>
      </c>
      <c r="H310" s="55">
        <f>F310*(($H$151)+1)+(IF(G310&lt;101,G310,IF(G310&lt;201,G310/2,IF(G310&lt;=301,G310/3,G310/4))))</f>
        <v>715.25165399999992</v>
      </c>
      <c r="I310" s="58"/>
      <c r="N310" s="58"/>
    </row>
    <row r="311" spans="1:14" s="19" customFormat="1" ht="15.75" customHeight="1">
      <c r="A311" s="69">
        <f>A310+1</f>
        <v>4</v>
      </c>
      <c r="B311" s="69"/>
      <c r="C311" s="54" t="s">
        <v>216</v>
      </c>
      <c r="D311" s="54">
        <f>(42.58)*10.764</f>
        <v>458.33111999999994</v>
      </c>
      <c r="E311" s="54">
        <v>0</v>
      </c>
      <c r="F311" s="55">
        <f>D311+E311</f>
        <v>458.33111999999994</v>
      </c>
      <c r="G311" s="55">
        <v>0</v>
      </c>
      <c r="H311" s="55">
        <f>F311*(($H$151)+1)+(IF(G311&lt;101,G311,IF(G311&lt;201,G311/2,IF(G311&lt;=301,G311/3,G311/4))))</f>
        <v>710.41323599999998</v>
      </c>
      <c r="I311" s="58"/>
      <c r="N311" s="58"/>
    </row>
    <row r="312" spans="1:14" s="19" customFormat="1" ht="15.75" customHeight="1">
      <c r="A312" s="69">
        <f>A311+1</f>
        <v>5</v>
      </c>
      <c r="B312" s="69"/>
      <c r="C312" s="76" t="s">
        <v>220</v>
      </c>
      <c r="D312" s="77"/>
      <c r="E312" s="77"/>
      <c r="F312" s="77"/>
      <c r="G312" s="77"/>
      <c r="H312" s="78"/>
      <c r="I312" s="58"/>
      <c r="N312" s="58"/>
    </row>
    <row r="313" spans="1:14" s="19" customFormat="1" ht="15.75" customHeight="1">
      <c r="A313" s="69">
        <f>A312+1</f>
        <v>6</v>
      </c>
      <c r="B313" s="69"/>
      <c r="C313" s="54" t="s">
        <v>203</v>
      </c>
      <c r="D313" s="54">
        <f>(61.61+2.58)*10.764</f>
        <v>690.94115999999997</v>
      </c>
      <c r="E313" s="54">
        <v>0</v>
      </c>
      <c r="F313" s="55">
        <f>D313+E313</f>
        <v>690.94115999999997</v>
      </c>
      <c r="G313" s="55">
        <v>0</v>
      </c>
      <c r="H313" s="55">
        <f>F313*(($H$151)+1)+(IF(G313&lt;101,G313,IF(G313&lt;201,G313/2,IF(G313&lt;=301,G313/3,G313/4))))</f>
        <v>1070.9587979999999</v>
      </c>
      <c r="I313" s="58"/>
      <c r="N313" s="58"/>
    </row>
    <row r="314" spans="1:14" s="19" customFormat="1">
      <c r="A314" s="79" t="s">
        <v>214</v>
      </c>
      <c r="B314" s="79"/>
      <c r="C314" s="79"/>
      <c r="D314" s="79"/>
      <c r="E314" s="79"/>
      <c r="F314" s="79"/>
      <c r="G314" s="79"/>
      <c r="H314" s="79"/>
      <c r="I314" s="58">
        <v>1</v>
      </c>
      <c r="L314" s="80"/>
      <c r="M314" s="80"/>
    </row>
    <row r="315" spans="1:14" s="19" customFormat="1" ht="15.75" customHeight="1">
      <c r="A315" s="69">
        <v>1</v>
      </c>
      <c r="B315" s="69"/>
      <c r="C315" s="54" t="s">
        <v>203</v>
      </c>
      <c r="D315" s="54">
        <f>(54.81)*10.764</f>
        <v>589.97483999999997</v>
      </c>
      <c r="E315" s="54">
        <f>1.98*10.764</f>
        <v>21.312719999999999</v>
      </c>
      <c r="F315" s="55">
        <f>D315+E315</f>
        <v>611.28755999999998</v>
      </c>
      <c r="G315" s="55">
        <v>0</v>
      </c>
      <c r="H315" s="55">
        <f>F315*(($H$151)+1)+(IF(G315&lt;101,G315,IF(G315&lt;201,G315/2,IF(G315&lt;=301,G315/3,G315/4))))</f>
        <v>947.49571800000001</v>
      </c>
      <c r="I315" s="58"/>
      <c r="N315" s="58"/>
    </row>
    <row r="316" spans="1:14" s="19" customFormat="1" ht="15.75" customHeight="1">
      <c r="A316" s="69">
        <f>A315+1</f>
        <v>2</v>
      </c>
      <c r="B316" s="69"/>
      <c r="C316" s="54" t="s">
        <v>203</v>
      </c>
      <c r="D316" s="54">
        <f>(59.57)*10.764</f>
        <v>641.21147999999994</v>
      </c>
      <c r="E316" s="54">
        <f>(1.75)*10.764</f>
        <v>18.837</v>
      </c>
      <c r="F316" s="55">
        <f>D316+E316</f>
        <v>660.04847999999993</v>
      </c>
      <c r="G316" s="55">
        <v>0</v>
      </c>
      <c r="H316" s="55">
        <f>F316*(($H$151)+1)+(IF(G316&lt;101,G316,IF(G316&lt;201,G316/2,IF(G316&lt;=301,G316/3,G316/4))))</f>
        <v>1023.0751439999999</v>
      </c>
      <c r="I316" s="58"/>
      <c r="N316" s="58"/>
    </row>
    <row r="317" spans="1:14" s="19" customFormat="1" ht="15.75" customHeight="1">
      <c r="A317" s="69">
        <f>A316+1</f>
        <v>3</v>
      </c>
      <c r="B317" s="69"/>
      <c r="C317" s="54" t="s">
        <v>216</v>
      </c>
      <c r="D317" s="54">
        <f>(42.87)*10.764</f>
        <v>461.45267999999993</v>
      </c>
      <c r="E317" s="54">
        <v>0</v>
      </c>
      <c r="F317" s="55">
        <f>D317+E317</f>
        <v>461.45267999999993</v>
      </c>
      <c r="G317" s="55">
        <v>0</v>
      </c>
      <c r="H317" s="55">
        <f>F317*(($H$151)+1)+(IF(G317&lt;101,G317,IF(G317&lt;201,G317/2,IF(G317&lt;=301,G317/3,G317/4))))</f>
        <v>715.25165399999992</v>
      </c>
      <c r="I317" s="58"/>
      <c r="N317" s="58"/>
    </row>
    <row r="318" spans="1:14" s="19" customFormat="1" ht="15.75" customHeight="1">
      <c r="A318" s="69">
        <f>A317+1</f>
        <v>4</v>
      </c>
      <c r="B318" s="69"/>
      <c r="C318" s="54" t="s">
        <v>216</v>
      </c>
      <c r="D318" s="54">
        <f>(42.58)*10.764</f>
        <v>458.33111999999994</v>
      </c>
      <c r="E318" s="54">
        <v>0</v>
      </c>
      <c r="F318" s="55">
        <f>D318+E318</f>
        <v>458.33111999999994</v>
      </c>
      <c r="G318" s="55">
        <v>0</v>
      </c>
      <c r="H318" s="55">
        <f>F318*(($H$151)+1)+(IF(G318&lt;101,G318,IF(G318&lt;201,G318/2,IF(G318&lt;=301,G318/3,G318/4))))</f>
        <v>710.41323599999998</v>
      </c>
      <c r="I318" s="58"/>
      <c r="N318" s="58"/>
    </row>
    <row r="319" spans="1:14" s="19" customFormat="1" ht="15.75" customHeight="1">
      <c r="A319" s="69">
        <f>A318+1</f>
        <v>5</v>
      </c>
      <c r="B319" s="69"/>
      <c r="C319" s="54" t="s">
        <v>203</v>
      </c>
      <c r="D319" s="54">
        <f>(55.11)*10.764</f>
        <v>593.20403999999996</v>
      </c>
      <c r="E319" s="54">
        <f>(1.69)*10.764</f>
        <v>18.19116</v>
      </c>
      <c r="F319" s="55">
        <f>D319+E319</f>
        <v>611.39519999999993</v>
      </c>
      <c r="G319" s="55">
        <v>0</v>
      </c>
      <c r="H319" s="55">
        <f>F319*(($H$151)+1)+(IF(G319&lt;101,G319,IF(G319&lt;201,G319/2,IF(G319&lt;=301,G319/3,G319/4))))</f>
        <v>947.66255999999987</v>
      </c>
      <c r="I319" s="58"/>
      <c r="N319" s="58"/>
    </row>
    <row r="320" spans="1:14" s="19" customFormat="1" ht="15.75" customHeight="1">
      <c r="A320" s="69">
        <f>A319+1</f>
        <v>6</v>
      </c>
      <c r="B320" s="69"/>
      <c r="C320" s="73" t="s">
        <v>219</v>
      </c>
      <c r="D320" s="74"/>
      <c r="E320" s="74"/>
      <c r="F320" s="74"/>
      <c r="G320" s="74"/>
      <c r="H320" s="75"/>
      <c r="I320" s="58"/>
      <c r="N320" s="58"/>
    </row>
    <row r="321" spans="1:14" s="19" customFormat="1">
      <c r="A321" s="79" t="s">
        <v>215</v>
      </c>
      <c r="B321" s="79"/>
      <c r="C321" s="79"/>
      <c r="D321" s="79"/>
      <c r="E321" s="79"/>
      <c r="F321" s="79"/>
      <c r="G321" s="79"/>
      <c r="H321" s="79"/>
      <c r="I321" s="58">
        <v>1</v>
      </c>
      <c r="L321" s="80"/>
      <c r="M321" s="80"/>
    </row>
    <row r="322" spans="1:14" s="19" customFormat="1" ht="15.75" customHeight="1">
      <c r="A322" s="69">
        <v>1</v>
      </c>
      <c r="B322" s="69"/>
      <c r="C322" s="54" t="s">
        <v>203</v>
      </c>
      <c r="D322" s="54">
        <f>(54.81)*10.764</f>
        <v>589.97483999999997</v>
      </c>
      <c r="E322" s="54">
        <f>1.98*10.764</f>
        <v>21.312719999999999</v>
      </c>
      <c r="F322" s="55">
        <f>D322+E322</f>
        <v>611.28755999999998</v>
      </c>
      <c r="G322" s="55">
        <v>0</v>
      </c>
      <c r="H322" s="55">
        <f>F322*(($H$151)+1)+(IF(G322&lt;101,G322,IF(G322&lt;201,G322/2,IF(G322&lt;=301,G322/3,G322/4))))</f>
        <v>947.49571800000001</v>
      </c>
      <c r="I322" s="58"/>
      <c r="N322" s="58"/>
    </row>
    <row r="323" spans="1:14" s="19" customFormat="1" ht="15.75" customHeight="1">
      <c r="A323" s="69">
        <f>A322+1</f>
        <v>2</v>
      </c>
      <c r="B323" s="69"/>
      <c r="C323" s="54" t="s">
        <v>203</v>
      </c>
      <c r="D323" s="54">
        <f>(59.57)*10.764</f>
        <v>641.21147999999994</v>
      </c>
      <c r="E323" s="54">
        <f>(1.75)*10.764</f>
        <v>18.837</v>
      </c>
      <c r="F323" s="55">
        <f>D323+E323</f>
        <v>660.04847999999993</v>
      </c>
      <c r="G323" s="55">
        <v>0</v>
      </c>
      <c r="H323" s="55">
        <f>F323*(($H$151)+1)+(IF(G323&lt;101,G323,IF(G323&lt;201,G323/2,IF(G323&lt;=301,G323/3,G323/4))))</f>
        <v>1023.0751439999999</v>
      </c>
      <c r="I323" s="58"/>
      <c r="N323" s="58"/>
    </row>
    <row r="324" spans="1:14" s="19" customFormat="1" ht="15.75" customHeight="1">
      <c r="A324" s="69">
        <f>A323+1</f>
        <v>3</v>
      </c>
      <c r="B324" s="69"/>
      <c r="C324" s="54" t="s">
        <v>216</v>
      </c>
      <c r="D324" s="54">
        <f>(42.87)*10.764</f>
        <v>461.45267999999993</v>
      </c>
      <c r="E324" s="54">
        <v>0</v>
      </c>
      <c r="F324" s="55">
        <f>D324+E324</f>
        <v>461.45267999999993</v>
      </c>
      <c r="G324" s="55">
        <v>0</v>
      </c>
      <c r="H324" s="55">
        <f>F324*(($H$151)+1)+(IF(G324&lt;101,G324,IF(G324&lt;201,G324/2,IF(G324&lt;=301,G324/3,G324/4))))</f>
        <v>715.25165399999992</v>
      </c>
      <c r="I324" s="58"/>
      <c r="N324" s="58"/>
    </row>
    <row r="325" spans="1:14" s="19" customFormat="1" ht="15.75" customHeight="1">
      <c r="A325" s="69">
        <f>A324+1</f>
        <v>4</v>
      </c>
      <c r="B325" s="69"/>
      <c r="C325" s="54" t="s">
        <v>216</v>
      </c>
      <c r="D325" s="54">
        <f>(42.58)*10.764</f>
        <v>458.33111999999994</v>
      </c>
      <c r="E325" s="54">
        <v>0</v>
      </c>
      <c r="F325" s="55">
        <f>D325+E325</f>
        <v>458.33111999999994</v>
      </c>
      <c r="G325" s="55">
        <v>0</v>
      </c>
      <c r="H325" s="55">
        <f>F325*(($H$151)+1)+(IF(G325&lt;101,G325,IF(G325&lt;201,G325/2,IF(G325&lt;=301,G325/3,G325/4))))</f>
        <v>710.41323599999998</v>
      </c>
      <c r="I325" s="58"/>
      <c r="N325" s="58"/>
    </row>
    <row r="326" spans="1:14" s="19" customFormat="1" ht="15.75" customHeight="1">
      <c r="A326" s="69">
        <f>A325+1</f>
        <v>5</v>
      </c>
      <c r="B326" s="69"/>
      <c r="C326" s="54" t="s">
        <v>203</v>
      </c>
      <c r="D326" s="54">
        <f>(55.11)*10.764</f>
        <v>593.20403999999996</v>
      </c>
      <c r="E326" s="54">
        <f>(1.69)*10.764</f>
        <v>18.19116</v>
      </c>
      <c r="F326" s="55">
        <f>D326+E326</f>
        <v>611.39519999999993</v>
      </c>
      <c r="G326" s="55">
        <v>0</v>
      </c>
      <c r="H326" s="55">
        <f>F326*(($H$151)+1)+(IF(G326&lt;101,G326,IF(G326&lt;201,G326/2,IF(G326&lt;=301,G326/3,G326/4))))</f>
        <v>947.66255999999987</v>
      </c>
      <c r="I326" s="58"/>
      <c r="N326" s="58"/>
    </row>
    <row r="327" spans="1:14" s="19" customFormat="1" ht="15.75" customHeight="1">
      <c r="A327" s="69">
        <f>A326+1</f>
        <v>6</v>
      </c>
      <c r="B327" s="69"/>
      <c r="C327" s="73" t="s">
        <v>221</v>
      </c>
      <c r="D327" s="74"/>
      <c r="E327" s="74"/>
      <c r="F327" s="74"/>
      <c r="G327" s="74"/>
      <c r="H327" s="75"/>
      <c r="I327" s="58"/>
      <c r="N327" s="58"/>
    </row>
    <row r="328" spans="1:14" s="19" customFormat="1">
      <c r="A328" s="79" t="s">
        <v>272</v>
      </c>
      <c r="B328" s="79"/>
      <c r="C328" s="79"/>
      <c r="D328" s="79"/>
      <c r="E328" s="79"/>
      <c r="F328" s="79"/>
      <c r="G328" s="79"/>
      <c r="H328" s="79"/>
      <c r="I328" s="58">
        <v>1</v>
      </c>
      <c r="L328" s="80"/>
      <c r="M328" s="80"/>
    </row>
    <row r="329" spans="1:14" s="19" customFormat="1" ht="15.75" customHeight="1">
      <c r="A329" s="69">
        <v>1</v>
      </c>
      <c r="B329" s="69"/>
      <c r="C329" s="54" t="s">
        <v>203</v>
      </c>
      <c r="D329" s="54">
        <f>(54.81)*10.764</f>
        <v>589.97483999999997</v>
      </c>
      <c r="E329" s="54">
        <f>1.98*10.764</f>
        <v>21.312719999999999</v>
      </c>
      <c r="F329" s="55">
        <f t="shared" ref="F329:F333" si="5">D329+E329</f>
        <v>611.28755999999998</v>
      </c>
      <c r="G329" s="55">
        <v>0</v>
      </c>
      <c r="H329" s="55">
        <f t="shared" ref="H329:H333" si="6">F329*(($H$151)+1)+(IF(G329&lt;101,G329,IF(G329&lt;201,G329/2,IF(G329&lt;=301,G329/3,G329/4))))</f>
        <v>947.49571800000001</v>
      </c>
      <c r="I329" s="58"/>
      <c r="N329" s="58"/>
    </row>
    <row r="330" spans="1:14" s="19" customFormat="1" ht="15.75" customHeight="1">
      <c r="A330" s="69">
        <f>A329+1</f>
        <v>2</v>
      </c>
      <c r="B330" s="69"/>
      <c r="C330" s="54" t="s">
        <v>203</v>
      </c>
      <c r="D330" s="54">
        <f>(59.57)*10.764</f>
        <v>641.21147999999994</v>
      </c>
      <c r="E330" s="54">
        <f>(1.75)*10.764</f>
        <v>18.837</v>
      </c>
      <c r="F330" s="55">
        <f t="shared" si="5"/>
        <v>660.04847999999993</v>
      </c>
      <c r="G330" s="55">
        <v>0</v>
      </c>
      <c r="H330" s="55">
        <f t="shared" si="6"/>
        <v>1023.0751439999999</v>
      </c>
      <c r="I330" s="58"/>
      <c r="N330" s="58"/>
    </row>
    <row r="331" spans="1:14" s="19" customFormat="1" ht="15.75" customHeight="1">
      <c r="A331" s="69">
        <f>A330+1</f>
        <v>3</v>
      </c>
      <c r="B331" s="69"/>
      <c r="C331" s="54" t="s">
        <v>216</v>
      </c>
      <c r="D331" s="54">
        <f>(42.87)*10.764</f>
        <v>461.45267999999993</v>
      </c>
      <c r="E331" s="54">
        <v>0</v>
      </c>
      <c r="F331" s="55">
        <f t="shared" si="5"/>
        <v>461.45267999999993</v>
      </c>
      <c r="G331" s="55">
        <v>0</v>
      </c>
      <c r="H331" s="55">
        <f t="shared" si="6"/>
        <v>715.25165399999992</v>
      </c>
      <c r="I331" s="58"/>
      <c r="N331" s="58"/>
    </row>
    <row r="332" spans="1:14" s="19" customFormat="1" ht="15.75" customHeight="1">
      <c r="A332" s="69">
        <f>A331+1</f>
        <v>4</v>
      </c>
      <c r="B332" s="69"/>
      <c r="C332" s="54" t="s">
        <v>216</v>
      </c>
      <c r="D332" s="54">
        <f>(42.58)*10.764</f>
        <v>458.33111999999994</v>
      </c>
      <c r="E332" s="54">
        <v>0</v>
      </c>
      <c r="F332" s="55">
        <f t="shared" si="5"/>
        <v>458.33111999999994</v>
      </c>
      <c r="G332" s="55">
        <v>0</v>
      </c>
      <c r="H332" s="55">
        <f t="shared" si="6"/>
        <v>710.41323599999998</v>
      </c>
      <c r="I332" s="58"/>
      <c r="N332" s="58"/>
    </row>
    <row r="333" spans="1:14" s="19" customFormat="1" ht="15.75" customHeight="1">
      <c r="A333" s="69">
        <f>A332+1</f>
        <v>5</v>
      </c>
      <c r="B333" s="69"/>
      <c r="C333" s="54" t="s">
        <v>203</v>
      </c>
      <c r="D333" s="54">
        <f>(55.59)*10.764</f>
        <v>598.37076000000002</v>
      </c>
      <c r="E333" s="54">
        <f>(5.52)*10.764</f>
        <v>59.417279999999991</v>
      </c>
      <c r="F333" s="55">
        <f t="shared" si="5"/>
        <v>657.78804000000002</v>
      </c>
      <c r="G333" s="55">
        <v>0</v>
      </c>
      <c r="H333" s="55">
        <f t="shared" si="6"/>
        <v>1019.5714620000001</v>
      </c>
      <c r="I333" s="58"/>
      <c r="N333" s="58"/>
    </row>
    <row r="334" spans="1:14" s="19" customFormat="1" ht="15.75" customHeight="1">
      <c r="A334" s="69">
        <f>A333+1</f>
        <v>6</v>
      </c>
      <c r="B334" s="69"/>
      <c r="C334" s="73" t="s">
        <v>273</v>
      </c>
      <c r="D334" s="74"/>
      <c r="E334" s="74"/>
      <c r="F334" s="74"/>
      <c r="G334" s="74"/>
      <c r="H334" s="75"/>
      <c r="I334" s="58"/>
      <c r="N334" s="58"/>
    </row>
    <row r="335" spans="1:14" s="19" customFormat="1">
      <c r="A335" s="79" t="s">
        <v>274</v>
      </c>
      <c r="B335" s="79"/>
      <c r="C335" s="79"/>
      <c r="D335" s="79"/>
      <c r="E335" s="79"/>
      <c r="F335" s="79"/>
      <c r="G335" s="79"/>
      <c r="H335" s="79"/>
      <c r="I335" s="58">
        <v>1</v>
      </c>
      <c r="L335" s="80"/>
      <c r="M335" s="80"/>
    </row>
    <row r="336" spans="1:14" s="19" customFormat="1" ht="15.75" customHeight="1">
      <c r="A336" s="69">
        <v>1</v>
      </c>
      <c r="B336" s="69"/>
      <c r="C336" s="54" t="s">
        <v>203</v>
      </c>
      <c r="D336" s="54">
        <f>(54.81)*10.764</f>
        <v>589.97483999999997</v>
      </c>
      <c r="E336" s="54">
        <f>1.98*10.764</f>
        <v>21.312719999999999</v>
      </c>
      <c r="F336" s="55">
        <f t="shared" ref="F336:F340" si="7">D336+E336</f>
        <v>611.28755999999998</v>
      </c>
      <c r="G336" s="55">
        <v>0</v>
      </c>
      <c r="H336" s="55">
        <f t="shared" ref="H336:H340" si="8">F336*(($H$151)+1)+(IF(G336&lt;101,G336,IF(G336&lt;201,G336/2,IF(G336&lt;=301,G336/3,G336/4))))</f>
        <v>947.49571800000001</v>
      </c>
      <c r="I336" s="58"/>
      <c r="N336" s="58"/>
    </row>
    <row r="337" spans="1:14" s="19" customFormat="1" ht="15.75" customHeight="1">
      <c r="A337" s="69">
        <f>A336+1</f>
        <v>2</v>
      </c>
      <c r="B337" s="69"/>
      <c r="C337" s="54" t="s">
        <v>203</v>
      </c>
      <c r="D337" s="54">
        <f>(59.57)*10.764</f>
        <v>641.21147999999994</v>
      </c>
      <c r="E337" s="54">
        <f>(1.75)*10.764</f>
        <v>18.837</v>
      </c>
      <c r="F337" s="55">
        <f t="shared" si="7"/>
        <v>660.04847999999993</v>
      </c>
      <c r="G337" s="55">
        <v>0</v>
      </c>
      <c r="H337" s="55">
        <f t="shared" si="8"/>
        <v>1023.0751439999999</v>
      </c>
      <c r="I337" s="58"/>
      <c r="N337" s="58"/>
    </row>
    <row r="338" spans="1:14" s="19" customFormat="1" ht="15.75" customHeight="1">
      <c r="A338" s="69">
        <f>A337+1</f>
        <v>3</v>
      </c>
      <c r="B338" s="69"/>
      <c r="C338" s="54" t="s">
        <v>216</v>
      </c>
      <c r="D338" s="54">
        <f>(42.87)*10.764</f>
        <v>461.45267999999993</v>
      </c>
      <c r="E338" s="54">
        <v>0</v>
      </c>
      <c r="F338" s="55">
        <f t="shared" si="7"/>
        <v>461.45267999999993</v>
      </c>
      <c r="G338" s="55">
        <v>0</v>
      </c>
      <c r="H338" s="55">
        <f t="shared" si="8"/>
        <v>715.25165399999992</v>
      </c>
      <c r="I338" s="58"/>
      <c r="N338" s="58"/>
    </row>
    <row r="339" spans="1:14" s="19" customFormat="1" ht="15.75" customHeight="1">
      <c r="A339" s="69">
        <f>A338+1</f>
        <v>4</v>
      </c>
      <c r="B339" s="69"/>
      <c r="C339" s="54" t="s">
        <v>216</v>
      </c>
      <c r="D339" s="59">
        <f>(42.58)*10.764</f>
        <v>458.33111999999994</v>
      </c>
      <c r="E339" s="59">
        <v>0</v>
      </c>
      <c r="F339" s="55">
        <f t="shared" si="7"/>
        <v>458.33111999999994</v>
      </c>
      <c r="G339" s="55">
        <v>0</v>
      </c>
      <c r="H339" s="55">
        <f t="shared" si="8"/>
        <v>710.41323599999998</v>
      </c>
      <c r="I339" s="58"/>
      <c r="N339" s="58"/>
    </row>
    <row r="340" spans="1:14" s="19" customFormat="1" ht="15.75" customHeight="1">
      <c r="A340" s="69">
        <f>A339+1</f>
        <v>5</v>
      </c>
      <c r="B340" s="69"/>
      <c r="C340" s="54" t="s">
        <v>203</v>
      </c>
      <c r="D340" s="54">
        <f>(55.59)*10.764</f>
        <v>598.37076000000002</v>
      </c>
      <c r="E340" s="54">
        <f>(5.52)*10.764</f>
        <v>59.417279999999991</v>
      </c>
      <c r="F340" s="55">
        <f t="shared" si="7"/>
        <v>657.78804000000002</v>
      </c>
      <c r="G340" s="55">
        <v>0</v>
      </c>
      <c r="H340" s="55">
        <f t="shared" si="8"/>
        <v>1019.5714620000001</v>
      </c>
      <c r="I340" s="58"/>
      <c r="N340" s="58"/>
    </row>
    <row r="341" spans="1:14" s="19" customFormat="1" ht="15.75" customHeight="1">
      <c r="A341" s="69">
        <f>A340+1</f>
        <v>6</v>
      </c>
      <c r="B341" s="69"/>
      <c r="C341" s="73" t="s">
        <v>224</v>
      </c>
      <c r="D341" s="74"/>
      <c r="E341" s="74"/>
      <c r="F341" s="74"/>
      <c r="G341" s="74"/>
      <c r="H341" s="75"/>
      <c r="I341" s="58"/>
      <c r="N341" s="58"/>
    </row>
    <row r="342" spans="1:14" s="19" customFormat="1">
      <c r="A342" s="79" t="s">
        <v>225</v>
      </c>
      <c r="B342" s="79"/>
      <c r="C342" s="79"/>
      <c r="D342" s="79"/>
      <c r="E342" s="79"/>
      <c r="F342" s="79"/>
      <c r="G342" s="79"/>
      <c r="H342" s="79"/>
      <c r="I342" s="58">
        <v>1</v>
      </c>
      <c r="L342" s="80"/>
      <c r="M342" s="80"/>
    </row>
    <row r="343" spans="1:14" s="19" customFormat="1" ht="15.75" customHeight="1">
      <c r="A343" s="69">
        <v>1</v>
      </c>
      <c r="B343" s="69"/>
      <c r="C343" s="54" t="s">
        <v>203</v>
      </c>
      <c r="D343" s="54">
        <f>(54.81)*10.764</f>
        <v>589.97483999999997</v>
      </c>
      <c r="E343" s="54">
        <f>1.98*10.764</f>
        <v>21.312719999999999</v>
      </c>
      <c r="F343" s="55">
        <f t="shared" ref="F343:F346" si="9">D343+E343</f>
        <v>611.28755999999998</v>
      </c>
      <c r="G343" s="55">
        <v>0</v>
      </c>
      <c r="H343" s="55">
        <f t="shared" ref="H343:H348" si="10">F343*(($H$151)+1)+(IF(G343&lt;101,G343,IF(G343&lt;201,G343/2,IF(G343&lt;=301,G343/3,G343/4))))</f>
        <v>947.49571800000001</v>
      </c>
      <c r="I343" s="58"/>
      <c r="N343" s="58"/>
    </row>
    <row r="344" spans="1:14" s="19" customFormat="1" ht="15.75" customHeight="1">
      <c r="A344" s="69">
        <f>A343+1</f>
        <v>2</v>
      </c>
      <c r="B344" s="69"/>
      <c r="C344" s="54" t="s">
        <v>203</v>
      </c>
      <c r="D344" s="54">
        <f>(59.57)*10.764</f>
        <v>641.21147999999994</v>
      </c>
      <c r="E344" s="54">
        <f>(1.75)*10.764</f>
        <v>18.837</v>
      </c>
      <c r="F344" s="55">
        <f t="shared" si="9"/>
        <v>660.04847999999993</v>
      </c>
      <c r="G344" s="55">
        <v>0</v>
      </c>
      <c r="H344" s="55">
        <f t="shared" si="10"/>
        <v>1023.0751439999999</v>
      </c>
      <c r="I344" s="58"/>
      <c r="N344" s="58"/>
    </row>
    <row r="345" spans="1:14" s="19" customFormat="1" ht="15.75" customHeight="1">
      <c r="A345" s="69">
        <f>A344+1</f>
        <v>3</v>
      </c>
      <c r="B345" s="69"/>
      <c r="C345" s="54" t="s">
        <v>216</v>
      </c>
      <c r="D345" s="54">
        <f>(42.87)*10.764</f>
        <v>461.45267999999993</v>
      </c>
      <c r="E345" s="54">
        <v>0</v>
      </c>
      <c r="F345" s="55">
        <f t="shared" si="9"/>
        <v>461.45267999999993</v>
      </c>
      <c r="G345" s="55">
        <v>0</v>
      </c>
      <c r="H345" s="55">
        <f t="shared" si="10"/>
        <v>715.25165399999992</v>
      </c>
      <c r="I345" s="58"/>
      <c r="N345" s="58"/>
    </row>
    <row r="346" spans="1:14" s="19" customFormat="1" ht="15.75" customHeight="1">
      <c r="A346" s="69">
        <f>A345+1</f>
        <v>4</v>
      </c>
      <c r="B346" s="69"/>
      <c r="C346" s="54" t="s">
        <v>216</v>
      </c>
      <c r="D346" s="59">
        <f>(42.58)*10.764</f>
        <v>458.33111999999994</v>
      </c>
      <c r="E346" s="59">
        <v>0</v>
      </c>
      <c r="F346" s="55">
        <f t="shared" si="9"/>
        <v>458.33111999999994</v>
      </c>
      <c r="G346" s="55">
        <v>0</v>
      </c>
      <c r="H346" s="55">
        <f t="shared" si="10"/>
        <v>710.41323599999998</v>
      </c>
      <c r="I346" s="58"/>
      <c r="N346" s="58"/>
    </row>
    <row r="347" spans="1:14" s="19" customFormat="1" ht="15.75" customHeight="1">
      <c r="A347" s="69">
        <f>A346+1</f>
        <v>5</v>
      </c>
      <c r="B347" s="69"/>
      <c r="C347" s="73" t="s">
        <v>200</v>
      </c>
      <c r="D347" s="74"/>
      <c r="E347" s="74"/>
      <c r="F347" s="74"/>
      <c r="G347" s="74"/>
      <c r="H347" s="75"/>
      <c r="I347" s="58"/>
      <c r="N347" s="58"/>
    </row>
    <row r="348" spans="1:14" s="19" customFormat="1" ht="15.75" customHeight="1">
      <c r="A348" s="69">
        <f>A347+1</f>
        <v>6</v>
      </c>
      <c r="B348" s="69"/>
      <c r="C348" s="54" t="s">
        <v>203</v>
      </c>
      <c r="D348" s="54">
        <f>(61.61)*10.764</f>
        <v>663.17003999999997</v>
      </c>
      <c r="E348" s="54">
        <f>(2.58)*10.764</f>
        <v>27.77112</v>
      </c>
      <c r="F348" s="55">
        <f t="shared" ref="F348" si="11">D348+E348</f>
        <v>690.94115999999997</v>
      </c>
      <c r="G348" s="55">
        <v>0</v>
      </c>
      <c r="H348" s="55">
        <f t="shared" si="10"/>
        <v>1070.9587979999999</v>
      </c>
      <c r="I348" s="58"/>
      <c r="N348" s="58"/>
    </row>
    <row r="349" spans="1:14" s="19" customFormat="1">
      <c r="A349" s="79" t="s">
        <v>269</v>
      </c>
      <c r="B349" s="79"/>
      <c r="C349" s="79"/>
      <c r="D349" s="79"/>
      <c r="E349" s="79"/>
      <c r="F349" s="79"/>
      <c r="G349" s="79"/>
      <c r="H349" s="79"/>
      <c r="I349" s="58">
        <v>2</v>
      </c>
      <c r="L349" s="80"/>
      <c r="M349" s="80"/>
    </row>
    <row r="350" spans="1:14" s="19" customFormat="1" ht="15.75" customHeight="1">
      <c r="A350" s="69">
        <v>1</v>
      </c>
      <c r="B350" s="69"/>
      <c r="C350" s="54" t="s">
        <v>203</v>
      </c>
      <c r="D350" s="54">
        <f>(54.81)*10.764</f>
        <v>589.97483999999997</v>
      </c>
      <c r="E350" s="54">
        <f>1.98*10.764</f>
        <v>21.312719999999999</v>
      </c>
      <c r="F350" s="55">
        <f t="shared" ref="F350:F355" si="12">D350+E350</f>
        <v>611.28755999999998</v>
      </c>
      <c r="G350" s="55">
        <v>0</v>
      </c>
      <c r="H350" s="55">
        <f t="shared" ref="H350:H355" si="13">F350*(($H$151)+1)+(IF(G350&lt;101,G350,IF(G350&lt;201,G350/2,IF(G350&lt;=301,G350/3,G350/4))))</f>
        <v>947.49571800000001</v>
      </c>
      <c r="I350" s="58"/>
      <c r="N350" s="58"/>
    </row>
    <row r="351" spans="1:14" s="19" customFormat="1" ht="15.75" customHeight="1">
      <c r="A351" s="69">
        <f>A350+1</f>
        <v>2</v>
      </c>
      <c r="B351" s="69"/>
      <c r="C351" s="54" t="s">
        <v>203</v>
      </c>
      <c r="D351" s="54">
        <f>(59.57)*10.764</f>
        <v>641.21147999999994</v>
      </c>
      <c r="E351" s="54">
        <f>(1.75)*10.764</f>
        <v>18.837</v>
      </c>
      <c r="F351" s="55">
        <f t="shared" si="12"/>
        <v>660.04847999999993</v>
      </c>
      <c r="G351" s="55">
        <v>0</v>
      </c>
      <c r="H351" s="55">
        <f t="shared" si="13"/>
        <v>1023.0751439999999</v>
      </c>
      <c r="I351" s="58"/>
      <c r="N351" s="58"/>
    </row>
    <row r="352" spans="1:14" s="19" customFormat="1" ht="15.75" customHeight="1">
      <c r="A352" s="69">
        <f>A351+1</f>
        <v>3</v>
      </c>
      <c r="B352" s="69"/>
      <c r="C352" s="54" t="s">
        <v>216</v>
      </c>
      <c r="D352" s="54">
        <f>(42.87)*10.764</f>
        <v>461.45267999999993</v>
      </c>
      <c r="E352" s="54">
        <v>0</v>
      </c>
      <c r="F352" s="55">
        <f t="shared" si="12"/>
        <v>461.45267999999993</v>
      </c>
      <c r="G352" s="55">
        <v>0</v>
      </c>
      <c r="H352" s="55">
        <f t="shared" si="13"/>
        <v>715.25165399999992</v>
      </c>
      <c r="I352" s="58"/>
      <c r="N352" s="58"/>
    </row>
    <row r="353" spans="1:17" s="19" customFormat="1" ht="15.75" customHeight="1">
      <c r="A353" s="69">
        <f>A352+1</f>
        <v>4</v>
      </c>
      <c r="B353" s="69"/>
      <c r="C353" s="54" t="s">
        <v>216</v>
      </c>
      <c r="D353" s="59">
        <f>(42.58)*10.764</f>
        <v>458.33111999999994</v>
      </c>
      <c r="E353" s="59">
        <v>0</v>
      </c>
      <c r="F353" s="55">
        <f t="shared" si="12"/>
        <v>458.33111999999994</v>
      </c>
      <c r="G353" s="55">
        <v>0</v>
      </c>
      <c r="H353" s="55">
        <f t="shared" si="13"/>
        <v>710.41323599999998</v>
      </c>
      <c r="I353" s="58"/>
      <c r="N353" s="58"/>
    </row>
    <row r="354" spans="1:17" s="19" customFormat="1" ht="15.75" customHeight="1">
      <c r="A354" s="69">
        <f>A353+1</f>
        <v>5</v>
      </c>
      <c r="B354" s="69"/>
      <c r="C354" s="54" t="s">
        <v>203</v>
      </c>
      <c r="D354" s="54">
        <f>(55.59)*10.764</f>
        <v>598.37076000000002</v>
      </c>
      <c r="E354" s="54">
        <f>(5.52)*10.764</f>
        <v>59.417279999999991</v>
      </c>
      <c r="F354" s="55">
        <f t="shared" si="12"/>
        <v>657.78804000000002</v>
      </c>
      <c r="G354" s="55">
        <v>0</v>
      </c>
      <c r="H354" s="55">
        <f t="shared" si="13"/>
        <v>1019.5714620000001</v>
      </c>
      <c r="I354" s="58"/>
      <c r="N354" s="58"/>
    </row>
    <row r="355" spans="1:17" s="19" customFormat="1" ht="15.75" customHeight="1">
      <c r="A355" s="69">
        <f>A354+1</f>
        <v>6</v>
      </c>
      <c r="B355" s="69"/>
      <c r="C355" s="54" t="s">
        <v>203</v>
      </c>
      <c r="D355" s="54">
        <f>(61.61)*10.764</f>
        <v>663.17003999999997</v>
      </c>
      <c r="E355" s="54">
        <f>(2.58)*10.764</f>
        <v>27.77112</v>
      </c>
      <c r="F355" s="55">
        <f t="shared" si="12"/>
        <v>690.94115999999997</v>
      </c>
      <c r="G355" s="55">
        <v>0</v>
      </c>
      <c r="H355" s="55">
        <f t="shared" si="13"/>
        <v>1070.9587979999999</v>
      </c>
      <c r="I355" s="58"/>
      <c r="N355" s="58"/>
    </row>
    <row r="356" spans="1:17" s="19" customFormat="1">
      <c r="A356" s="79" t="s">
        <v>270</v>
      </c>
      <c r="B356" s="79"/>
      <c r="C356" s="79"/>
      <c r="D356" s="79"/>
      <c r="E356" s="79"/>
      <c r="F356" s="79"/>
      <c r="G356" s="79"/>
      <c r="H356" s="79"/>
      <c r="I356" s="58">
        <v>1</v>
      </c>
      <c r="L356" s="80"/>
      <c r="M356" s="80"/>
    </row>
    <row r="357" spans="1:17" s="19" customFormat="1" ht="15.75" customHeight="1">
      <c r="A357" s="69">
        <v>1</v>
      </c>
      <c r="B357" s="69"/>
      <c r="C357" s="54" t="s">
        <v>203</v>
      </c>
      <c r="D357" s="54">
        <f>(54.81)*10.764</f>
        <v>589.97483999999997</v>
      </c>
      <c r="E357" s="54">
        <f>1.98*10.764</f>
        <v>21.312719999999999</v>
      </c>
      <c r="F357" s="55">
        <f t="shared" ref="F357:F362" si="14">D357+E357</f>
        <v>611.28755999999998</v>
      </c>
      <c r="G357" s="55">
        <v>0</v>
      </c>
      <c r="H357" s="55">
        <f t="shared" ref="H357:H362" si="15">F357*(($H$151)+1)+(IF(G357&lt;101,G357,IF(G357&lt;201,G357/2,IF(G357&lt;=301,G357/3,G357/4))))</f>
        <v>947.49571800000001</v>
      </c>
      <c r="I357" s="58"/>
      <c r="N357" s="58"/>
    </row>
    <row r="358" spans="1:17" s="19" customFormat="1" ht="15.75" customHeight="1">
      <c r="A358" s="69">
        <f>A357+1</f>
        <v>2</v>
      </c>
      <c r="B358" s="69"/>
      <c r="C358" s="54" t="s">
        <v>203</v>
      </c>
      <c r="D358" s="54">
        <f>(59.57)*10.764</f>
        <v>641.21147999999994</v>
      </c>
      <c r="E358" s="54">
        <f>(1.75)*10.764</f>
        <v>18.837</v>
      </c>
      <c r="F358" s="55">
        <f t="shared" si="14"/>
        <v>660.04847999999993</v>
      </c>
      <c r="G358" s="55">
        <v>0</v>
      </c>
      <c r="H358" s="55">
        <f t="shared" si="15"/>
        <v>1023.0751439999999</v>
      </c>
      <c r="I358" s="58"/>
      <c r="N358" s="58"/>
    </row>
    <row r="359" spans="1:17" s="19" customFormat="1" ht="15.75" customHeight="1">
      <c r="A359" s="69">
        <f>A358+1</f>
        <v>3</v>
      </c>
      <c r="B359" s="69"/>
      <c r="C359" s="54" t="s">
        <v>216</v>
      </c>
      <c r="D359" s="54">
        <f>(42.87)*10.764</f>
        <v>461.45267999999993</v>
      </c>
      <c r="E359" s="54">
        <v>0</v>
      </c>
      <c r="F359" s="55">
        <f t="shared" si="14"/>
        <v>461.45267999999993</v>
      </c>
      <c r="G359" s="55">
        <v>0</v>
      </c>
      <c r="H359" s="55">
        <f t="shared" si="15"/>
        <v>715.25165399999992</v>
      </c>
      <c r="I359" s="58"/>
      <c r="N359" s="58"/>
    </row>
    <row r="360" spans="1:17" s="19" customFormat="1" ht="15.75" customHeight="1">
      <c r="A360" s="69">
        <f>A359+1</f>
        <v>4</v>
      </c>
      <c r="B360" s="69"/>
      <c r="C360" s="54" t="s">
        <v>216</v>
      </c>
      <c r="D360" s="59">
        <f>(42.58)*10.764</f>
        <v>458.33111999999994</v>
      </c>
      <c r="E360" s="59">
        <v>0</v>
      </c>
      <c r="F360" s="55">
        <f t="shared" si="14"/>
        <v>458.33111999999994</v>
      </c>
      <c r="G360" s="55">
        <v>0</v>
      </c>
      <c r="H360" s="55">
        <f t="shared" si="15"/>
        <v>710.41323599999998</v>
      </c>
      <c r="I360" s="58"/>
      <c r="N360" s="58"/>
    </row>
    <row r="361" spans="1:17" s="19" customFormat="1" ht="15.75" customHeight="1">
      <c r="A361" s="69">
        <f>A360+1</f>
        <v>5</v>
      </c>
      <c r="B361" s="69"/>
      <c r="C361" s="54" t="s">
        <v>203</v>
      </c>
      <c r="D361" s="54">
        <f>(55.59)*10.764</f>
        <v>598.37076000000002</v>
      </c>
      <c r="E361" s="54">
        <f>(5.52)*10.764</f>
        <v>59.417279999999991</v>
      </c>
      <c r="F361" s="55">
        <f t="shared" si="14"/>
        <v>657.78804000000002</v>
      </c>
      <c r="G361" s="55">
        <v>0</v>
      </c>
      <c r="H361" s="55">
        <f t="shared" si="15"/>
        <v>1019.5714620000001</v>
      </c>
      <c r="I361" s="58"/>
      <c r="N361" s="58"/>
    </row>
    <row r="362" spans="1:17" s="19" customFormat="1" ht="15.75" customHeight="1">
      <c r="A362" s="69">
        <f>A361+1</f>
        <v>6</v>
      </c>
      <c r="B362" s="69"/>
      <c r="C362" s="54" t="s">
        <v>203</v>
      </c>
      <c r="D362" s="54">
        <f>(61.61)*10.764</f>
        <v>663.17003999999997</v>
      </c>
      <c r="E362" s="54">
        <f>(2.58)*10.764</f>
        <v>27.77112</v>
      </c>
      <c r="F362" s="55">
        <f t="shared" si="14"/>
        <v>690.94115999999997</v>
      </c>
      <c r="G362" s="55">
        <v>0</v>
      </c>
      <c r="H362" s="55">
        <f t="shared" si="15"/>
        <v>1070.9587979999999</v>
      </c>
      <c r="I362" s="58"/>
      <c r="N362" s="58"/>
    </row>
    <row r="363" spans="1:17" s="19" customFormat="1">
      <c r="A363" s="123" t="s">
        <v>182</v>
      </c>
      <c r="B363" s="123"/>
      <c r="C363" s="123"/>
      <c r="D363" s="123"/>
      <c r="E363" s="123"/>
      <c r="F363" s="123"/>
      <c r="G363" s="123"/>
      <c r="H363" s="123"/>
      <c r="I363" s="58"/>
      <c r="L363" s="80"/>
      <c r="M363" s="80"/>
    </row>
    <row r="364" spans="1:17" s="18" customFormat="1">
      <c r="A364" s="70" t="s">
        <v>199</v>
      </c>
      <c r="B364" s="70"/>
      <c r="C364" s="70"/>
      <c r="D364" s="70"/>
      <c r="E364" s="70"/>
      <c r="F364" s="70"/>
      <c r="G364" s="70"/>
      <c r="H364" s="70"/>
      <c r="I364" s="56">
        <v>1</v>
      </c>
      <c r="L364" s="71"/>
      <c r="M364" s="71"/>
    </row>
    <row r="365" spans="1:17" s="18" customFormat="1" ht="15.75" customHeight="1">
      <c r="A365" s="72">
        <v>1</v>
      </c>
      <c r="B365" s="72"/>
      <c r="C365" s="72" t="s">
        <v>200</v>
      </c>
      <c r="D365" s="72"/>
      <c r="E365" s="72"/>
      <c r="F365" s="72"/>
      <c r="G365" s="72"/>
      <c r="H365" s="72"/>
      <c r="I365" s="56"/>
      <c r="N365" s="56"/>
    </row>
    <row r="366" spans="1:17" s="18" customFormat="1" ht="15.75" customHeight="1">
      <c r="A366" s="72">
        <f>A365+1</f>
        <v>2</v>
      </c>
      <c r="B366" s="72"/>
      <c r="C366" s="54" t="s">
        <v>216</v>
      </c>
      <c r="D366" s="54">
        <f>(42.49)*10.764</f>
        <v>457.36235999999997</v>
      </c>
      <c r="E366" s="54">
        <v>0</v>
      </c>
      <c r="F366" s="55">
        <f>D366+E366</f>
        <v>457.36235999999997</v>
      </c>
      <c r="G366" s="55">
        <v>0</v>
      </c>
      <c r="H366" s="55">
        <f>F366*(($H$151)+1)+(IF(G366&lt;101,G366,IF(G366&lt;201,G366/2,IF(G366&lt;=301,G366/3,G366/4))))</f>
        <v>708.91165799999999</v>
      </c>
      <c r="I366" s="56"/>
      <c r="J366" s="56"/>
      <c r="N366" s="56"/>
      <c r="Q366" s="54">
        <v>10.763999999999999</v>
      </c>
    </row>
    <row r="367" spans="1:17" s="18" customFormat="1" ht="15.75" customHeight="1">
      <c r="A367" s="72">
        <f>A366+1</f>
        <v>3</v>
      </c>
      <c r="B367" s="72"/>
      <c r="C367" s="54" t="s">
        <v>216</v>
      </c>
      <c r="D367" s="54">
        <f>(43.01)*10.764</f>
        <v>462.95963999999992</v>
      </c>
      <c r="E367" s="54">
        <v>0</v>
      </c>
      <c r="F367" s="55">
        <f>D367+E367</f>
        <v>462.95963999999992</v>
      </c>
      <c r="G367" s="55">
        <v>0</v>
      </c>
      <c r="H367" s="55">
        <f>F367*(($H$151)+1)+(IF(G367&lt;101,G367,IF(G367&lt;201,G367/2,IF(G367&lt;=301,G367/3,G367/4))))</f>
        <v>717.5874419999999</v>
      </c>
      <c r="I367" s="56"/>
      <c r="J367" s="56"/>
      <c r="N367" s="56"/>
    </row>
    <row r="368" spans="1:17" s="18" customFormat="1" ht="15.75" customHeight="1">
      <c r="A368" s="72">
        <f>A367+1</f>
        <v>4</v>
      </c>
      <c r="B368" s="72"/>
      <c r="C368" s="73" t="s">
        <v>217</v>
      </c>
      <c r="D368" s="74"/>
      <c r="E368" s="74"/>
      <c r="F368" s="74"/>
      <c r="G368" s="74"/>
      <c r="H368" s="75"/>
      <c r="I368" s="57"/>
      <c r="N368" s="56"/>
    </row>
    <row r="369" spans="1:14" s="18" customFormat="1">
      <c r="A369" s="70" t="s">
        <v>204</v>
      </c>
      <c r="B369" s="70"/>
      <c r="C369" s="70"/>
      <c r="D369" s="70"/>
      <c r="E369" s="70"/>
      <c r="F369" s="70"/>
      <c r="G369" s="70"/>
      <c r="H369" s="70"/>
      <c r="I369" s="56">
        <v>3</v>
      </c>
      <c r="L369" s="71"/>
      <c r="M369" s="71"/>
    </row>
    <row r="370" spans="1:14" s="18" customFormat="1" ht="15.75" customHeight="1">
      <c r="A370" s="72">
        <v>1</v>
      </c>
      <c r="B370" s="72"/>
      <c r="C370" s="73" t="s">
        <v>218</v>
      </c>
      <c r="D370" s="74"/>
      <c r="E370" s="74"/>
      <c r="F370" s="74"/>
      <c r="G370" s="74"/>
      <c r="H370" s="75"/>
      <c r="I370" s="56"/>
      <c r="N370" s="56"/>
    </row>
    <row r="371" spans="1:14" s="18" customFormat="1" ht="15.75" customHeight="1">
      <c r="A371" s="72">
        <f>A370+1</f>
        <v>2</v>
      </c>
      <c r="B371" s="72"/>
      <c r="C371" s="54" t="s">
        <v>216</v>
      </c>
      <c r="D371" s="54">
        <f>(42.49)*10.764</f>
        <v>457.36235999999997</v>
      </c>
      <c r="E371" s="54">
        <v>0</v>
      </c>
      <c r="F371" s="55">
        <f>D371+E371</f>
        <v>457.36235999999997</v>
      </c>
      <c r="G371" s="55">
        <v>0</v>
      </c>
      <c r="H371" s="55">
        <f>F371*(($H$151)+1)+(IF(G371&lt;101,G371,IF(G371&lt;201,G371/2,IF(G371&lt;=301,G371/3,G371/4))))</f>
        <v>708.91165799999999</v>
      </c>
      <c r="I371" s="56"/>
      <c r="N371" s="56"/>
    </row>
    <row r="372" spans="1:14" s="18" customFormat="1" ht="15.75" customHeight="1">
      <c r="A372" s="72">
        <f>A371+1</f>
        <v>3</v>
      </c>
      <c r="B372" s="72"/>
      <c r="C372" s="54" t="s">
        <v>216</v>
      </c>
      <c r="D372" s="54">
        <f>(43.01)*10.764</f>
        <v>462.95963999999992</v>
      </c>
      <c r="E372" s="54">
        <v>0</v>
      </c>
      <c r="F372" s="55">
        <f>D372+E372</f>
        <v>462.95963999999992</v>
      </c>
      <c r="G372" s="55">
        <v>0</v>
      </c>
      <c r="H372" s="55">
        <f>F372*(($H$151)+1)+(IF(G372&lt;101,G372,IF(G372&lt;201,G372/2,IF(G372&lt;=301,G372/3,G372/4))))</f>
        <v>717.5874419999999</v>
      </c>
      <c r="I372" s="56"/>
      <c r="N372" s="56"/>
    </row>
    <row r="373" spans="1:14" s="18" customFormat="1" ht="15.75" customHeight="1">
      <c r="A373" s="72">
        <f>A372+1</f>
        <v>4</v>
      </c>
      <c r="B373" s="72"/>
      <c r="C373" s="73" t="s">
        <v>217</v>
      </c>
      <c r="D373" s="74"/>
      <c r="E373" s="74"/>
      <c r="F373" s="74"/>
      <c r="G373" s="74"/>
      <c r="H373" s="75"/>
      <c r="I373" s="56"/>
      <c r="N373" s="56"/>
    </row>
    <row r="374" spans="1:14" s="18" customFormat="1">
      <c r="A374" s="70" t="s">
        <v>205</v>
      </c>
      <c r="B374" s="70"/>
      <c r="C374" s="70"/>
      <c r="D374" s="70"/>
      <c r="E374" s="70"/>
      <c r="F374" s="70"/>
      <c r="G374" s="70"/>
      <c r="H374" s="70"/>
      <c r="I374" s="56">
        <v>4</v>
      </c>
      <c r="L374" s="71"/>
      <c r="M374" s="71"/>
    </row>
    <row r="375" spans="1:14" s="18" customFormat="1" ht="15.75" customHeight="1">
      <c r="A375" s="72">
        <v>1</v>
      </c>
      <c r="B375" s="72"/>
      <c r="C375" s="54" t="s">
        <v>203</v>
      </c>
      <c r="D375" s="54">
        <f>(55.75)*10.764</f>
        <v>600.09299999999996</v>
      </c>
      <c r="E375" s="54">
        <f>(1.69)*10.764</f>
        <v>18.19116</v>
      </c>
      <c r="F375" s="55">
        <f>D375+E375</f>
        <v>618.28415999999993</v>
      </c>
      <c r="G375" s="55">
        <v>0</v>
      </c>
      <c r="H375" s="55">
        <f>F375*(($H$151)+1)+(IF(G375&lt;101,G375,IF(G375&lt;201,G375/2,IF(G375&lt;=301,G375/3,G375/4))))</f>
        <v>958.34044799999992</v>
      </c>
      <c r="I375" s="56"/>
      <c r="N375" s="56"/>
    </row>
    <row r="376" spans="1:14" s="18" customFormat="1" ht="15.75" customHeight="1">
      <c r="A376" s="72">
        <f>A375+1</f>
        <v>2</v>
      </c>
      <c r="B376" s="72"/>
      <c r="C376" s="54" t="s">
        <v>216</v>
      </c>
      <c r="D376" s="54">
        <f>(42.49)*10.764</f>
        <v>457.36235999999997</v>
      </c>
      <c r="E376" s="54">
        <v>0</v>
      </c>
      <c r="F376" s="55">
        <f>D376+E376</f>
        <v>457.36235999999997</v>
      </c>
      <c r="G376" s="55">
        <v>0</v>
      </c>
      <c r="H376" s="55">
        <f>F376*(($H$151)+1)+(IF(G376&lt;101,G376,IF(G376&lt;201,G376/2,IF(G376&lt;=301,G376/3,G376/4))))</f>
        <v>708.91165799999999</v>
      </c>
      <c r="I376" s="56"/>
      <c r="N376" s="56"/>
    </row>
    <row r="377" spans="1:14" s="18" customFormat="1" ht="15.75" customHeight="1">
      <c r="A377" s="72">
        <f>A376+1</f>
        <v>3</v>
      </c>
      <c r="B377" s="72"/>
      <c r="C377" s="54" t="s">
        <v>216</v>
      </c>
      <c r="D377" s="54">
        <f>(43.01)*10.764</f>
        <v>462.95963999999992</v>
      </c>
      <c r="E377" s="54">
        <v>0</v>
      </c>
      <c r="F377" s="55">
        <f>D377+E377</f>
        <v>462.95963999999992</v>
      </c>
      <c r="G377" s="55">
        <v>0</v>
      </c>
      <c r="H377" s="55">
        <f>F377*(($H$151)+1)+(IF(G377&lt;101,G377,IF(G377&lt;201,G377/2,IF(G377&lt;=301,G377/3,G377/4))))</f>
        <v>717.5874419999999</v>
      </c>
      <c r="I377" s="56"/>
      <c r="N377" s="56"/>
    </row>
    <row r="378" spans="1:14" s="18" customFormat="1" ht="15.75" customHeight="1">
      <c r="A378" s="72">
        <f>A377+1</f>
        <v>4</v>
      </c>
      <c r="B378" s="72"/>
      <c r="C378" s="73" t="s">
        <v>222</v>
      </c>
      <c r="D378" s="74"/>
      <c r="E378" s="74"/>
      <c r="F378" s="74"/>
      <c r="G378" s="74"/>
      <c r="H378" s="75"/>
      <c r="I378" s="56"/>
      <c r="N378" s="56"/>
    </row>
    <row r="379" spans="1:14" s="18" customFormat="1">
      <c r="A379" s="70" t="s">
        <v>206</v>
      </c>
      <c r="B379" s="70"/>
      <c r="C379" s="70"/>
      <c r="D379" s="70"/>
      <c r="E379" s="70"/>
      <c r="F379" s="70"/>
      <c r="G379" s="70"/>
      <c r="H379" s="70"/>
      <c r="I379" s="56">
        <v>1</v>
      </c>
      <c r="L379" s="71"/>
      <c r="M379" s="71"/>
    </row>
    <row r="380" spans="1:14" s="18" customFormat="1" ht="15.75" customHeight="1">
      <c r="A380" s="72">
        <v>1</v>
      </c>
      <c r="B380" s="72"/>
      <c r="C380" s="72" t="s">
        <v>200</v>
      </c>
      <c r="D380" s="72"/>
      <c r="E380" s="72"/>
      <c r="F380" s="72"/>
      <c r="G380" s="72"/>
      <c r="H380" s="72"/>
      <c r="I380" s="56"/>
      <c r="N380" s="56"/>
    </row>
    <row r="381" spans="1:14" s="18" customFormat="1" ht="15.75" customHeight="1">
      <c r="A381" s="72">
        <f>A380+1</f>
        <v>2</v>
      </c>
      <c r="B381" s="72"/>
      <c r="C381" s="54" t="s">
        <v>216</v>
      </c>
      <c r="D381" s="54">
        <f>(42.49)*10.764</f>
        <v>457.36235999999997</v>
      </c>
      <c r="E381" s="54">
        <v>0</v>
      </c>
      <c r="F381" s="55">
        <f>D381+E381</f>
        <v>457.36235999999997</v>
      </c>
      <c r="G381" s="55">
        <v>0</v>
      </c>
      <c r="H381" s="55">
        <f>F381*(($H$151)+1)+(IF(G381&lt;101,G381,IF(G381&lt;201,G381/2,IF(G381&lt;=301,G381/3,G381/4))))</f>
        <v>708.91165799999999</v>
      </c>
      <c r="I381" s="56"/>
      <c r="J381" s="56"/>
      <c r="N381" s="56"/>
    </row>
    <row r="382" spans="1:14" s="18" customFormat="1" ht="15.75" customHeight="1">
      <c r="A382" s="72">
        <f>A381+1</f>
        <v>3</v>
      </c>
      <c r="B382" s="72"/>
      <c r="C382" s="54" t="s">
        <v>216</v>
      </c>
      <c r="D382" s="54">
        <f>(43.01)*10.764</f>
        <v>462.95963999999992</v>
      </c>
      <c r="E382" s="54">
        <v>0</v>
      </c>
      <c r="F382" s="55">
        <f>D382+E382</f>
        <v>462.95963999999992</v>
      </c>
      <c r="G382" s="55">
        <v>0</v>
      </c>
      <c r="H382" s="55">
        <f>F382*(($H$151)+1)+(IF(G382&lt;101,G382,IF(G382&lt;201,G382/2,IF(G382&lt;=301,G382/3,G382/4))))</f>
        <v>717.5874419999999</v>
      </c>
      <c r="I382" s="56"/>
      <c r="J382" s="56"/>
      <c r="N382" s="56"/>
    </row>
    <row r="383" spans="1:14" s="18" customFormat="1" ht="15.75" customHeight="1">
      <c r="A383" s="72">
        <f>A382+1</f>
        <v>4</v>
      </c>
      <c r="B383" s="72"/>
      <c r="C383" s="54" t="s">
        <v>203</v>
      </c>
      <c r="D383" s="54">
        <f>(63.57)*10.764</f>
        <v>684.26747999999998</v>
      </c>
      <c r="E383" s="54">
        <f>(2.58)*10.764</f>
        <v>27.77112</v>
      </c>
      <c r="F383" s="55">
        <f>D383+E383</f>
        <v>712.03859999999997</v>
      </c>
      <c r="G383" s="55">
        <v>0</v>
      </c>
      <c r="H383" s="55">
        <f>F383*(($H$151)+1)+(IF(G383&lt;101,G383,IF(G383&lt;201,G383/2,IF(G383&lt;=301,G383/3,G383/4))))</f>
        <v>1103.6598300000001</v>
      </c>
      <c r="I383" s="57"/>
      <c r="N383" s="56"/>
    </row>
    <row r="384" spans="1:14" s="18" customFormat="1">
      <c r="A384" s="70" t="s">
        <v>207</v>
      </c>
      <c r="B384" s="70"/>
      <c r="C384" s="70"/>
      <c r="D384" s="70"/>
      <c r="E384" s="70"/>
      <c r="F384" s="70"/>
      <c r="G384" s="70"/>
      <c r="H384" s="70"/>
      <c r="I384" s="56">
        <v>11</v>
      </c>
      <c r="L384" s="71"/>
      <c r="M384" s="71"/>
    </row>
    <row r="385" spans="1:14" s="18" customFormat="1" ht="15.75" customHeight="1">
      <c r="A385" s="72">
        <v>1</v>
      </c>
      <c r="B385" s="72"/>
      <c r="C385" s="54" t="s">
        <v>203</v>
      </c>
      <c r="D385" s="54">
        <f>(55.75)*10.764</f>
        <v>600.09299999999996</v>
      </c>
      <c r="E385" s="54">
        <f>(1.69)*10.764</f>
        <v>18.19116</v>
      </c>
      <c r="F385" s="55">
        <f>D385+E385</f>
        <v>618.28415999999993</v>
      </c>
      <c r="G385" s="55">
        <v>0</v>
      </c>
      <c r="H385" s="55">
        <f>F385*(($H$151)+1)+(IF(G385&lt;101,G385,IF(G385&lt;201,G385/2,IF(G385&lt;=301,G385/3,G385/4))))</f>
        <v>958.34044799999992</v>
      </c>
      <c r="I385" s="56"/>
      <c r="N385" s="56"/>
    </row>
    <row r="386" spans="1:14" s="18" customFormat="1" ht="15.75" customHeight="1">
      <c r="A386" s="72">
        <f>A385+1</f>
        <v>2</v>
      </c>
      <c r="B386" s="72"/>
      <c r="C386" s="54" t="s">
        <v>216</v>
      </c>
      <c r="D386" s="54">
        <f>(42.49)*10.764</f>
        <v>457.36235999999997</v>
      </c>
      <c r="E386" s="54">
        <v>0</v>
      </c>
      <c r="F386" s="55">
        <f>D386+E386</f>
        <v>457.36235999999997</v>
      </c>
      <c r="G386" s="55">
        <v>0</v>
      </c>
      <c r="H386" s="55">
        <f>F386*(($H$151)+1)+(IF(G386&lt;101,G386,IF(G386&lt;201,G386/2,IF(G386&lt;=301,G386/3,G386/4))))</f>
        <v>708.91165799999999</v>
      </c>
      <c r="I386" s="56"/>
      <c r="N386" s="56"/>
    </row>
    <row r="387" spans="1:14" s="18" customFormat="1" ht="15.75" customHeight="1">
      <c r="A387" s="72">
        <f>A386+1</f>
        <v>3</v>
      </c>
      <c r="B387" s="72"/>
      <c r="C387" s="54" t="s">
        <v>216</v>
      </c>
      <c r="D387" s="54">
        <f>(43.01)*10.764</f>
        <v>462.95963999999992</v>
      </c>
      <c r="E387" s="54">
        <v>0</v>
      </c>
      <c r="F387" s="55">
        <f>D387+E387</f>
        <v>462.95963999999992</v>
      </c>
      <c r="G387" s="55">
        <v>0</v>
      </c>
      <c r="H387" s="55">
        <f>F387*(($H$151)+1)+(IF(G387&lt;101,G387,IF(G387&lt;201,G387/2,IF(G387&lt;=301,G387/3,G387/4))))</f>
        <v>717.5874419999999</v>
      </c>
      <c r="I387" s="56"/>
      <c r="N387" s="56"/>
    </row>
    <row r="388" spans="1:14" s="18" customFormat="1" ht="15.75" customHeight="1">
      <c r="A388" s="72">
        <f>A387+1</f>
        <v>4</v>
      </c>
      <c r="B388" s="72"/>
      <c r="C388" s="54" t="s">
        <v>203</v>
      </c>
      <c r="D388" s="54">
        <f>(63.57)*10.764</f>
        <v>684.26747999999998</v>
      </c>
      <c r="E388" s="54">
        <f>(2.58)*10.764</f>
        <v>27.77112</v>
      </c>
      <c r="F388" s="55">
        <f>D388+E388</f>
        <v>712.03859999999997</v>
      </c>
      <c r="G388" s="55">
        <v>0</v>
      </c>
      <c r="H388" s="55">
        <f>F388*(($H$151)+1)+(IF(G388&lt;101,G388,IF(G388&lt;201,G388/2,IF(G388&lt;=301,G388/3,G388/4))))</f>
        <v>1103.6598300000001</v>
      </c>
      <c r="I388" s="56"/>
      <c r="N388" s="56"/>
    </row>
    <row r="389" spans="1:14" s="18" customFormat="1">
      <c r="A389" s="70" t="s">
        <v>208</v>
      </c>
      <c r="B389" s="70"/>
      <c r="C389" s="70"/>
      <c r="D389" s="70"/>
      <c r="E389" s="70"/>
      <c r="F389" s="70"/>
      <c r="G389" s="70"/>
      <c r="H389" s="70"/>
      <c r="I389" s="56">
        <v>1</v>
      </c>
      <c r="L389" s="71"/>
      <c r="M389" s="71"/>
    </row>
    <row r="390" spans="1:14" s="18" customFormat="1" ht="15.75" customHeight="1">
      <c r="A390" s="72">
        <v>1</v>
      </c>
      <c r="B390" s="72"/>
      <c r="C390" s="72" t="s">
        <v>200</v>
      </c>
      <c r="D390" s="72"/>
      <c r="E390" s="72"/>
      <c r="F390" s="72"/>
      <c r="G390" s="72" t="str">
        <f>A389</f>
        <v>15th Floor for Residential (Part Refuge Area)</v>
      </c>
      <c r="H390" s="72"/>
      <c r="I390" s="56"/>
      <c r="N390" s="56"/>
    </row>
    <row r="391" spans="1:14" s="18" customFormat="1" ht="15.75" customHeight="1">
      <c r="A391" s="72">
        <f>A390+1</f>
        <v>2</v>
      </c>
      <c r="B391" s="72"/>
      <c r="C391" s="54" t="s">
        <v>216</v>
      </c>
      <c r="D391" s="54">
        <f>(42.49)*10.764</f>
        <v>457.36235999999997</v>
      </c>
      <c r="E391" s="54">
        <v>0</v>
      </c>
      <c r="F391" s="55">
        <f>D391+E391</f>
        <v>457.36235999999997</v>
      </c>
      <c r="G391" s="55">
        <v>0</v>
      </c>
      <c r="H391" s="55">
        <f>F391*(($H$151)+1)+(IF(G391&lt;101,G391,IF(G391&lt;201,G391/2,IF(G391&lt;=301,G391/3,G391/4))))</f>
        <v>708.91165799999999</v>
      </c>
      <c r="I391" s="56"/>
      <c r="J391" s="56"/>
      <c r="N391" s="56"/>
    </row>
    <row r="392" spans="1:14" s="18" customFormat="1" ht="15.75" customHeight="1">
      <c r="A392" s="72">
        <f>A391+1</f>
        <v>3</v>
      </c>
      <c r="B392" s="72"/>
      <c r="C392" s="54" t="s">
        <v>216</v>
      </c>
      <c r="D392" s="54">
        <f>(43.01)*10.764</f>
        <v>462.95963999999992</v>
      </c>
      <c r="E392" s="54">
        <v>0</v>
      </c>
      <c r="F392" s="55">
        <f>D392+E392</f>
        <v>462.95963999999992</v>
      </c>
      <c r="G392" s="55">
        <v>0</v>
      </c>
      <c r="H392" s="55">
        <f>F392*(($H$151)+1)+(IF(G392&lt;101,G392,IF(G392&lt;201,G392/2,IF(G392&lt;=301,G392/3,G392/4))))</f>
        <v>717.5874419999999</v>
      </c>
      <c r="I392" s="56"/>
      <c r="J392" s="56"/>
      <c r="N392" s="56"/>
    </row>
    <row r="393" spans="1:14" s="18" customFormat="1" ht="15.75" customHeight="1">
      <c r="A393" s="72">
        <f>A392+1</f>
        <v>4</v>
      </c>
      <c r="B393" s="72"/>
      <c r="C393" s="72" t="s">
        <v>219</v>
      </c>
      <c r="D393" s="72"/>
      <c r="E393" s="72"/>
      <c r="F393" s="72"/>
      <c r="G393" s="72"/>
      <c r="H393" s="72"/>
      <c r="I393" s="57"/>
      <c r="N393" s="56"/>
    </row>
    <row r="394" spans="1:14" s="19" customFormat="1">
      <c r="A394" s="70" t="s">
        <v>209</v>
      </c>
      <c r="B394" s="70"/>
      <c r="C394" s="70"/>
      <c r="D394" s="70"/>
      <c r="E394" s="70"/>
      <c r="F394" s="70"/>
      <c r="G394" s="70"/>
      <c r="H394" s="70"/>
      <c r="I394" s="58"/>
      <c r="L394" s="80"/>
      <c r="M394" s="80"/>
    </row>
    <row r="395" spans="1:14" s="19" customFormat="1">
      <c r="A395" s="79" t="s">
        <v>210</v>
      </c>
      <c r="B395" s="79"/>
      <c r="C395" s="79"/>
      <c r="D395" s="79"/>
      <c r="E395" s="79"/>
      <c r="F395" s="79"/>
      <c r="G395" s="79"/>
      <c r="H395" s="79"/>
      <c r="I395" s="58">
        <v>1</v>
      </c>
      <c r="L395" s="80"/>
      <c r="M395" s="80"/>
    </row>
    <row r="396" spans="1:14" s="18" customFormat="1" ht="15.75" customHeight="1">
      <c r="A396" s="72">
        <v>1</v>
      </c>
      <c r="B396" s="72"/>
      <c r="C396" s="72" t="s">
        <v>200</v>
      </c>
      <c r="D396" s="72"/>
      <c r="E396" s="72"/>
      <c r="F396" s="72"/>
      <c r="G396" s="72" t="str">
        <f>A395</f>
        <v>22nd Floor (Part Refuge Area)</v>
      </c>
      <c r="H396" s="72"/>
      <c r="I396" s="56"/>
      <c r="N396" s="56"/>
    </row>
    <row r="397" spans="1:14" s="18" customFormat="1" ht="15.75" customHeight="1">
      <c r="A397" s="72">
        <f>A396+1</f>
        <v>2</v>
      </c>
      <c r="B397" s="72"/>
      <c r="C397" s="54" t="s">
        <v>216</v>
      </c>
      <c r="D397" s="54">
        <f>(42.49)*10.764</f>
        <v>457.36235999999997</v>
      </c>
      <c r="E397" s="54">
        <v>0</v>
      </c>
      <c r="F397" s="55">
        <f>D397+E397</f>
        <v>457.36235999999997</v>
      </c>
      <c r="G397" s="55">
        <v>0</v>
      </c>
      <c r="H397" s="55">
        <f>F397*(($H$151)+1)+(IF(G397&lt;101,G397,IF(G397&lt;201,G397/2,IF(G397&lt;=301,G397/3,G397/4))))</f>
        <v>708.91165799999999</v>
      </c>
      <c r="I397" s="56"/>
      <c r="J397" s="56"/>
      <c r="N397" s="56"/>
    </row>
    <row r="398" spans="1:14" s="18" customFormat="1" ht="15.75" customHeight="1">
      <c r="A398" s="72">
        <f>A397+1</f>
        <v>3</v>
      </c>
      <c r="B398" s="72"/>
      <c r="C398" s="54" t="s">
        <v>216</v>
      </c>
      <c r="D398" s="54">
        <f>(43.01)*10.764</f>
        <v>462.95963999999992</v>
      </c>
      <c r="E398" s="54">
        <v>0</v>
      </c>
      <c r="F398" s="55">
        <f>D398+E398</f>
        <v>462.95963999999992</v>
      </c>
      <c r="G398" s="55">
        <v>0</v>
      </c>
      <c r="H398" s="55">
        <f>F398*(($H$151)+1)+(IF(G398&lt;101,G398,IF(G398&lt;201,G398/2,IF(G398&lt;=301,G398/3,G398/4))))</f>
        <v>717.5874419999999</v>
      </c>
      <c r="I398" s="56"/>
      <c r="J398" s="56"/>
      <c r="N398" s="56"/>
    </row>
    <row r="399" spans="1:14" s="18" customFormat="1" ht="15.75" customHeight="1">
      <c r="A399" s="72">
        <f>A398+1</f>
        <v>4</v>
      </c>
      <c r="B399" s="72"/>
      <c r="C399" s="54" t="s">
        <v>203</v>
      </c>
      <c r="D399" s="54">
        <f>(63.57)*10.764</f>
        <v>684.26747999999998</v>
      </c>
      <c r="E399" s="54">
        <f>(2.58)*10.764</f>
        <v>27.77112</v>
      </c>
      <c r="F399" s="55">
        <f>D399+E399</f>
        <v>712.03859999999997</v>
      </c>
      <c r="G399" s="55">
        <v>0</v>
      </c>
      <c r="H399" s="55">
        <f>F399*(($H$151)+1)+(IF(G399&lt;101,G399,IF(G399&lt;201,G399/2,IF(G399&lt;=301,G399/3,G399/4))))</f>
        <v>1103.6598300000001</v>
      </c>
      <c r="I399" s="57"/>
      <c r="N399" s="56"/>
    </row>
    <row r="400" spans="1:14" s="19" customFormat="1">
      <c r="A400" s="79" t="s">
        <v>211</v>
      </c>
      <c r="B400" s="79"/>
      <c r="C400" s="79"/>
      <c r="D400" s="79"/>
      <c r="E400" s="79"/>
      <c r="F400" s="79"/>
      <c r="G400" s="79"/>
      <c r="H400" s="79"/>
      <c r="I400" s="58">
        <v>11</v>
      </c>
      <c r="L400" s="80"/>
      <c r="M400" s="80"/>
    </row>
    <row r="401" spans="1:14" s="19" customFormat="1" ht="15.75" customHeight="1">
      <c r="A401" s="69">
        <v>1</v>
      </c>
      <c r="B401" s="69"/>
      <c r="C401" s="54" t="s">
        <v>203</v>
      </c>
      <c r="D401" s="54">
        <f>(55.75)*10.764</f>
        <v>600.09299999999996</v>
      </c>
      <c r="E401" s="54">
        <f>(1.69)*10.764</f>
        <v>18.19116</v>
      </c>
      <c r="F401" s="55">
        <f>D401+E401</f>
        <v>618.28415999999993</v>
      </c>
      <c r="G401" s="55">
        <v>0</v>
      </c>
      <c r="H401" s="55">
        <f>F401*(($H$151)+1)+(IF(G401&lt;101,G401,IF(G401&lt;201,G401/2,IF(G401&lt;=301,G401/3,G401/4))))</f>
        <v>958.34044799999992</v>
      </c>
      <c r="I401" s="58"/>
      <c r="N401" s="58"/>
    </row>
    <row r="402" spans="1:14" s="19" customFormat="1" ht="15.75" customHeight="1">
      <c r="A402" s="69">
        <f>A401+1</f>
        <v>2</v>
      </c>
      <c r="B402" s="69"/>
      <c r="C402" s="54" t="s">
        <v>216</v>
      </c>
      <c r="D402" s="54">
        <f>(42.49)*10.764</f>
        <v>457.36235999999997</v>
      </c>
      <c r="E402" s="54">
        <v>0</v>
      </c>
      <c r="F402" s="55">
        <f>D402+E402</f>
        <v>457.36235999999997</v>
      </c>
      <c r="G402" s="55">
        <v>0</v>
      </c>
      <c r="H402" s="55">
        <f>F402*(($H$151)+1)+(IF(G402&lt;101,G402,IF(G402&lt;201,G402/2,IF(G402&lt;=301,G402/3,G402/4))))</f>
        <v>708.91165799999999</v>
      </c>
      <c r="I402" s="58"/>
      <c r="N402" s="58"/>
    </row>
    <row r="403" spans="1:14" s="19" customFormat="1" ht="15.75" customHeight="1">
      <c r="A403" s="69">
        <f>A402+1</f>
        <v>3</v>
      </c>
      <c r="B403" s="69"/>
      <c r="C403" s="54" t="s">
        <v>216</v>
      </c>
      <c r="D403" s="54">
        <f>(43.01)*10.764</f>
        <v>462.95963999999992</v>
      </c>
      <c r="E403" s="54">
        <v>0</v>
      </c>
      <c r="F403" s="55">
        <f>D403+E403</f>
        <v>462.95963999999992</v>
      </c>
      <c r="G403" s="55">
        <v>0</v>
      </c>
      <c r="H403" s="55">
        <f>F403*(($H$151)+1)+(IF(G403&lt;101,G403,IF(G403&lt;201,G403/2,IF(G403&lt;=301,G403/3,G403/4))))</f>
        <v>717.5874419999999</v>
      </c>
      <c r="I403" s="58"/>
      <c r="N403" s="58"/>
    </row>
    <row r="404" spans="1:14" s="19" customFormat="1" ht="15.75" customHeight="1">
      <c r="A404" s="69">
        <f>A403+1</f>
        <v>4</v>
      </c>
      <c r="B404" s="69"/>
      <c r="C404" s="54" t="s">
        <v>203</v>
      </c>
      <c r="D404" s="54">
        <f>(63.57)*10.764</f>
        <v>684.26747999999998</v>
      </c>
      <c r="E404" s="54">
        <f>(2.58)*10.764</f>
        <v>27.77112</v>
      </c>
      <c r="F404" s="55">
        <f>D404+E404</f>
        <v>712.03859999999997</v>
      </c>
      <c r="G404" s="55">
        <v>0</v>
      </c>
      <c r="H404" s="55">
        <f>F404*(($H$151)+1)+(IF(G404&lt;101,G404,IF(G404&lt;201,G404/2,IF(G404&lt;=301,G404/3,G404/4))))</f>
        <v>1103.6598300000001</v>
      </c>
      <c r="I404" s="58"/>
      <c r="N404" s="58"/>
    </row>
    <row r="405" spans="1:14" s="19" customFormat="1">
      <c r="A405" s="79" t="s">
        <v>212</v>
      </c>
      <c r="B405" s="79"/>
      <c r="C405" s="79"/>
      <c r="D405" s="79"/>
      <c r="E405" s="79"/>
      <c r="F405" s="79"/>
      <c r="G405" s="79"/>
      <c r="H405" s="79"/>
      <c r="I405" s="58">
        <v>2</v>
      </c>
      <c r="L405" s="80"/>
      <c r="M405" s="80"/>
    </row>
    <row r="406" spans="1:14" s="19" customFormat="1" ht="15.75" customHeight="1">
      <c r="A406" s="69">
        <v>1</v>
      </c>
      <c r="B406" s="69"/>
      <c r="C406" s="76" t="s">
        <v>200</v>
      </c>
      <c r="D406" s="77"/>
      <c r="E406" s="77"/>
      <c r="F406" s="77"/>
      <c r="G406" s="77"/>
      <c r="H406" s="78"/>
      <c r="I406" s="58"/>
      <c r="N406" s="58"/>
    </row>
    <row r="407" spans="1:14" s="19" customFormat="1" ht="15.75" customHeight="1">
      <c r="A407" s="69">
        <f>A406+1</f>
        <v>2</v>
      </c>
      <c r="B407" s="69"/>
      <c r="C407" s="54" t="s">
        <v>216</v>
      </c>
      <c r="D407" s="54">
        <f>(42.49)*10.764</f>
        <v>457.36235999999997</v>
      </c>
      <c r="E407" s="54">
        <v>0</v>
      </c>
      <c r="F407" s="55">
        <f>D407+E407</f>
        <v>457.36235999999997</v>
      </c>
      <c r="G407" s="55">
        <v>0</v>
      </c>
      <c r="H407" s="55">
        <f>F407*(($H$151)+1)+(IF(G407&lt;101,G407,IF(G407&lt;201,G407/2,IF(G407&lt;=301,G407/3,G407/4))))</f>
        <v>708.91165799999999</v>
      </c>
      <c r="I407" s="58"/>
      <c r="N407" s="58"/>
    </row>
    <row r="408" spans="1:14" s="19" customFormat="1" ht="15.75" customHeight="1">
      <c r="A408" s="69">
        <f>A407+1</f>
        <v>3</v>
      </c>
      <c r="B408" s="69"/>
      <c r="C408" s="54" t="s">
        <v>216</v>
      </c>
      <c r="D408" s="54">
        <f>(43.01)*10.764</f>
        <v>462.95963999999992</v>
      </c>
      <c r="E408" s="54">
        <v>0</v>
      </c>
      <c r="F408" s="55">
        <f>D408+E408</f>
        <v>462.95963999999992</v>
      </c>
      <c r="G408" s="55">
        <v>0</v>
      </c>
      <c r="H408" s="55">
        <f>F408*(($H$151)+1)+(IF(G408&lt;101,G408,IF(G408&lt;201,G408/2,IF(G408&lt;=301,G408/3,G408/4))))</f>
        <v>717.5874419999999</v>
      </c>
      <c r="I408" s="58"/>
      <c r="N408" s="58"/>
    </row>
    <row r="409" spans="1:14" s="19" customFormat="1" ht="15.75" customHeight="1">
      <c r="A409" s="69">
        <f>A408+1</f>
        <v>4</v>
      </c>
      <c r="B409" s="69"/>
      <c r="C409" s="54" t="s">
        <v>203</v>
      </c>
      <c r="D409" s="54">
        <f>(63.57)*10.764</f>
        <v>684.26747999999998</v>
      </c>
      <c r="E409" s="54">
        <f>(2.58)*10.764</f>
        <v>27.77112</v>
      </c>
      <c r="F409" s="55">
        <f>D409+E409</f>
        <v>712.03859999999997</v>
      </c>
      <c r="G409" s="55">
        <v>0</v>
      </c>
      <c r="H409" s="55">
        <f>F409*(($H$151)+1)+(IF(G409&lt;101,G409,IF(G409&lt;201,G409/2,IF(G409&lt;=301,G409/3,G409/4))))</f>
        <v>1103.6598300000001</v>
      </c>
      <c r="I409" s="58"/>
      <c r="N409" s="58"/>
    </row>
    <row r="410" spans="1:14" s="19" customFormat="1">
      <c r="A410" s="79" t="s">
        <v>213</v>
      </c>
      <c r="B410" s="79"/>
      <c r="C410" s="79"/>
      <c r="D410" s="79"/>
      <c r="E410" s="79"/>
      <c r="F410" s="79"/>
      <c r="G410" s="79"/>
      <c r="H410" s="79"/>
      <c r="I410" s="58">
        <v>3</v>
      </c>
      <c r="L410" s="80"/>
      <c r="M410" s="80"/>
    </row>
    <row r="411" spans="1:14" s="19" customFormat="1" ht="15.75" customHeight="1">
      <c r="A411" s="69">
        <v>1</v>
      </c>
      <c r="B411" s="69"/>
      <c r="C411" s="76" t="s">
        <v>220</v>
      </c>
      <c r="D411" s="77"/>
      <c r="E411" s="77"/>
      <c r="F411" s="77"/>
      <c r="G411" s="77" t="str">
        <f>A410</f>
        <v>30th to 32nd Floor</v>
      </c>
      <c r="H411" s="78"/>
      <c r="I411" s="58"/>
      <c r="N411" s="58"/>
    </row>
    <row r="412" spans="1:14" s="19" customFormat="1" ht="15.75" customHeight="1">
      <c r="A412" s="69">
        <f>A411+1</f>
        <v>2</v>
      </c>
      <c r="B412" s="69"/>
      <c r="C412" s="54" t="s">
        <v>216</v>
      </c>
      <c r="D412" s="54">
        <f>(42.49)*10.764</f>
        <v>457.36235999999997</v>
      </c>
      <c r="E412" s="54">
        <v>0</v>
      </c>
      <c r="F412" s="55">
        <f>D412+E412</f>
        <v>457.36235999999997</v>
      </c>
      <c r="G412" s="55">
        <v>0</v>
      </c>
      <c r="H412" s="55">
        <f>F412*(($H$151)+1)+(IF(G412&lt;101,G412,IF(G412&lt;201,G412/2,IF(G412&lt;=301,G412/3,G412/4))))</f>
        <v>708.91165799999999</v>
      </c>
      <c r="I412" s="58"/>
      <c r="N412" s="58"/>
    </row>
    <row r="413" spans="1:14" s="19" customFormat="1" ht="15.75" customHeight="1">
      <c r="A413" s="69">
        <f>A412+1</f>
        <v>3</v>
      </c>
      <c r="B413" s="69"/>
      <c r="C413" s="54" t="s">
        <v>216</v>
      </c>
      <c r="D413" s="54">
        <f>(43.01)*10.764</f>
        <v>462.95963999999992</v>
      </c>
      <c r="E413" s="54">
        <v>0</v>
      </c>
      <c r="F413" s="55">
        <f>D413+E413</f>
        <v>462.95963999999992</v>
      </c>
      <c r="G413" s="55">
        <v>0</v>
      </c>
      <c r="H413" s="55">
        <f>F413*(($H$151)+1)+(IF(G413&lt;101,G413,IF(G413&lt;201,G413/2,IF(G413&lt;=301,G413/3,G413/4))))</f>
        <v>717.5874419999999</v>
      </c>
      <c r="I413" s="58"/>
      <c r="N413" s="58"/>
    </row>
    <row r="414" spans="1:14" s="19" customFormat="1" ht="15.75" customHeight="1">
      <c r="A414" s="69">
        <f>A413+1</f>
        <v>4</v>
      </c>
      <c r="B414" s="69"/>
      <c r="C414" s="54" t="s">
        <v>203</v>
      </c>
      <c r="D414" s="54">
        <f>(63.57)*10.764</f>
        <v>684.26747999999998</v>
      </c>
      <c r="E414" s="54">
        <f>(2.58)*10.764</f>
        <v>27.77112</v>
      </c>
      <c r="F414" s="55">
        <f>D414+E414</f>
        <v>712.03859999999997</v>
      </c>
      <c r="G414" s="55">
        <v>0</v>
      </c>
      <c r="H414" s="55">
        <f>F414*(($H$151)+1)+(IF(G414&lt;101,G414,IF(G414&lt;201,G414/2,IF(G414&lt;=301,G414/3,G414/4))))</f>
        <v>1103.6598300000001</v>
      </c>
      <c r="I414" s="58"/>
      <c r="N414" s="58"/>
    </row>
    <row r="415" spans="1:14" s="19" customFormat="1">
      <c r="A415" s="79" t="s">
        <v>214</v>
      </c>
      <c r="B415" s="79"/>
      <c r="C415" s="79"/>
      <c r="D415" s="79"/>
      <c r="E415" s="79"/>
      <c r="F415" s="79"/>
      <c r="G415" s="79"/>
      <c r="H415" s="79"/>
      <c r="I415" s="58">
        <v>1</v>
      </c>
      <c r="L415" s="80"/>
      <c r="M415" s="80"/>
    </row>
    <row r="416" spans="1:14" s="19" customFormat="1" ht="15.75" customHeight="1">
      <c r="A416" s="69">
        <v>1</v>
      </c>
      <c r="B416" s="69"/>
      <c r="C416" s="54" t="s">
        <v>203</v>
      </c>
      <c r="D416" s="54">
        <f>(55.75)*10.764</f>
        <v>600.09299999999996</v>
      </c>
      <c r="E416" s="54">
        <f>(1.69)*10.764</f>
        <v>18.19116</v>
      </c>
      <c r="F416" s="55">
        <f>D416+E416</f>
        <v>618.28415999999993</v>
      </c>
      <c r="G416" s="55">
        <v>0</v>
      </c>
      <c r="H416" s="55">
        <f>F416*(($H$151)+1)+(IF(G416&lt;101,G416,IF(G416&lt;201,G416/2,IF(G416&lt;=301,G416/3,G416/4))))</f>
        <v>958.34044799999992</v>
      </c>
      <c r="I416" s="58"/>
      <c r="N416" s="58"/>
    </row>
    <row r="417" spans="1:14" s="19" customFormat="1" ht="15.75" customHeight="1">
      <c r="A417" s="69">
        <f>A416+1</f>
        <v>2</v>
      </c>
      <c r="B417" s="69"/>
      <c r="C417" s="54" t="s">
        <v>216</v>
      </c>
      <c r="D417" s="54">
        <f>(42.49)*10.764</f>
        <v>457.36235999999997</v>
      </c>
      <c r="E417" s="54">
        <v>0</v>
      </c>
      <c r="F417" s="55">
        <f>D417+E417</f>
        <v>457.36235999999997</v>
      </c>
      <c r="G417" s="55">
        <v>0</v>
      </c>
      <c r="H417" s="55">
        <f>F417*(($H$151)+1)+(IF(G417&lt;101,G417,IF(G417&lt;201,G417/2,IF(G417&lt;=301,G417/3,G417/4))))</f>
        <v>708.91165799999999</v>
      </c>
      <c r="I417" s="58"/>
      <c r="N417" s="58"/>
    </row>
    <row r="418" spans="1:14" s="19" customFormat="1" ht="15.75" customHeight="1">
      <c r="A418" s="69">
        <f>A417+1</f>
        <v>3</v>
      </c>
      <c r="B418" s="69"/>
      <c r="C418" s="54" t="s">
        <v>216</v>
      </c>
      <c r="D418" s="54">
        <f>(43.01)*10.764</f>
        <v>462.95963999999992</v>
      </c>
      <c r="E418" s="54">
        <v>0</v>
      </c>
      <c r="F418" s="55">
        <f>D418+E418</f>
        <v>462.95963999999992</v>
      </c>
      <c r="G418" s="55">
        <v>0</v>
      </c>
      <c r="H418" s="55">
        <f>F418*(($H$151)+1)+(IF(G418&lt;101,G418,IF(G418&lt;201,G418/2,IF(G418&lt;=301,G418/3,G418/4))))</f>
        <v>717.5874419999999</v>
      </c>
      <c r="I418" s="58"/>
      <c r="N418" s="58"/>
    </row>
    <row r="419" spans="1:14" s="19" customFormat="1" ht="15.75" customHeight="1">
      <c r="A419" s="69">
        <f>A418+1</f>
        <v>4</v>
      </c>
      <c r="B419" s="69"/>
      <c r="C419" s="76" t="s">
        <v>219</v>
      </c>
      <c r="D419" s="77"/>
      <c r="E419" s="77"/>
      <c r="F419" s="77"/>
      <c r="G419" s="77"/>
      <c r="H419" s="78"/>
      <c r="I419" s="58"/>
      <c r="N419" s="58"/>
    </row>
    <row r="420" spans="1:14" s="19" customFormat="1">
      <c r="A420" s="79" t="s">
        <v>215</v>
      </c>
      <c r="B420" s="79"/>
      <c r="C420" s="79"/>
      <c r="D420" s="79"/>
      <c r="E420" s="79"/>
      <c r="F420" s="79"/>
      <c r="G420" s="79"/>
      <c r="H420" s="79"/>
      <c r="I420" s="58">
        <v>1</v>
      </c>
      <c r="L420" s="80"/>
      <c r="M420" s="80"/>
    </row>
    <row r="421" spans="1:14" s="19" customFormat="1" ht="15.75" customHeight="1">
      <c r="A421" s="69">
        <v>1</v>
      </c>
      <c r="B421" s="69"/>
      <c r="C421" s="54" t="s">
        <v>203</v>
      </c>
      <c r="D421" s="54">
        <f>(55.75)*10.764</f>
        <v>600.09299999999996</v>
      </c>
      <c r="E421" s="54">
        <f>(1.69)*10.764</f>
        <v>18.19116</v>
      </c>
      <c r="F421" s="55">
        <f>D421+E421</f>
        <v>618.28415999999993</v>
      </c>
      <c r="G421" s="55">
        <v>0</v>
      </c>
      <c r="H421" s="55">
        <f>F421*(($H$151)+1)+(IF(G421&lt;101,G421,IF(G421&lt;201,G421/2,IF(G421&lt;=301,G421/3,G421/4))))</f>
        <v>958.34044799999992</v>
      </c>
      <c r="I421" s="58"/>
      <c r="N421" s="58"/>
    </row>
    <row r="422" spans="1:14" s="19" customFormat="1" ht="15.75" customHeight="1">
      <c r="A422" s="69">
        <f>A421+1</f>
        <v>2</v>
      </c>
      <c r="B422" s="69"/>
      <c r="C422" s="54" t="s">
        <v>216</v>
      </c>
      <c r="D422" s="54">
        <f>(42.49)*10.764</f>
        <v>457.36235999999997</v>
      </c>
      <c r="E422" s="54">
        <v>0</v>
      </c>
      <c r="F422" s="55">
        <f>D422+E422</f>
        <v>457.36235999999997</v>
      </c>
      <c r="G422" s="55">
        <v>0</v>
      </c>
      <c r="H422" s="55">
        <f>F422*(($H$151)+1)+(IF(G422&lt;101,G422,IF(G422&lt;201,G422/2,IF(G422&lt;=301,G422/3,G422/4))))</f>
        <v>708.91165799999999</v>
      </c>
      <c r="I422" s="58"/>
      <c r="N422" s="58"/>
    </row>
    <row r="423" spans="1:14" s="19" customFormat="1" ht="15.75" customHeight="1">
      <c r="A423" s="69">
        <f>A422+1</f>
        <v>3</v>
      </c>
      <c r="B423" s="69"/>
      <c r="C423" s="54" t="s">
        <v>216</v>
      </c>
      <c r="D423" s="54">
        <f>(43.01)*10.764</f>
        <v>462.95963999999992</v>
      </c>
      <c r="E423" s="54">
        <v>0</v>
      </c>
      <c r="F423" s="55">
        <f>D423+E423</f>
        <v>462.95963999999992</v>
      </c>
      <c r="G423" s="55">
        <v>0</v>
      </c>
      <c r="H423" s="55">
        <f>F423*(($H$151)+1)+(IF(G423&lt;101,G423,IF(G423&lt;201,G423/2,IF(G423&lt;=301,G423/3,G423/4))))</f>
        <v>717.5874419999999</v>
      </c>
      <c r="I423" s="58"/>
      <c r="N423" s="58"/>
    </row>
    <row r="424" spans="1:14" s="19" customFormat="1" ht="15.75" customHeight="1">
      <c r="A424" s="69">
        <f>A423+1</f>
        <v>4</v>
      </c>
      <c r="B424" s="69"/>
      <c r="C424" s="76" t="s">
        <v>221</v>
      </c>
      <c r="D424" s="77"/>
      <c r="E424" s="77"/>
      <c r="F424" s="77"/>
      <c r="G424" s="77"/>
      <c r="H424" s="78"/>
      <c r="I424" s="58"/>
      <c r="N424" s="58"/>
    </row>
    <row r="425" spans="1:14" s="19" customFormat="1">
      <c r="A425" s="70" t="s">
        <v>223</v>
      </c>
      <c r="B425" s="70"/>
      <c r="C425" s="70"/>
      <c r="D425" s="70"/>
      <c r="E425" s="70"/>
      <c r="F425" s="70"/>
      <c r="G425" s="70"/>
      <c r="H425" s="70"/>
      <c r="I425" s="58">
        <v>2</v>
      </c>
      <c r="L425" s="80"/>
      <c r="M425" s="80"/>
    </row>
    <row r="426" spans="1:14" s="19" customFormat="1" ht="15.75" customHeight="1">
      <c r="A426" s="72">
        <v>1</v>
      </c>
      <c r="B426" s="72"/>
      <c r="C426" s="54" t="s">
        <v>203</v>
      </c>
      <c r="D426" s="54">
        <f>(55.75)*10.764</f>
        <v>600.09299999999996</v>
      </c>
      <c r="E426" s="54">
        <f>(6)*10.764</f>
        <v>64.584000000000003</v>
      </c>
      <c r="F426" s="55">
        <f>D426+E426</f>
        <v>664.67699999999991</v>
      </c>
      <c r="G426" s="55">
        <v>0</v>
      </c>
      <c r="H426" s="55">
        <f>F426*(($H$151)+1)+(IF(G426&lt;101,G426,IF(G426&lt;201,G426/2,IF(G426&lt;=301,G426/3,G426/4))))</f>
        <v>1030.2493499999998</v>
      </c>
      <c r="I426" s="58"/>
      <c r="N426" s="58"/>
    </row>
    <row r="427" spans="1:14" s="19" customFormat="1" ht="15.75" customHeight="1">
      <c r="A427" s="72">
        <f>A426+1</f>
        <v>2</v>
      </c>
      <c r="B427" s="72"/>
      <c r="C427" s="54" t="s">
        <v>216</v>
      </c>
      <c r="D427" s="54">
        <f>(42.49)*10.764</f>
        <v>457.36235999999997</v>
      </c>
      <c r="E427" s="54">
        <f>(4.32)*10.764</f>
        <v>46.500480000000003</v>
      </c>
      <c r="F427" s="55">
        <f>D427+E427</f>
        <v>503.86283999999995</v>
      </c>
      <c r="G427" s="55">
        <v>0</v>
      </c>
      <c r="H427" s="55">
        <f>F427*(($H$151)+1)+(IF(G427&lt;101,G427,IF(G427&lt;201,G427/2,IF(G427&lt;=301,G427/3,G427/4))))</f>
        <v>780.98740199999997</v>
      </c>
      <c r="I427" s="58"/>
      <c r="N427" s="58"/>
    </row>
    <row r="428" spans="1:14" s="19" customFormat="1" ht="15.75" customHeight="1">
      <c r="A428" s="72">
        <f>A427+1</f>
        <v>3</v>
      </c>
      <c r="B428" s="72"/>
      <c r="C428" s="54" t="s">
        <v>216</v>
      </c>
      <c r="D428" s="54">
        <f>(43.01)*10.764</f>
        <v>462.95963999999992</v>
      </c>
      <c r="E428" s="54">
        <f>(4.32)*10.764</f>
        <v>46.500480000000003</v>
      </c>
      <c r="F428" s="55">
        <f>D428+E428</f>
        <v>509.4601199999999</v>
      </c>
      <c r="G428" s="55">
        <v>0</v>
      </c>
      <c r="H428" s="55">
        <f>F428*(($H$151)+1)+(IF(G428&lt;101,G428,IF(G428&lt;201,G428/2,IF(G428&lt;=301,G428/3,G428/4))))</f>
        <v>789.66318599999988</v>
      </c>
      <c r="I428" s="58"/>
      <c r="N428" s="58"/>
    </row>
    <row r="429" spans="1:14" s="19" customFormat="1" ht="15.75" customHeight="1">
      <c r="A429" s="72">
        <f>A428+1</f>
        <v>4</v>
      </c>
      <c r="B429" s="72"/>
      <c r="C429" s="76" t="s">
        <v>224</v>
      </c>
      <c r="D429" s="77"/>
      <c r="E429" s="77"/>
      <c r="F429" s="77"/>
      <c r="G429" s="77"/>
      <c r="H429" s="78"/>
      <c r="I429" s="58"/>
      <c r="N429" s="58"/>
    </row>
    <row r="430" spans="1:14" s="19" customFormat="1">
      <c r="A430" s="70" t="s">
        <v>225</v>
      </c>
      <c r="B430" s="70"/>
      <c r="C430" s="70"/>
      <c r="D430" s="70"/>
      <c r="E430" s="70"/>
      <c r="F430" s="70"/>
      <c r="G430" s="70"/>
      <c r="H430" s="70"/>
      <c r="I430" s="58">
        <v>1</v>
      </c>
      <c r="L430" s="80"/>
      <c r="M430" s="80"/>
    </row>
    <row r="431" spans="1:14" s="19" customFormat="1" ht="15.75" customHeight="1">
      <c r="A431" s="72">
        <v>1</v>
      </c>
      <c r="B431" s="72"/>
      <c r="C431" s="76" t="s">
        <v>200</v>
      </c>
      <c r="D431" s="77"/>
      <c r="E431" s="77"/>
      <c r="F431" s="77"/>
      <c r="G431" s="77" t="str">
        <f>A430</f>
        <v>43rd Floor (Part Refuge Area)</v>
      </c>
      <c r="H431" s="78"/>
      <c r="I431" s="58"/>
      <c r="N431" s="58"/>
    </row>
    <row r="432" spans="1:14" s="19" customFormat="1" ht="15.75" customHeight="1">
      <c r="A432" s="72">
        <f>A431+1</f>
        <v>2</v>
      </c>
      <c r="B432" s="72"/>
      <c r="C432" s="54" t="s">
        <v>216</v>
      </c>
      <c r="D432" s="54">
        <f>(42.49)*10.764</f>
        <v>457.36235999999997</v>
      </c>
      <c r="E432" s="54">
        <f>(4.32)*10.764</f>
        <v>46.500480000000003</v>
      </c>
      <c r="F432" s="55">
        <f>D432+E432</f>
        <v>503.86283999999995</v>
      </c>
      <c r="G432" s="55">
        <v>0</v>
      </c>
      <c r="H432" s="55">
        <f>F432*(($H$151)+1)+(IF(G432&lt;101,G432,IF(G432&lt;201,G432/2,IF(G432&lt;=301,G432/3,G432/4))))</f>
        <v>780.98740199999997</v>
      </c>
      <c r="I432" s="58"/>
      <c r="N432" s="58"/>
    </row>
    <row r="433" spans="1:14" s="19" customFormat="1" ht="15.75" customHeight="1">
      <c r="A433" s="72">
        <f>A432+1</f>
        <v>3</v>
      </c>
      <c r="B433" s="72"/>
      <c r="C433" s="54" t="s">
        <v>216</v>
      </c>
      <c r="D433" s="54">
        <f>(43.01)*10.764</f>
        <v>462.95963999999992</v>
      </c>
      <c r="E433" s="54">
        <f>(4.32)*10.764</f>
        <v>46.500480000000003</v>
      </c>
      <c r="F433" s="55">
        <f>D433+E433</f>
        <v>509.4601199999999</v>
      </c>
      <c r="G433" s="55">
        <v>0</v>
      </c>
      <c r="H433" s="55">
        <f>F433*(($H$151)+1)+(IF(G433&lt;101,G433,IF(G433&lt;201,G433/2,IF(G433&lt;=301,G433/3,G433/4))))</f>
        <v>789.66318599999988</v>
      </c>
      <c r="I433" s="58"/>
      <c r="N433" s="58"/>
    </row>
    <row r="434" spans="1:14" s="19" customFormat="1" ht="15.75" customHeight="1">
      <c r="A434" s="72">
        <f>A433+1</f>
        <v>4</v>
      </c>
      <c r="B434" s="72"/>
      <c r="C434" s="54" t="s">
        <v>203</v>
      </c>
      <c r="D434" s="54">
        <f>(63.57)*10.764</f>
        <v>684.26747999999998</v>
      </c>
      <c r="E434" s="54">
        <f>(2.58)*10.764</f>
        <v>27.77112</v>
      </c>
      <c r="F434" s="55">
        <f>D434+E434</f>
        <v>712.03859999999997</v>
      </c>
      <c r="G434" s="55">
        <v>0</v>
      </c>
      <c r="H434" s="55">
        <f>F434*(($H$151)+1)+(IF(G434&lt;101,G434,IF(G434&lt;201,G434/2,IF(G434&lt;=301,G434/3,G434/4))))</f>
        <v>1103.6598300000001</v>
      </c>
      <c r="I434" s="58"/>
      <c r="N434" s="58"/>
    </row>
    <row r="435" spans="1:14" s="19" customFormat="1">
      <c r="A435" s="70" t="s">
        <v>269</v>
      </c>
      <c r="B435" s="70"/>
      <c r="C435" s="70"/>
      <c r="D435" s="70"/>
      <c r="E435" s="70"/>
      <c r="F435" s="70"/>
      <c r="G435" s="70"/>
      <c r="H435" s="70"/>
      <c r="I435" s="58">
        <v>2</v>
      </c>
      <c r="L435" s="80"/>
      <c r="M435" s="80"/>
    </row>
    <row r="436" spans="1:14" s="19" customFormat="1" ht="15.75" customHeight="1">
      <c r="A436" s="72">
        <v>1</v>
      </c>
      <c r="B436" s="72"/>
      <c r="C436" s="54" t="s">
        <v>203</v>
      </c>
      <c r="D436" s="54">
        <f>(55.75)*10.764</f>
        <v>600.09299999999996</v>
      </c>
      <c r="E436" s="54">
        <f>(6)*10.764</f>
        <v>64.584000000000003</v>
      </c>
      <c r="F436" s="55">
        <f>D436+E436</f>
        <v>664.67699999999991</v>
      </c>
      <c r="G436" s="55">
        <v>0</v>
      </c>
      <c r="H436" s="55">
        <f>F436*(($H$151)+1)+(IF(G436&lt;101,G436,IF(G436&lt;201,G436/2,IF(G436&lt;=301,G436/3,G436/4))))</f>
        <v>1030.2493499999998</v>
      </c>
      <c r="I436" s="58"/>
      <c r="N436" s="58"/>
    </row>
    <row r="437" spans="1:14" s="19" customFormat="1" ht="15.75" customHeight="1">
      <c r="A437" s="72">
        <f>A436+1</f>
        <v>2</v>
      </c>
      <c r="B437" s="72"/>
      <c r="C437" s="54" t="s">
        <v>216</v>
      </c>
      <c r="D437" s="54">
        <f>(42.49)*10.764</f>
        <v>457.36235999999997</v>
      </c>
      <c r="E437" s="54">
        <f>(4.32)*10.764</f>
        <v>46.500480000000003</v>
      </c>
      <c r="F437" s="55">
        <f>D437+E437</f>
        <v>503.86283999999995</v>
      </c>
      <c r="G437" s="55">
        <v>0</v>
      </c>
      <c r="H437" s="55">
        <f>F437*(($H$151)+1)+(IF(G437&lt;101,G437,IF(G437&lt;201,G437/2,IF(G437&lt;=301,G437/3,G437/4))))</f>
        <v>780.98740199999997</v>
      </c>
      <c r="I437" s="58"/>
      <c r="N437" s="58"/>
    </row>
    <row r="438" spans="1:14" s="19" customFormat="1" ht="15.75" customHeight="1">
      <c r="A438" s="72">
        <f>A437+1</f>
        <v>3</v>
      </c>
      <c r="B438" s="72"/>
      <c r="C438" s="54" t="s">
        <v>216</v>
      </c>
      <c r="D438" s="54">
        <f>(43.01)*10.764</f>
        <v>462.95963999999992</v>
      </c>
      <c r="E438" s="54">
        <f>(4.32)*10.764</f>
        <v>46.500480000000003</v>
      </c>
      <c r="F438" s="55">
        <f>D438+E438</f>
        <v>509.4601199999999</v>
      </c>
      <c r="G438" s="55">
        <v>0</v>
      </c>
      <c r="H438" s="55">
        <f>F438*(($H$151)+1)+(IF(G438&lt;101,G438,IF(G438&lt;201,G438/2,IF(G438&lt;=301,G438/3,G438/4))))</f>
        <v>789.66318599999988</v>
      </c>
      <c r="I438" s="58"/>
      <c r="N438" s="58"/>
    </row>
    <row r="439" spans="1:14" s="19" customFormat="1" ht="15.75" customHeight="1">
      <c r="A439" s="72">
        <f>A438+1</f>
        <v>4</v>
      </c>
      <c r="B439" s="72"/>
      <c r="C439" s="54" t="s">
        <v>203</v>
      </c>
      <c r="D439" s="54">
        <f>(63.57)*10.764</f>
        <v>684.26747999999998</v>
      </c>
      <c r="E439" s="54">
        <f>(2.58)*10.764</f>
        <v>27.77112</v>
      </c>
      <c r="F439" s="55">
        <f>D439+E439</f>
        <v>712.03859999999997</v>
      </c>
      <c r="G439" s="55">
        <v>0</v>
      </c>
      <c r="H439" s="55">
        <f>F439*(($H$151)+1)+(IF(G439&lt;101,G439,IF(G439&lt;201,G439/2,IF(G439&lt;=301,G439/3,G439/4))))</f>
        <v>1103.6598300000001</v>
      </c>
      <c r="I439" s="58"/>
      <c r="N439" s="58"/>
    </row>
    <row r="440" spans="1:14" s="19" customFormat="1">
      <c r="A440" s="70" t="s">
        <v>270</v>
      </c>
      <c r="B440" s="70"/>
      <c r="C440" s="70"/>
      <c r="D440" s="70"/>
      <c r="E440" s="70"/>
      <c r="F440" s="70"/>
      <c r="G440" s="70"/>
      <c r="H440" s="70"/>
      <c r="I440" s="58">
        <v>1</v>
      </c>
      <c r="L440" s="80"/>
      <c r="M440" s="80"/>
    </row>
    <row r="441" spans="1:14" s="19" customFormat="1" ht="15.75" customHeight="1">
      <c r="A441" s="72">
        <v>1</v>
      </c>
      <c r="B441" s="72"/>
      <c r="C441" s="54" t="s">
        <v>203</v>
      </c>
      <c r="D441" s="54">
        <f>(55.75)*10.764</f>
        <v>600.09299999999996</v>
      </c>
      <c r="E441" s="54">
        <f>(6)*10.764</f>
        <v>64.584000000000003</v>
      </c>
      <c r="F441" s="55">
        <f>D441+E441</f>
        <v>664.67699999999991</v>
      </c>
      <c r="G441" s="55">
        <v>0</v>
      </c>
      <c r="H441" s="55">
        <f>F441*(($H$151)+1)+(IF(G441&lt;101,G441,IF(G441&lt;201,G441/2,IF(G441&lt;=301,G441/3,G441/4))))</f>
        <v>1030.2493499999998</v>
      </c>
      <c r="I441" s="58"/>
      <c r="N441" s="58"/>
    </row>
    <row r="442" spans="1:14" s="19" customFormat="1" ht="15.75" customHeight="1">
      <c r="A442" s="72">
        <f>A441+1</f>
        <v>2</v>
      </c>
      <c r="B442" s="72"/>
      <c r="C442" s="54" t="s">
        <v>216</v>
      </c>
      <c r="D442" s="54">
        <f>(42.49)*10.764</f>
        <v>457.36235999999997</v>
      </c>
      <c r="E442" s="54">
        <f>(4.32)*10.764</f>
        <v>46.500480000000003</v>
      </c>
      <c r="F442" s="55">
        <f>D442+E442</f>
        <v>503.86283999999995</v>
      </c>
      <c r="G442" s="55">
        <v>0</v>
      </c>
      <c r="H442" s="55">
        <f>F442*(($H$151)+1)+(IF(G442&lt;101,G442,IF(G442&lt;201,G442/2,IF(G442&lt;=301,G442/3,G442/4))))</f>
        <v>780.98740199999997</v>
      </c>
      <c r="I442" s="58"/>
      <c r="N442" s="58"/>
    </row>
    <row r="443" spans="1:14" s="19" customFormat="1" ht="15.75" customHeight="1">
      <c r="A443" s="72">
        <f>A442+1</f>
        <v>3</v>
      </c>
      <c r="B443" s="72"/>
      <c r="C443" s="54" t="s">
        <v>216</v>
      </c>
      <c r="D443" s="54">
        <f>(43.01)*10.764</f>
        <v>462.95963999999992</v>
      </c>
      <c r="E443" s="54">
        <f>(4.32)*10.764</f>
        <v>46.500480000000003</v>
      </c>
      <c r="F443" s="55">
        <f>D443+E443</f>
        <v>509.4601199999999</v>
      </c>
      <c r="G443" s="55">
        <v>0</v>
      </c>
      <c r="H443" s="55">
        <f>F443*(($H$151)+1)+(IF(G443&lt;101,G443,IF(G443&lt;201,G443/2,IF(G443&lt;=301,G443/3,G443/4))))</f>
        <v>789.66318599999988</v>
      </c>
      <c r="I443" s="58"/>
      <c r="N443" s="58"/>
    </row>
    <row r="444" spans="1:14" s="19" customFormat="1" ht="15.75" customHeight="1">
      <c r="A444" s="72">
        <f>A443+1</f>
        <v>4</v>
      </c>
      <c r="B444" s="72"/>
      <c r="C444" s="54" t="s">
        <v>203</v>
      </c>
      <c r="D444" s="54">
        <f>(63.57)*10.764</f>
        <v>684.26747999999998</v>
      </c>
      <c r="E444" s="54">
        <f>(2.58)*10.764</f>
        <v>27.77112</v>
      </c>
      <c r="F444" s="55">
        <f>D444+E444</f>
        <v>712.03859999999997</v>
      </c>
      <c r="G444" s="55">
        <v>0</v>
      </c>
      <c r="H444" s="55">
        <f>F444*(($H$151)+1)+(IF(G444&lt;101,G444,IF(G444&lt;201,G444/2,IF(G444&lt;=301,G444/3,G444/4))))</f>
        <v>1103.6598300000001</v>
      </c>
      <c r="I444" s="58"/>
      <c r="N444" s="58"/>
    </row>
    <row r="445" spans="1:14" s="19" customFormat="1">
      <c r="A445" s="70" t="s">
        <v>277</v>
      </c>
      <c r="B445" s="70"/>
      <c r="C445" s="70"/>
      <c r="D445" s="70"/>
      <c r="E445" s="70"/>
      <c r="F445" s="70"/>
      <c r="G445" s="70"/>
      <c r="H445" s="70"/>
      <c r="I445" s="58">
        <v>3</v>
      </c>
      <c r="L445" s="80"/>
      <c r="M445" s="80"/>
    </row>
    <row r="446" spans="1:14" s="19" customFormat="1" ht="15.75" customHeight="1">
      <c r="A446" s="72">
        <v>1</v>
      </c>
      <c r="B446" s="72"/>
      <c r="C446" s="54" t="s">
        <v>203</v>
      </c>
      <c r="D446" s="54">
        <f>(55.75)*10.764</f>
        <v>600.09299999999996</v>
      </c>
      <c r="E446" s="54">
        <f>(6)*10.764</f>
        <v>64.584000000000003</v>
      </c>
      <c r="F446" s="55">
        <f>D446+E446</f>
        <v>664.67699999999991</v>
      </c>
      <c r="G446" s="55">
        <v>0</v>
      </c>
      <c r="H446" s="55">
        <f>F446*(($H$151)+1)+(IF(G446&lt;101,G446,IF(G446&lt;201,G446/2,IF(G446&lt;=301,G446/3,G446/4))))</f>
        <v>1030.2493499999998</v>
      </c>
      <c r="I446" s="58"/>
      <c r="N446" s="58"/>
    </row>
    <row r="447" spans="1:14" s="19" customFormat="1" ht="15.75" customHeight="1">
      <c r="A447" s="72">
        <f>A446+1</f>
        <v>2</v>
      </c>
      <c r="B447" s="72"/>
      <c r="C447" s="54" t="s">
        <v>216</v>
      </c>
      <c r="D447" s="54">
        <f>(42.49)*10.764</f>
        <v>457.36235999999997</v>
      </c>
      <c r="E447" s="54">
        <f>(4.32)*10.764</f>
        <v>46.500480000000003</v>
      </c>
      <c r="F447" s="55">
        <f>D447+E447</f>
        <v>503.86283999999995</v>
      </c>
      <c r="G447" s="55">
        <v>0</v>
      </c>
      <c r="H447" s="55">
        <f>F447*(($H$151)+1)+(IF(G447&lt;101,G447,IF(G447&lt;201,G447/2,IF(G447&lt;=301,G447/3,G447/4))))</f>
        <v>780.98740199999997</v>
      </c>
      <c r="I447" s="58"/>
      <c r="N447" s="58"/>
    </row>
    <row r="448" spans="1:14" s="19" customFormat="1" ht="15.75" customHeight="1">
      <c r="A448" s="72">
        <f>A447+1</f>
        <v>3</v>
      </c>
      <c r="B448" s="72"/>
      <c r="C448" s="54" t="s">
        <v>216</v>
      </c>
      <c r="D448" s="54">
        <f>(43.01)*10.764</f>
        <v>462.95963999999992</v>
      </c>
      <c r="E448" s="54">
        <f>(4.32)*10.764</f>
        <v>46.500480000000003</v>
      </c>
      <c r="F448" s="55">
        <f>D448+E448</f>
        <v>509.4601199999999</v>
      </c>
      <c r="G448" s="55">
        <v>0</v>
      </c>
      <c r="H448" s="55">
        <f>F448*(($H$151)+1)+(IF(G448&lt;101,G448,IF(G448&lt;201,G448/2,IF(G448&lt;=301,G448/3,G448/4))))</f>
        <v>789.66318599999988</v>
      </c>
      <c r="I448" s="58"/>
      <c r="N448" s="58"/>
    </row>
    <row r="449" spans="1:17" s="19" customFormat="1" ht="15.75" customHeight="1">
      <c r="A449" s="72">
        <f>A448+1</f>
        <v>4</v>
      </c>
      <c r="B449" s="72"/>
      <c r="C449" s="54" t="s">
        <v>203</v>
      </c>
      <c r="D449" s="54">
        <f>(63.57)*10.764</f>
        <v>684.26747999999998</v>
      </c>
      <c r="E449" s="54">
        <f>(2.58)*10.764</f>
        <v>27.77112</v>
      </c>
      <c r="F449" s="55">
        <f>D449+E449</f>
        <v>712.03859999999997</v>
      </c>
      <c r="G449" s="55">
        <v>0</v>
      </c>
      <c r="H449" s="55">
        <f>F449*(($H$151)+1)+(IF(G449&lt;101,G449,IF(G449&lt;201,G449/2,IF(G449&lt;=301,G449/3,G449/4))))</f>
        <v>1103.6598300000001</v>
      </c>
      <c r="I449" s="58"/>
      <c r="N449" s="58"/>
    </row>
    <row r="450" spans="1:17" s="19" customFormat="1">
      <c r="A450" s="70" t="s">
        <v>276</v>
      </c>
      <c r="B450" s="70"/>
      <c r="C450" s="70"/>
      <c r="D450" s="70"/>
      <c r="E450" s="70"/>
      <c r="F450" s="70"/>
      <c r="G450" s="70"/>
      <c r="H450" s="70"/>
      <c r="I450" s="58">
        <v>1</v>
      </c>
      <c r="L450" s="80"/>
      <c r="M450" s="80"/>
    </row>
    <row r="451" spans="1:17" s="19" customFormat="1" ht="15.75" customHeight="1">
      <c r="A451" s="72">
        <v>1</v>
      </c>
      <c r="B451" s="72"/>
      <c r="C451" s="73" t="s">
        <v>275</v>
      </c>
      <c r="D451" s="74"/>
      <c r="E451" s="74"/>
      <c r="F451" s="74"/>
      <c r="G451" s="74"/>
      <c r="H451" s="75"/>
      <c r="I451" s="58"/>
      <c r="N451" s="58"/>
    </row>
    <row r="452" spans="1:17" s="19" customFormat="1" ht="15.75" customHeight="1">
      <c r="A452" s="72">
        <f>A451+1</f>
        <v>2</v>
      </c>
      <c r="B452" s="72"/>
      <c r="C452" s="54" t="s">
        <v>216</v>
      </c>
      <c r="D452" s="54">
        <f>(42.49)*10.764</f>
        <v>457.36235999999997</v>
      </c>
      <c r="E452" s="54">
        <f>(4.32)*10.764</f>
        <v>46.500480000000003</v>
      </c>
      <c r="F452" s="55">
        <f>D452+E452</f>
        <v>503.86283999999995</v>
      </c>
      <c r="G452" s="55">
        <v>0</v>
      </c>
      <c r="H452" s="55">
        <f>F452*(($H$151)+1)+(IF(G452&lt;101,G452,IF(G452&lt;201,G452/2,IF(G452&lt;=301,G452/3,G452/4))))</f>
        <v>780.98740199999997</v>
      </c>
      <c r="I452" s="58"/>
      <c r="N452" s="58"/>
    </row>
    <row r="453" spans="1:17" s="19" customFormat="1" ht="15.75" customHeight="1">
      <c r="A453" s="72">
        <f>A452+1</f>
        <v>3</v>
      </c>
      <c r="B453" s="72"/>
      <c r="C453" s="54" t="s">
        <v>216</v>
      </c>
      <c r="D453" s="54">
        <f>(43.01)*10.764</f>
        <v>462.95963999999992</v>
      </c>
      <c r="E453" s="54">
        <f>(4.32)*10.764</f>
        <v>46.500480000000003</v>
      </c>
      <c r="F453" s="55">
        <f>D453+E453</f>
        <v>509.4601199999999</v>
      </c>
      <c r="G453" s="55">
        <v>0</v>
      </c>
      <c r="H453" s="55">
        <f>F453*(($H$151)+1)+(IF(G453&lt;101,G453,IF(G453&lt;201,G453/2,IF(G453&lt;=301,G453/3,G453/4))))</f>
        <v>789.66318599999988</v>
      </c>
      <c r="I453" s="58"/>
      <c r="N453" s="58"/>
    </row>
    <row r="454" spans="1:17" s="19" customFormat="1" ht="15.75" customHeight="1">
      <c r="A454" s="72">
        <f>A453+1</f>
        <v>4</v>
      </c>
      <c r="B454" s="72"/>
      <c r="C454" s="73" t="s">
        <v>219</v>
      </c>
      <c r="D454" s="74"/>
      <c r="E454" s="74"/>
      <c r="F454" s="74"/>
      <c r="G454" s="74"/>
      <c r="H454" s="75"/>
      <c r="I454" s="58"/>
      <c r="N454" s="58"/>
    </row>
    <row r="455" spans="1:17" s="19" customFormat="1">
      <c r="A455" s="70" t="s">
        <v>278</v>
      </c>
      <c r="B455" s="70"/>
      <c r="C455" s="70"/>
      <c r="D455" s="70"/>
      <c r="E455" s="70"/>
      <c r="F455" s="70"/>
      <c r="G455" s="70"/>
      <c r="H455" s="70"/>
      <c r="I455" s="58">
        <v>2</v>
      </c>
      <c r="L455" s="80"/>
      <c r="M455" s="80"/>
    </row>
    <row r="456" spans="1:17" s="19" customFormat="1" ht="15.75" customHeight="1">
      <c r="A456" s="72">
        <v>1</v>
      </c>
      <c r="B456" s="72"/>
      <c r="C456" s="54" t="s">
        <v>203</v>
      </c>
      <c r="D456" s="54">
        <f>(55.75)*10.764</f>
        <v>600.09299999999996</v>
      </c>
      <c r="E456" s="54">
        <f>(6)*10.764</f>
        <v>64.584000000000003</v>
      </c>
      <c r="F456" s="55">
        <f>D456+E456</f>
        <v>664.67699999999991</v>
      </c>
      <c r="G456" s="55">
        <v>0</v>
      </c>
      <c r="H456" s="55">
        <f>F456*(($H$151)+1)+(IF(G456&lt;101,G456,IF(G456&lt;201,G456/2,IF(G456&lt;=301,G456/3,G456/4))))</f>
        <v>1030.2493499999998</v>
      </c>
      <c r="I456" s="58"/>
      <c r="N456" s="58"/>
    </row>
    <row r="457" spans="1:17" s="19" customFormat="1" ht="15.75" customHeight="1">
      <c r="A457" s="72">
        <f>A456+1</f>
        <v>2</v>
      </c>
      <c r="B457" s="72"/>
      <c r="C457" s="54" t="s">
        <v>216</v>
      </c>
      <c r="D457" s="54">
        <f>(42.49)*10.764</f>
        <v>457.36235999999997</v>
      </c>
      <c r="E457" s="54">
        <f>(4.32)*10.764</f>
        <v>46.500480000000003</v>
      </c>
      <c r="F457" s="55">
        <f>D457+E457</f>
        <v>503.86283999999995</v>
      </c>
      <c r="G457" s="55">
        <v>0</v>
      </c>
      <c r="H457" s="55">
        <f>F457*(($H$151)+1)+(IF(G457&lt;101,G457,IF(G457&lt;201,G457/2,IF(G457&lt;=301,G457/3,G457/4))))</f>
        <v>780.98740199999997</v>
      </c>
      <c r="I457" s="58"/>
      <c r="N457" s="58"/>
    </row>
    <row r="458" spans="1:17" s="19" customFormat="1" ht="15.75" customHeight="1">
      <c r="A458" s="72">
        <f>A457+1</f>
        <v>3</v>
      </c>
      <c r="B458" s="72"/>
      <c r="C458" s="54" t="s">
        <v>216</v>
      </c>
      <c r="D458" s="54">
        <f>(43.01)*10.764</f>
        <v>462.95963999999992</v>
      </c>
      <c r="E458" s="54">
        <f>(4.32)*10.764</f>
        <v>46.500480000000003</v>
      </c>
      <c r="F458" s="55">
        <f>D458+E458</f>
        <v>509.4601199999999</v>
      </c>
      <c r="G458" s="55">
        <v>0</v>
      </c>
      <c r="H458" s="55">
        <f>F458*(($H$151)+1)+(IF(G458&lt;101,G458,IF(G458&lt;201,G458/2,IF(G458&lt;=301,G458/3,G458/4))))</f>
        <v>789.66318599999988</v>
      </c>
      <c r="I458" s="58"/>
      <c r="N458" s="58"/>
    </row>
    <row r="459" spans="1:17" s="19" customFormat="1" ht="15.75" customHeight="1">
      <c r="A459" s="73">
        <f>A458+1</f>
        <v>4</v>
      </c>
      <c r="B459" s="75"/>
      <c r="C459" s="73" t="s">
        <v>280</v>
      </c>
      <c r="D459" s="74"/>
      <c r="E459" s="74"/>
      <c r="F459" s="74"/>
      <c r="G459" s="74"/>
      <c r="H459" s="75"/>
      <c r="I459" s="58"/>
      <c r="N459" s="58"/>
    </row>
    <row r="460" spans="1:17" s="19" customFormat="1">
      <c r="A460" s="124" t="s">
        <v>183</v>
      </c>
      <c r="B460" s="125"/>
      <c r="C460" s="125"/>
      <c r="D460" s="125"/>
      <c r="E460" s="125"/>
      <c r="F460" s="125"/>
      <c r="G460" s="125"/>
      <c r="H460" s="126"/>
      <c r="I460" s="58"/>
      <c r="L460" s="80"/>
      <c r="M460" s="80"/>
    </row>
    <row r="461" spans="1:17" s="18" customFormat="1">
      <c r="A461" s="70" t="s">
        <v>199</v>
      </c>
      <c r="B461" s="70"/>
      <c r="C461" s="70"/>
      <c r="D461" s="70"/>
      <c r="E461" s="70"/>
      <c r="F461" s="70"/>
      <c r="G461" s="70"/>
      <c r="H461" s="70"/>
      <c r="I461" s="56"/>
      <c r="L461" s="71"/>
      <c r="M461" s="71"/>
    </row>
    <row r="462" spans="1:17" s="18" customFormat="1" ht="15.75" customHeight="1">
      <c r="A462" s="72">
        <v>1</v>
      </c>
      <c r="B462" s="72"/>
      <c r="C462" s="73" t="s">
        <v>217</v>
      </c>
      <c r="D462" s="74"/>
      <c r="E462" s="74"/>
      <c r="F462" s="74"/>
      <c r="G462" s="74"/>
      <c r="H462" s="75"/>
      <c r="I462" s="56"/>
      <c r="N462" s="56"/>
    </row>
    <row r="463" spans="1:17" s="18" customFormat="1" ht="15.75" customHeight="1">
      <c r="A463" s="72">
        <f>A462+1</f>
        <v>2</v>
      </c>
      <c r="B463" s="72"/>
      <c r="C463" s="54" t="s">
        <v>202</v>
      </c>
      <c r="D463" s="54">
        <f>(88.13)*10.764</f>
        <v>948.63131999999985</v>
      </c>
      <c r="E463" s="54">
        <f>(5.83)*10.764</f>
        <v>62.75412</v>
      </c>
      <c r="F463" s="55">
        <f>D463+E463</f>
        <v>1011.3854399999998</v>
      </c>
      <c r="G463" s="55">
        <v>0</v>
      </c>
      <c r="H463" s="55">
        <f>F463*(($H$151)+1)+(IF(G463&lt;101,G463,IF(G463&lt;201,G463/2,IF(G463&lt;=301,G463/3,G463/4))))</f>
        <v>1567.6474319999998</v>
      </c>
      <c r="I463" s="56"/>
      <c r="J463" s="56"/>
      <c r="N463" s="56"/>
      <c r="Q463" s="54">
        <v>10.763999999999999</v>
      </c>
    </row>
    <row r="464" spans="1:17" s="18" customFormat="1" ht="15.75" customHeight="1">
      <c r="A464" s="72">
        <f>A463+1</f>
        <v>3</v>
      </c>
      <c r="B464" s="72"/>
      <c r="C464" s="54" t="s">
        <v>216</v>
      </c>
      <c r="D464" s="54">
        <f>(46.65)*10.764</f>
        <v>502.14059999999995</v>
      </c>
      <c r="E464" s="54">
        <v>0</v>
      </c>
      <c r="F464" s="55">
        <f>D464+E464</f>
        <v>502.14059999999995</v>
      </c>
      <c r="G464" s="55">
        <v>0</v>
      </c>
      <c r="H464" s="55">
        <f>F464*(($H$151)+1)+(IF(G464&lt;101,G464,IF(G464&lt;201,G464/2,IF(G464&lt;=301,G464/3,G464/4))))</f>
        <v>778.31792999999993</v>
      </c>
      <c r="I464" s="56"/>
      <c r="J464" s="56"/>
      <c r="N464" s="56"/>
    </row>
    <row r="465" spans="1:14" s="18" customFormat="1" ht="15.75" customHeight="1">
      <c r="A465" s="72">
        <f>A464+1</f>
        <v>4</v>
      </c>
      <c r="B465" s="72"/>
      <c r="C465" s="73" t="s">
        <v>200</v>
      </c>
      <c r="D465" s="74"/>
      <c r="E465" s="74"/>
      <c r="F465" s="74"/>
      <c r="G465" s="74"/>
      <c r="H465" s="75"/>
      <c r="I465" s="57"/>
      <c r="N465" s="56"/>
    </row>
    <row r="466" spans="1:14" s="18" customFormat="1">
      <c r="A466" s="70" t="s">
        <v>204</v>
      </c>
      <c r="B466" s="70"/>
      <c r="C466" s="70"/>
      <c r="D466" s="70"/>
      <c r="E466" s="70"/>
      <c r="F466" s="70"/>
      <c r="G466" s="70"/>
      <c r="H466" s="70"/>
      <c r="I466" s="56"/>
      <c r="L466" s="71"/>
      <c r="M466" s="71"/>
    </row>
    <row r="467" spans="1:14" s="18" customFormat="1" ht="15.75" customHeight="1">
      <c r="A467" s="72">
        <v>1</v>
      </c>
      <c r="B467" s="72"/>
      <c r="C467" s="73" t="s">
        <v>217</v>
      </c>
      <c r="D467" s="74"/>
      <c r="E467" s="74"/>
      <c r="F467" s="74"/>
      <c r="G467" s="74" t="str">
        <f>A466</f>
        <v>2nd to 4th Floor</v>
      </c>
      <c r="H467" s="75"/>
      <c r="I467" s="56"/>
      <c r="N467" s="56"/>
    </row>
    <row r="468" spans="1:14" s="18" customFormat="1" ht="15.75" customHeight="1">
      <c r="A468" s="72">
        <f>A467+1</f>
        <v>2</v>
      </c>
      <c r="B468" s="72"/>
      <c r="C468" s="54" t="s">
        <v>202</v>
      </c>
      <c r="D468" s="54">
        <f>(88.13)*10.764</f>
        <v>948.63131999999985</v>
      </c>
      <c r="E468" s="54">
        <f>(5.83)*10.764</f>
        <v>62.75412</v>
      </c>
      <c r="F468" s="55">
        <f>D468+E468</f>
        <v>1011.3854399999998</v>
      </c>
      <c r="G468" s="55">
        <v>0</v>
      </c>
      <c r="H468" s="55">
        <f>F468*(($H$151)+1)+(IF(G468&lt;101,G468,IF(G468&lt;201,G468/2,IF(G468&lt;=301,G468/3,G468/4))))</f>
        <v>1567.6474319999998</v>
      </c>
      <c r="I468" s="56"/>
      <c r="N468" s="56"/>
    </row>
    <row r="469" spans="1:14" s="18" customFormat="1" ht="15.75" customHeight="1">
      <c r="A469" s="72">
        <f>A468+1</f>
        <v>3</v>
      </c>
      <c r="B469" s="72"/>
      <c r="C469" s="54" t="s">
        <v>216</v>
      </c>
      <c r="D469" s="54">
        <f>(46.65)*10.764</f>
        <v>502.14059999999995</v>
      </c>
      <c r="E469" s="54">
        <v>0</v>
      </c>
      <c r="F469" s="55">
        <f>D469+E469</f>
        <v>502.14059999999995</v>
      </c>
      <c r="G469" s="55">
        <v>0</v>
      </c>
      <c r="H469" s="55">
        <f>F469*(($H$151)+1)+(IF(G469&lt;101,G469,IF(G469&lt;201,G469/2,IF(G469&lt;=301,G469/3,G469/4))))</f>
        <v>778.31792999999993</v>
      </c>
      <c r="I469" s="56"/>
      <c r="N469" s="56"/>
    </row>
    <row r="470" spans="1:14" s="18" customFormat="1" ht="15.75" customHeight="1">
      <c r="A470" s="72">
        <f>A469+1</f>
        <v>4</v>
      </c>
      <c r="B470" s="72"/>
      <c r="C470" s="73" t="s">
        <v>218</v>
      </c>
      <c r="D470" s="74"/>
      <c r="E470" s="74"/>
      <c r="F470" s="74"/>
      <c r="G470" s="74"/>
      <c r="H470" s="75"/>
      <c r="I470" s="56"/>
      <c r="N470" s="56"/>
    </row>
    <row r="471" spans="1:14" s="18" customFormat="1">
      <c r="A471" s="70" t="s">
        <v>205</v>
      </c>
      <c r="B471" s="70"/>
      <c r="C471" s="70"/>
      <c r="D471" s="70"/>
      <c r="E471" s="70"/>
      <c r="F471" s="70"/>
      <c r="G471" s="70"/>
      <c r="H471" s="70"/>
      <c r="I471" s="56"/>
      <c r="L471" s="71"/>
      <c r="M471" s="71"/>
    </row>
    <row r="472" spans="1:14" s="18" customFormat="1" ht="15.75" customHeight="1">
      <c r="A472" s="72">
        <v>1</v>
      </c>
      <c r="B472" s="72"/>
      <c r="C472" s="73" t="s">
        <v>222</v>
      </c>
      <c r="D472" s="74"/>
      <c r="E472" s="74"/>
      <c r="F472" s="74"/>
      <c r="G472" s="74" t="str">
        <f>A471</f>
        <v>5th, 16th to 18th Floor</v>
      </c>
      <c r="H472" s="75"/>
      <c r="I472" s="56"/>
      <c r="N472" s="56"/>
    </row>
    <row r="473" spans="1:14" s="18" customFormat="1" ht="15.75" customHeight="1">
      <c r="A473" s="72">
        <f>A472+1</f>
        <v>2</v>
      </c>
      <c r="B473" s="72"/>
      <c r="C473" s="54" t="s">
        <v>202</v>
      </c>
      <c r="D473" s="54">
        <f>(88.13)*10.764</f>
        <v>948.63131999999985</v>
      </c>
      <c r="E473" s="54">
        <f>(5.83)*10.764</f>
        <v>62.75412</v>
      </c>
      <c r="F473" s="55">
        <f>D473+E473</f>
        <v>1011.3854399999998</v>
      </c>
      <c r="G473" s="55">
        <v>0</v>
      </c>
      <c r="H473" s="55">
        <f>F473*(($H$151)+1)+(IF(G473&lt;101,G473,IF(G473&lt;201,G473/2,IF(G473&lt;=301,G473/3,G473/4))))</f>
        <v>1567.6474319999998</v>
      </c>
      <c r="I473" s="56"/>
      <c r="N473" s="56"/>
    </row>
    <row r="474" spans="1:14" s="18" customFormat="1" ht="15.75" customHeight="1">
      <c r="A474" s="72">
        <f>A473+1</f>
        <v>3</v>
      </c>
      <c r="B474" s="72"/>
      <c r="C474" s="54" t="s">
        <v>216</v>
      </c>
      <c r="D474" s="54">
        <f>(46.65)*10.764</f>
        <v>502.14059999999995</v>
      </c>
      <c r="E474" s="54">
        <v>0</v>
      </c>
      <c r="F474" s="55">
        <f>D474+E474</f>
        <v>502.14059999999995</v>
      </c>
      <c r="G474" s="55">
        <v>0</v>
      </c>
      <c r="H474" s="55">
        <f>F474*(($H$151)+1)+(IF(G474&lt;101,G474,IF(G474&lt;201,G474/2,IF(G474&lt;=301,G474/3,G474/4))))</f>
        <v>778.31792999999993</v>
      </c>
      <c r="I474" s="56"/>
      <c r="N474" s="56"/>
    </row>
    <row r="475" spans="1:14" s="18" customFormat="1" ht="15.75" customHeight="1">
      <c r="A475" s="72">
        <f>A474+1</f>
        <v>4</v>
      </c>
      <c r="B475" s="72"/>
      <c r="C475" s="54" t="s">
        <v>202</v>
      </c>
      <c r="D475" s="54">
        <f>(79.37)*10.764</f>
        <v>854.33867999999995</v>
      </c>
      <c r="E475" s="54">
        <f>(1.93)*10.764</f>
        <v>20.774519999999999</v>
      </c>
      <c r="F475" s="55">
        <f>D475+E475</f>
        <v>875.11320000000001</v>
      </c>
      <c r="G475" s="55">
        <v>0</v>
      </c>
      <c r="H475" s="55">
        <f>F475*(($H$151)+1)+(IF(G475&lt;101,G475,IF(G475&lt;201,G475/2,IF(G475&lt;=301,G475/3,G475/4))))</f>
        <v>1356.4254600000002</v>
      </c>
      <c r="I475" s="56"/>
      <c r="N475" s="56"/>
    </row>
    <row r="476" spans="1:14" s="18" customFormat="1">
      <c r="A476" s="70" t="s">
        <v>206</v>
      </c>
      <c r="B476" s="70"/>
      <c r="C476" s="70"/>
      <c r="D476" s="70"/>
      <c r="E476" s="70"/>
      <c r="F476" s="70"/>
      <c r="G476" s="70"/>
      <c r="H476" s="70"/>
      <c r="I476" s="56"/>
      <c r="L476" s="71"/>
      <c r="M476" s="71"/>
    </row>
    <row r="477" spans="1:14" s="18" customFormat="1" ht="15.75" customHeight="1">
      <c r="A477" s="72">
        <v>1</v>
      </c>
      <c r="B477" s="72"/>
      <c r="C477" s="54" t="s">
        <v>203</v>
      </c>
      <c r="D477" s="54">
        <f>(63.73)*10.764</f>
        <v>685.98971999999992</v>
      </c>
      <c r="E477" s="54">
        <f>(2.58)*10.764</f>
        <v>27.77112</v>
      </c>
      <c r="F477" s="55">
        <f>D477+E477</f>
        <v>713.76083999999992</v>
      </c>
      <c r="G477" s="55">
        <v>0</v>
      </c>
      <c r="H477" s="55">
        <f>F477*(($H$151)+1)+(IF(G477&lt;101,G477,IF(G477&lt;201,G477/2,IF(G477&lt;=301,G477/3,G477/4))))</f>
        <v>1106.3293019999999</v>
      </c>
      <c r="I477" s="56"/>
      <c r="N477" s="56"/>
    </row>
    <row r="478" spans="1:14" s="18" customFormat="1" ht="15.75" customHeight="1">
      <c r="A478" s="72">
        <f>A477+1</f>
        <v>2</v>
      </c>
      <c r="B478" s="72"/>
      <c r="C478" s="54" t="s">
        <v>202</v>
      </c>
      <c r="D478" s="54">
        <f>(88.13)*10.764</f>
        <v>948.63131999999985</v>
      </c>
      <c r="E478" s="54">
        <f>(5.83)*10.764</f>
        <v>62.75412</v>
      </c>
      <c r="F478" s="55">
        <f>D478+E478</f>
        <v>1011.3854399999998</v>
      </c>
      <c r="G478" s="55">
        <v>0</v>
      </c>
      <c r="H478" s="55">
        <f>F478*(($H$151)+1)+(IF(G478&lt;101,G478,IF(G478&lt;201,G478/2,IF(G478&lt;=301,G478/3,G478/4))))</f>
        <v>1567.6474319999998</v>
      </c>
      <c r="I478" s="56"/>
      <c r="J478" s="56"/>
      <c r="N478" s="56"/>
    </row>
    <row r="479" spans="1:14" s="18" customFormat="1" ht="15.75" customHeight="1">
      <c r="A479" s="72">
        <f>A478+1</f>
        <v>3</v>
      </c>
      <c r="B479" s="72"/>
      <c r="C479" s="54" t="s">
        <v>216</v>
      </c>
      <c r="D479" s="54">
        <f>(46.65)*10.764</f>
        <v>502.14059999999995</v>
      </c>
      <c r="E479" s="54">
        <v>0</v>
      </c>
      <c r="F479" s="55">
        <f>D479+E479</f>
        <v>502.14059999999995</v>
      </c>
      <c r="G479" s="55">
        <v>0</v>
      </c>
      <c r="H479" s="55">
        <f>F479*(($H$151)+1)+(IF(G479&lt;101,G479,IF(G479&lt;201,G479/2,IF(G479&lt;=301,G479/3,G479/4))))</f>
        <v>778.31792999999993</v>
      </c>
      <c r="I479" s="56"/>
      <c r="J479" s="56"/>
      <c r="N479" s="56"/>
    </row>
    <row r="480" spans="1:14" s="18" customFormat="1" ht="15.75" customHeight="1">
      <c r="A480" s="72">
        <f>A479+1</f>
        <v>4</v>
      </c>
      <c r="B480" s="72"/>
      <c r="C480" s="73" t="s">
        <v>200</v>
      </c>
      <c r="D480" s="74"/>
      <c r="E480" s="74"/>
      <c r="F480" s="74"/>
      <c r="G480" s="74"/>
      <c r="H480" s="75"/>
      <c r="I480" s="57"/>
      <c r="N480" s="56"/>
    </row>
    <row r="481" spans="1:14" s="18" customFormat="1">
      <c r="A481" s="70" t="s">
        <v>207</v>
      </c>
      <c r="B481" s="70"/>
      <c r="C481" s="70"/>
      <c r="D481" s="70"/>
      <c r="E481" s="70"/>
      <c r="F481" s="70"/>
      <c r="G481" s="70"/>
      <c r="H481" s="70"/>
      <c r="I481" s="56"/>
      <c r="L481" s="71"/>
      <c r="M481" s="71"/>
    </row>
    <row r="482" spans="1:14" s="18" customFormat="1" ht="15.75" customHeight="1">
      <c r="A482" s="72">
        <v>1</v>
      </c>
      <c r="B482" s="72"/>
      <c r="C482" s="54" t="s">
        <v>203</v>
      </c>
      <c r="D482" s="54">
        <f>(63.73)*10.764</f>
        <v>685.98971999999992</v>
      </c>
      <c r="E482" s="54">
        <f>(2.58)*10.764</f>
        <v>27.77112</v>
      </c>
      <c r="F482" s="55">
        <f>D482+E482</f>
        <v>713.76083999999992</v>
      </c>
      <c r="G482" s="55">
        <v>0</v>
      </c>
      <c r="H482" s="55">
        <f>F482*(($H$151)+1)+(IF(G482&lt;101,G482,IF(G482&lt;201,G482/2,IF(G482&lt;=301,G482/3,G482/4))))</f>
        <v>1106.3293019999999</v>
      </c>
      <c r="I482" s="56"/>
      <c r="N482" s="56"/>
    </row>
    <row r="483" spans="1:14" s="18" customFormat="1" ht="15.75" customHeight="1">
      <c r="A483" s="72">
        <f>A482+1</f>
        <v>2</v>
      </c>
      <c r="B483" s="72"/>
      <c r="C483" s="54" t="s">
        <v>202</v>
      </c>
      <c r="D483" s="54">
        <f>(88.13)*10.764</f>
        <v>948.63131999999985</v>
      </c>
      <c r="E483" s="54">
        <f>(5.83)*10.764</f>
        <v>62.75412</v>
      </c>
      <c r="F483" s="55">
        <f>D483+E483</f>
        <v>1011.3854399999998</v>
      </c>
      <c r="G483" s="55">
        <v>0</v>
      </c>
      <c r="H483" s="55">
        <f>F483*(($H$151)+1)+(IF(G483&lt;101,G483,IF(G483&lt;201,G483/2,IF(G483&lt;=301,G483/3,G483/4))))</f>
        <v>1567.6474319999998</v>
      </c>
      <c r="I483" s="56"/>
      <c r="N483" s="56"/>
    </row>
    <row r="484" spans="1:14" s="18" customFormat="1" ht="15.75" customHeight="1">
      <c r="A484" s="72">
        <f>A483+1</f>
        <v>3</v>
      </c>
      <c r="B484" s="72"/>
      <c r="C484" s="54" t="s">
        <v>216</v>
      </c>
      <c r="D484" s="54">
        <f>(46.65)*10.764</f>
        <v>502.14059999999995</v>
      </c>
      <c r="E484" s="54">
        <v>0</v>
      </c>
      <c r="F484" s="55">
        <f>D484+E484</f>
        <v>502.14059999999995</v>
      </c>
      <c r="G484" s="55">
        <v>0</v>
      </c>
      <c r="H484" s="55">
        <f>F484*(($H$151)+1)+(IF(G484&lt;101,G484,IF(G484&lt;201,G484/2,IF(G484&lt;=301,G484/3,G484/4))))</f>
        <v>778.31792999999993</v>
      </c>
      <c r="I484" s="56"/>
      <c r="N484" s="56"/>
    </row>
    <row r="485" spans="1:14" s="18" customFormat="1" ht="15.75" customHeight="1">
      <c r="A485" s="72">
        <f>A484+1</f>
        <v>4</v>
      </c>
      <c r="B485" s="72"/>
      <c r="C485" s="54" t="s">
        <v>202</v>
      </c>
      <c r="D485" s="54">
        <f>(79.37)*10.764</f>
        <v>854.33867999999995</v>
      </c>
      <c r="E485" s="54">
        <f>(1.93)*10.764</f>
        <v>20.774519999999999</v>
      </c>
      <c r="F485" s="55">
        <f>D485+E485</f>
        <v>875.11320000000001</v>
      </c>
      <c r="G485" s="55">
        <v>0</v>
      </c>
      <c r="H485" s="55">
        <f>F485*(($H$151)+1)+(IF(G485&lt;101,G485,IF(G485&lt;201,G485/2,IF(G485&lt;=301,G485/3,G485/4))))</f>
        <v>1356.4254600000002</v>
      </c>
      <c r="I485" s="56"/>
      <c r="N485" s="56"/>
    </row>
    <row r="486" spans="1:14" s="18" customFormat="1">
      <c r="A486" s="70" t="s">
        <v>208</v>
      </c>
      <c r="B486" s="70"/>
      <c r="C486" s="70"/>
      <c r="D486" s="70"/>
      <c r="E486" s="70"/>
      <c r="F486" s="70"/>
      <c r="G486" s="70"/>
      <c r="H486" s="70"/>
      <c r="I486" s="56"/>
      <c r="L486" s="71"/>
      <c r="M486" s="71"/>
    </row>
    <row r="487" spans="1:14" s="18" customFormat="1" ht="15.75" customHeight="1">
      <c r="A487" s="72">
        <v>1</v>
      </c>
      <c r="B487" s="72"/>
      <c r="C487" s="73" t="s">
        <v>219</v>
      </c>
      <c r="D487" s="74"/>
      <c r="E487" s="74"/>
      <c r="F487" s="74"/>
      <c r="G487" s="74" t="str">
        <f>A486</f>
        <v>15th Floor for Residential (Part Refuge Area)</v>
      </c>
      <c r="H487" s="75"/>
      <c r="I487" s="56"/>
      <c r="N487" s="56"/>
    </row>
    <row r="488" spans="1:14" s="18" customFormat="1" ht="15.75" customHeight="1">
      <c r="A488" s="72">
        <f>A487+1</f>
        <v>2</v>
      </c>
      <c r="B488" s="72"/>
      <c r="C488" s="54" t="s">
        <v>202</v>
      </c>
      <c r="D488" s="54">
        <f>(88.13)*10.764</f>
        <v>948.63131999999985</v>
      </c>
      <c r="E488" s="54">
        <f>(5.83)*10.764</f>
        <v>62.75412</v>
      </c>
      <c r="F488" s="55">
        <f>D488+E488</f>
        <v>1011.3854399999998</v>
      </c>
      <c r="G488" s="55">
        <v>0</v>
      </c>
      <c r="H488" s="55">
        <f>F488*(($H$151)+1)+(IF(G488&lt;101,G488,IF(G488&lt;201,G488/2,IF(G488&lt;=301,G488/3,G488/4))))</f>
        <v>1567.6474319999998</v>
      </c>
      <c r="I488" s="56"/>
      <c r="J488" s="56"/>
      <c r="N488" s="56"/>
    </row>
    <row r="489" spans="1:14" s="18" customFormat="1" ht="15.75" customHeight="1">
      <c r="A489" s="72">
        <f>A488+1</f>
        <v>3</v>
      </c>
      <c r="B489" s="72"/>
      <c r="C489" s="54" t="s">
        <v>216</v>
      </c>
      <c r="D489" s="54">
        <f>(46.65)*10.764</f>
        <v>502.14059999999995</v>
      </c>
      <c r="E489" s="54">
        <v>0</v>
      </c>
      <c r="F489" s="55">
        <f>D489+E489</f>
        <v>502.14059999999995</v>
      </c>
      <c r="G489" s="55">
        <v>0</v>
      </c>
      <c r="H489" s="55">
        <f>F489*(($H$151)+1)+(IF(G489&lt;101,G489,IF(G489&lt;201,G489/2,IF(G489&lt;=301,G489/3,G489/4))))</f>
        <v>778.31792999999993</v>
      </c>
      <c r="I489" s="56"/>
      <c r="J489" s="56"/>
      <c r="N489" s="56"/>
    </row>
    <row r="490" spans="1:14" s="18" customFormat="1" ht="15.75" customHeight="1">
      <c r="A490" s="72">
        <f>A489+1</f>
        <v>4</v>
      </c>
      <c r="B490" s="72"/>
      <c r="C490" s="73" t="s">
        <v>200</v>
      </c>
      <c r="D490" s="74"/>
      <c r="E490" s="74"/>
      <c r="F490" s="74"/>
      <c r="G490" s="74"/>
      <c r="H490" s="75"/>
      <c r="I490" s="57"/>
      <c r="N490" s="56"/>
    </row>
    <row r="491" spans="1:14" s="19" customFormat="1">
      <c r="A491" s="70" t="s">
        <v>209</v>
      </c>
      <c r="B491" s="70"/>
      <c r="C491" s="70"/>
      <c r="D491" s="70"/>
      <c r="E491" s="70"/>
      <c r="F491" s="70"/>
      <c r="G491" s="70"/>
      <c r="H491" s="70"/>
      <c r="I491" s="58"/>
      <c r="L491" s="80"/>
      <c r="M491" s="80"/>
    </row>
    <row r="492" spans="1:14" s="19" customFormat="1">
      <c r="A492" s="79" t="s">
        <v>210</v>
      </c>
      <c r="B492" s="79"/>
      <c r="C492" s="79"/>
      <c r="D492" s="79"/>
      <c r="E492" s="79"/>
      <c r="F492" s="79"/>
      <c r="G492" s="79"/>
      <c r="H492" s="79"/>
      <c r="I492" s="58"/>
      <c r="L492" s="80"/>
      <c r="M492" s="80"/>
    </row>
    <row r="493" spans="1:14" s="18" customFormat="1" ht="15.75" customHeight="1">
      <c r="A493" s="72">
        <v>1</v>
      </c>
      <c r="B493" s="72"/>
      <c r="C493" s="54" t="s">
        <v>203</v>
      </c>
      <c r="D493" s="54">
        <f>(63.73)*10.764</f>
        <v>685.98971999999992</v>
      </c>
      <c r="E493" s="54">
        <f>(2.58)*10.764</f>
        <v>27.77112</v>
      </c>
      <c r="F493" s="55">
        <f>D493+E493</f>
        <v>713.76083999999992</v>
      </c>
      <c r="G493" s="55">
        <v>0</v>
      </c>
      <c r="H493" s="55">
        <f>F493*(($H$151)+1)+(IF(G493&lt;101,G493,IF(G493&lt;201,G493/2,IF(G493&lt;=301,G493/3,G493/4))))</f>
        <v>1106.3293019999999</v>
      </c>
      <c r="I493" s="56"/>
      <c r="N493" s="56"/>
    </row>
    <row r="494" spans="1:14" s="18" customFormat="1" ht="15.75" customHeight="1">
      <c r="A494" s="72">
        <f>A493+1</f>
        <v>2</v>
      </c>
      <c r="B494" s="72"/>
      <c r="C494" s="54" t="s">
        <v>202</v>
      </c>
      <c r="D494" s="54">
        <f>(88.13)*10.764</f>
        <v>948.63131999999985</v>
      </c>
      <c r="E494" s="54">
        <f>(5.83)*10.764</f>
        <v>62.75412</v>
      </c>
      <c r="F494" s="55">
        <f>D494+E494</f>
        <v>1011.3854399999998</v>
      </c>
      <c r="G494" s="55">
        <v>0</v>
      </c>
      <c r="H494" s="55">
        <f>F494*(($H$151)+1)+(IF(G494&lt;101,G494,IF(G494&lt;201,G494/2,IF(G494&lt;=301,G494/3,G494/4))))</f>
        <v>1567.6474319999998</v>
      </c>
      <c r="I494" s="56"/>
      <c r="J494" s="56"/>
      <c r="N494" s="56"/>
    </row>
    <row r="495" spans="1:14" s="18" customFormat="1" ht="15.75" customHeight="1">
      <c r="A495" s="72">
        <f>A494+1</f>
        <v>3</v>
      </c>
      <c r="B495" s="72"/>
      <c r="C495" s="54" t="s">
        <v>216</v>
      </c>
      <c r="D495" s="54">
        <f>(46.65)*10.764</f>
        <v>502.14059999999995</v>
      </c>
      <c r="E495" s="54">
        <v>0</v>
      </c>
      <c r="F495" s="55">
        <f>D495+E495</f>
        <v>502.14059999999995</v>
      </c>
      <c r="G495" s="55">
        <v>0</v>
      </c>
      <c r="H495" s="55">
        <f>F495*(($H$151)+1)+(IF(G495&lt;101,G495,IF(G495&lt;201,G495/2,IF(G495&lt;=301,G495/3,G495/4))))</f>
        <v>778.31792999999993</v>
      </c>
      <c r="I495" s="56"/>
      <c r="J495" s="56"/>
      <c r="N495" s="56"/>
    </row>
    <row r="496" spans="1:14" s="18" customFormat="1" ht="15.75" customHeight="1">
      <c r="A496" s="72">
        <f>A495+1</f>
        <v>4</v>
      </c>
      <c r="B496" s="72"/>
      <c r="C496" s="73" t="s">
        <v>200</v>
      </c>
      <c r="D496" s="74"/>
      <c r="E496" s="74"/>
      <c r="F496" s="74"/>
      <c r="G496" s="74"/>
      <c r="H496" s="75"/>
      <c r="I496" s="57"/>
      <c r="N496" s="56"/>
    </row>
    <row r="497" spans="1:14" s="19" customFormat="1">
      <c r="A497" s="79" t="s">
        <v>211</v>
      </c>
      <c r="B497" s="79"/>
      <c r="C497" s="79"/>
      <c r="D497" s="79"/>
      <c r="E497" s="79"/>
      <c r="F497" s="79"/>
      <c r="G497" s="79"/>
      <c r="H497" s="79"/>
      <c r="I497" s="58"/>
      <c r="L497" s="80"/>
      <c r="M497" s="80"/>
    </row>
    <row r="498" spans="1:14" s="19" customFormat="1" ht="15.75" customHeight="1">
      <c r="A498" s="69">
        <v>1</v>
      </c>
      <c r="B498" s="69"/>
      <c r="C498" s="54" t="s">
        <v>203</v>
      </c>
      <c r="D498" s="54">
        <f>(63.73)*10.764</f>
        <v>685.98971999999992</v>
      </c>
      <c r="E498" s="54">
        <f>(2.58)*10.764</f>
        <v>27.77112</v>
      </c>
      <c r="F498" s="55">
        <f>D498+E498</f>
        <v>713.76083999999992</v>
      </c>
      <c r="G498" s="55">
        <v>0</v>
      </c>
      <c r="H498" s="55">
        <f>F498*(($H$151)+1)+(IF(G498&lt;101,G498,IF(G498&lt;201,G498/2,IF(G498&lt;=301,G498/3,G498/4))))</f>
        <v>1106.3293019999999</v>
      </c>
      <c r="I498" s="58"/>
      <c r="N498" s="58"/>
    </row>
    <row r="499" spans="1:14" s="19" customFormat="1" ht="15.75" customHeight="1">
      <c r="A499" s="69">
        <f>A498+1</f>
        <v>2</v>
      </c>
      <c r="B499" s="69"/>
      <c r="C499" s="54" t="s">
        <v>202</v>
      </c>
      <c r="D499" s="54">
        <f>(88.13)*10.764</f>
        <v>948.63131999999985</v>
      </c>
      <c r="E499" s="54">
        <f>(5.83)*10.764</f>
        <v>62.75412</v>
      </c>
      <c r="F499" s="55">
        <f>D499+E499</f>
        <v>1011.3854399999998</v>
      </c>
      <c r="G499" s="55">
        <v>0</v>
      </c>
      <c r="H499" s="55">
        <f>F499*(($H$151)+1)+(IF(G499&lt;101,G499,IF(G499&lt;201,G499/2,IF(G499&lt;=301,G499/3,G499/4))))</f>
        <v>1567.6474319999998</v>
      </c>
      <c r="I499" s="58"/>
      <c r="N499" s="58"/>
    </row>
    <row r="500" spans="1:14" s="19" customFormat="1" ht="15.75" customHeight="1">
      <c r="A500" s="69">
        <f>A499+1</f>
        <v>3</v>
      </c>
      <c r="B500" s="69"/>
      <c r="C500" s="54" t="s">
        <v>216</v>
      </c>
      <c r="D500" s="54">
        <f>(46.65)*10.764</f>
        <v>502.14059999999995</v>
      </c>
      <c r="E500" s="54">
        <v>0</v>
      </c>
      <c r="F500" s="55">
        <f t="shared" ref="F500:F501" si="16">D500+E500</f>
        <v>502.14059999999995</v>
      </c>
      <c r="G500" s="55">
        <v>0</v>
      </c>
      <c r="H500" s="55">
        <f>F500*(($H$151)+1)+(IF(G500&lt;101,G500,IF(G500&lt;201,G500/2,IF(G500&lt;=301,G500/3,G500/4))))</f>
        <v>778.31792999999993</v>
      </c>
      <c r="I500" s="58"/>
      <c r="N500" s="58"/>
    </row>
    <row r="501" spans="1:14" s="19" customFormat="1" ht="15.75" customHeight="1">
      <c r="A501" s="69">
        <f>A500+1</f>
        <v>4</v>
      </c>
      <c r="B501" s="69"/>
      <c r="C501" s="54" t="s">
        <v>202</v>
      </c>
      <c r="D501" s="54">
        <f>(79.37)*10.764</f>
        <v>854.33867999999995</v>
      </c>
      <c r="E501" s="54">
        <f>(1.93)*10.764</f>
        <v>20.774519999999999</v>
      </c>
      <c r="F501" s="55">
        <f t="shared" si="16"/>
        <v>875.11320000000001</v>
      </c>
      <c r="G501" s="55">
        <v>0</v>
      </c>
      <c r="H501" s="55">
        <f>F501*(($H$151)+1)+(IF(G501&lt;101,G501,IF(G501&lt;201,G501/2,IF(G501&lt;=301,G501/3,G501/4))))</f>
        <v>1356.4254600000002</v>
      </c>
      <c r="I501" s="58"/>
      <c r="N501" s="58"/>
    </row>
    <row r="502" spans="1:14" s="19" customFormat="1">
      <c r="A502" s="79" t="s">
        <v>212</v>
      </c>
      <c r="B502" s="79"/>
      <c r="C502" s="79"/>
      <c r="D502" s="79"/>
      <c r="E502" s="79"/>
      <c r="F502" s="79"/>
      <c r="G502" s="79"/>
      <c r="H502" s="79"/>
      <c r="I502" s="58"/>
      <c r="L502" s="80"/>
      <c r="M502" s="80"/>
    </row>
    <row r="503" spans="1:14" s="19" customFormat="1" ht="15.75" customHeight="1">
      <c r="A503" s="69">
        <v>1</v>
      </c>
      <c r="B503" s="69"/>
      <c r="C503" s="54" t="s">
        <v>203</v>
      </c>
      <c r="D503" s="54">
        <f>(63.73)*10.764</f>
        <v>685.98971999999992</v>
      </c>
      <c r="E503" s="54">
        <f>(2.58)*10.764</f>
        <v>27.77112</v>
      </c>
      <c r="F503" s="55">
        <f>D503+E503</f>
        <v>713.76083999999992</v>
      </c>
      <c r="G503" s="55">
        <v>0</v>
      </c>
      <c r="H503" s="55">
        <f>F503*(($H$151)+1)+(IF(G503&lt;101,G503,IF(G503&lt;201,G503/2,IF(G503&lt;=301,G503/3,G503/4))))</f>
        <v>1106.3293019999999</v>
      </c>
      <c r="I503" s="58"/>
      <c r="N503" s="58"/>
    </row>
    <row r="504" spans="1:14" s="19" customFormat="1" ht="15.75" customHeight="1">
      <c r="A504" s="69">
        <f>A503+1</f>
        <v>2</v>
      </c>
      <c r="B504" s="69"/>
      <c r="C504" s="54" t="s">
        <v>202</v>
      </c>
      <c r="D504" s="54">
        <f>(88.13)*10.764</f>
        <v>948.63131999999985</v>
      </c>
      <c r="E504" s="54">
        <f>(5.83)*10.764</f>
        <v>62.75412</v>
      </c>
      <c r="F504" s="55">
        <f>D504+E504</f>
        <v>1011.3854399999998</v>
      </c>
      <c r="G504" s="55">
        <v>0</v>
      </c>
      <c r="H504" s="55">
        <f>F504*(($H$151)+1)+(IF(G504&lt;101,G504,IF(G504&lt;201,G504/2,IF(G504&lt;=301,G504/3,G504/4))))</f>
        <v>1567.6474319999998</v>
      </c>
      <c r="I504" s="58"/>
      <c r="N504" s="58"/>
    </row>
    <row r="505" spans="1:14" s="19" customFormat="1" ht="15.75" customHeight="1">
      <c r="A505" s="69">
        <f>A504+1</f>
        <v>3</v>
      </c>
      <c r="B505" s="69"/>
      <c r="C505" s="54" t="s">
        <v>216</v>
      </c>
      <c r="D505" s="54">
        <f>(46.65)*10.764</f>
        <v>502.14059999999995</v>
      </c>
      <c r="E505" s="54">
        <v>0</v>
      </c>
      <c r="F505" s="55">
        <f t="shared" ref="F505" si="17">D505+E505</f>
        <v>502.14059999999995</v>
      </c>
      <c r="G505" s="55">
        <v>0</v>
      </c>
      <c r="H505" s="55">
        <f>F505*(($H$151)+1)+(IF(G505&lt;101,G505,IF(G505&lt;201,G505/2,IF(G505&lt;=301,G505/3,G505/4))))</f>
        <v>778.31792999999993</v>
      </c>
      <c r="I505" s="58"/>
      <c r="N505" s="58"/>
    </row>
    <row r="506" spans="1:14" s="19" customFormat="1" ht="15.75" customHeight="1">
      <c r="A506" s="69">
        <f>A505+1</f>
        <v>4</v>
      </c>
      <c r="B506" s="69"/>
      <c r="C506" s="73" t="s">
        <v>200</v>
      </c>
      <c r="D506" s="74"/>
      <c r="E506" s="74"/>
      <c r="F506" s="74"/>
      <c r="G506" s="74"/>
      <c r="H506" s="75"/>
      <c r="I506" s="58"/>
      <c r="N506" s="58"/>
    </row>
    <row r="507" spans="1:14" s="19" customFormat="1">
      <c r="A507" s="79" t="s">
        <v>213</v>
      </c>
      <c r="B507" s="79"/>
      <c r="C507" s="79"/>
      <c r="D507" s="79"/>
      <c r="E507" s="79"/>
      <c r="F507" s="79"/>
      <c r="G507" s="79"/>
      <c r="H507" s="79"/>
      <c r="I507" s="58"/>
      <c r="L507" s="80"/>
      <c r="M507" s="80"/>
    </row>
    <row r="508" spans="1:14" s="19" customFormat="1" ht="15.75" customHeight="1">
      <c r="A508" s="69">
        <v>1</v>
      </c>
      <c r="B508" s="69"/>
      <c r="C508" s="54" t="s">
        <v>203</v>
      </c>
      <c r="D508" s="54">
        <f>(63.73)*10.764</f>
        <v>685.98971999999992</v>
      </c>
      <c r="E508" s="54">
        <f>(2.58)*10.764</f>
        <v>27.77112</v>
      </c>
      <c r="F508" s="55">
        <f>D508+E508</f>
        <v>713.76083999999992</v>
      </c>
      <c r="G508" s="55">
        <v>0</v>
      </c>
      <c r="H508" s="55">
        <f>F508*(($H$151)+1)+(IF(G508&lt;101,G508,IF(G508&lt;201,G508/2,IF(G508&lt;=301,G508/3,G508/4))))</f>
        <v>1106.3293019999999</v>
      </c>
      <c r="I508" s="58"/>
      <c r="N508" s="58"/>
    </row>
    <row r="509" spans="1:14" s="19" customFormat="1" ht="15.75" customHeight="1">
      <c r="A509" s="69">
        <f>A508+1</f>
        <v>2</v>
      </c>
      <c r="B509" s="69"/>
      <c r="C509" s="54" t="s">
        <v>202</v>
      </c>
      <c r="D509" s="54">
        <f>(88.13)*10.764</f>
        <v>948.63131999999985</v>
      </c>
      <c r="E509" s="54">
        <f>(5.83)*10.764</f>
        <v>62.75412</v>
      </c>
      <c r="F509" s="55">
        <f>D509+E509</f>
        <v>1011.3854399999998</v>
      </c>
      <c r="G509" s="55">
        <v>0</v>
      </c>
      <c r="H509" s="55">
        <f>F509*(($H$151)+1)+(IF(G509&lt;101,G509,IF(G509&lt;201,G509/2,IF(G509&lt;=301,G509/3,G509/4))))</f>
        <v>1567.6474319999998</v>
      </c>
      <c r="I509" s="58"/>
      <c r="N509" s="58"/>
    </row>
    <row r="510" spans="1:14" s="19" customFormat="1" ht="15.75" customHeight="1">
      <c r="A510" s="69">
        <f>A509+1</f>
        <v>3</v>
      </c>
      <c r="B510" s="69"/>
      <c r="C510" s="54" t="s">
        <v>216</v>
      </c>
      <c r="D510" s="54">
        <f>(46.65)*10.764</f>
        <v>502.14059999999995</v>
      </c>
      <c r="E510" s="54">
        <v>0</v>
      </c>
      <c r="F510" s="55">
        <f t="shared" ref="F510" si="18">D510+E510</f>
        <v>502.14059999999995</v>
      </c>
      <c r="G510" s="55">
        <v>0</v>
      </c>
      <c r="H510" s="55">
        <f>F510*(($H$151)+1)+(IF(G510&lt;101,G510,IF(G510&lt;201,G510/2,IF(G510&lt;=301,G510/3,G510/4))))</f>
        <v>778.31792999999993</v>
      </c>
      <c r="I510" s="58"/>
      <c r="N510" s="58"/>
    </row>
    <row r="511" spans="1:14" s="19" customFormat="1" ht="15.75" customHeight="1">
      <c r="A511" s="69">
        <f>A510+1</f>
        <v>4</v>
      </c>
      <c r="B511" s="69"/>
      <c r="C511" s="73" t="s">
        <v>220</v>
      </c>
      <c r="D511" s="74"/>
      <c r="E511" s="74"/>
      <c r="F511" s="74"/>
      <c r="G511" s="74"/>
      <c r="H511" s="75"/>
      <c r="I511" s="58"/>
      <c r="N511" s="58"/>
    </row>
    <row r="512" spans="1:14" s="19" customFormat="1">
      <c r="A512" s="79" t="s">
        <v>214</v>
      </c>
      <c r="B512" s="79"/>
      <c r="C512" s="79"/>
      <c r="D512" s="79"/>
      <c r="E512" s="79"/>
      <c r="F512" s="79"/>
      <c r="G512" s="79"/>
      <c r="H512" s="79"/>
      <c r="I512" s="58"/>
      <c r="L512" s="80"/>
      <c r="M512" s="80"/>
    </row>
    <row r="513" spans="1:14" s="19" customFormat="1" ht="15.75" customHeight="1">
      <c r="A513" s="69">
        <v>1</v>
      </c>
      <c r="B513" s="69"/>
      <c r="C513" s="73" t="s">
        <v>219</v>
      </c>
      <c r="D513" s="74"/>
      <c r="E513" s="74"/>
      <c r="F513" s="74"/>
      <c r="G513" s="74" t="str">
        <f>A512</f>
        <v>39th Floor</v>
      </c>
      <c r="H513" s="75"/>
      <c r="I513" s="58"/>
      <c r="N513" s="58"/>
    </row>
    <row r="514" spans="1:14" s="19" customFormat="1" ht="15.75" customHeight="1">
      <c r="A514" s="69">
        <f>A513+1</f>
        <v>2</v>
      </c>
      <c r="B514" s="69"/>
      <c r="C514" s="54" t="s">
        <v>202</v>
      </c>
      <c r="D514" s="54">
        <f>(88.13)*10.764</f>
        <v>948.63131999999985</v>
      </c>
      <c r="E514" s="54">
        <f>(5.83)*10.764</f>
        <v>62.75412</v>
      </c>
      <c r="F514" s="55">
        <f>D514+E514</f>
        <v>1011.3854399999998</v>
      </c>
      <c r="G514" s="55">
        <v>0</v>
      </c>
      <c r="H514" s="55">
        <f>F514*(($H$151)+1)+(IF(G514&lt;101,G514,IF(G514&lt;201,G514/2,IF(G514&lt;=301,G514/3,G514/4))))</f>
        <v>1567.6474319999998</v>
      </c>
      <c r="I514" s="58"/>
      <c r="N514" s="58"/>
    </row>
    <row r="515" spans="1:14" s="19" customFormat="1" ht="15.75" customHeight="1">
      <c r="A515" s="69">
        <f>A514+1</f>
        <v>3</v>
      </c>
      <c r="B515" s="69"/>
      <c r="C515" s="54" t="s">
        <v>216</v>
      </c>
      <c r="D515" s="54">
        <f>(46.65)*10.764</f>
        <v>502.14059999999995</v>
      </c>
      <c r="E515" s="54">
        <v>0</v>
      </c>
      <c r="F515" s="55">
        <f t="shared" ref="F515:F516" si="19">D515+E515</f>
        <v>502.14059999999995</v>
      </c>
      <c r="G515" s="55">
        <v>0</v>
      </c>
      <c r="H515" s="55">
        <f>F515*(($H$151)+1)+(IF(G515&lt;101,G515,IF(G515&lt;201,G515/2,IF(G515&lt;=301,G515/3,G515/4))))</f>
        <v>778.31792999999993</v>
      </c>
      <c r="I515" s="58"/>
      <c r="N515" s="58"/>
    </row>
    <row r="516" spans="1:14" s="19" customFormat="1" ht="15.75" customHeight="1">
      <c r="A516" s="69">
        <f>A515+1</f>
        <v>4</v>
      </c>
      <c r="B516" s="69"/>
      <c r="C516" s="54" t="s">
        <v>202</v>
      </c>
      <c r="D516" s="54">
        <f>(79.37)*10.764</f>
        <v>854.33867999999995</v>
      </c>
      <c r="E516" s="54">
        <f>(1.93)*10.764</f>
        <v>20.774519999999999</v>
      </c>
      <c r="F516" s="55">
        <f t="shared" si="19"/>
        <v>875.11320000000001</v>
      </c>
      <c r="G516" s="55">
        <v>0</v>
      </c>
      <c r="H516" s="55">
        <f>F516*(($H$151)+1)+(IF(G516&lt;101,G516,IF(G516&lt;201,G516/2,IF(G516&lt;=301,G516/3,G516/4))))</f>
        <v>1356.4254600000002</v>
      </c>
      <c r="I516" s="58"/>
      <c r="N516" s="58"/>
    </row>
    <row r="517" spans="1:14" s="19" customFormat="1">
      <c r="A517" s="79" t="s">
        <v>215</v>
      </c>
      <c r="B517" s="79"/>
      <c r="C517" s="79"/>
      <c r="D517" s="79"/>
      <c r="E517" s="79"/>
      <c r="F517" s="79"/>
      <c r="G517" s="79"/>
      <c r="H517" s="79"/>
      <c r="I517" s="58"/>
      <c r="L517" s="80"/>
      <c r="M517" s="80"/>
    </row>
    <row r="518" spans="1:14" s="19" customFormat="1" ht="15.75" customHeight="1">
      <c r="A518" s="69">
        <v>1</v>
      </c>
      <c r="B518" s="69"/>
      <c r="C518" s="73" t="s">
        <v>221</v>
      </c>
      <c r="D518" s="74"/>
      <c r="E518" s="74"/>
      <c r="F518" s="74"/>
      <c r="G518" s="74" t="str">
        <f>A517</f>
        <v>40th Floor</v>
      </c>
      <c r="H518" s="75"/>
      <c r="I518" s="58"/>
      <c r="N518" s="58"/>
    </row>
    <row r="519" spans="1:14" s="19" customFormat="1" ht="15.75" customHeight="1">
      <c r="A519" s="69">
        <f>A518+1</f>
        <v>2</v>
      </c>
      <c r="B519" s="69"/>
      <c r="C519" s="54" t="s">
        <v>202</v>
      </c>
      <c r="D519" s="54">
        <f>(88.13)*10.764</f>
        <v>948.63131999999985</v>
      </c>
      <c r="E519" s="54">
        <f>(5.83)*10.764</f>
        <v>62.75412</v>
      </c>
      <c r="F519" s="55">
        <f>D519+E519</f>
        <v>1011.3854399999998</v>
      </c>
      <c r="G519" s="55">
        <v>0</v>
      </c>
      <c r="H519" s="55">
        <f>F519*(($H$151)+1)+(IF(G519&lt;101,G519,IF(G519&lt;201,G519/2,IF(G519&lt;=301,G519/3,G519/4))))</f>
        <v>1567.6474319999998</v>
      </c>
      <c r="I519" s="58"/>
      <c r="N519" s="58"/>
    </row>
    <row r="520" spans="1:14" s="19" customFormat="1" ht="15.75" customHeight="1">
      <c r="A520" s="69">
        <f>A519+1</f>
        <v>3</v>
      </c>
      <c r="B520" s="69"/>
      <c r="C520" s="54" t="s">
        <v>216</v>
      </c>
      <c r="D520" s="54">
        <f>(46.65)*10.764</f>
        <v>502.14059999999995</v>
      </c>
      <c r="E520" s="54">
        <v>0</v>
      </c>
      <c r="F520" s="55">
        <f t="shared" ref="F520:F521" si="20">D520+E520</f>
        <v>502.14059999999995</v>
      </c>
      <c r="G520" s="55">
        <v>0</v>
      </c>
      <c r="H520" s="55">
        <f>F520*(($H$151)+1)+(IF(G520&lt;101,G520,IF(G520&lt;201,G520/2,IF(G520&lt;=301,G520/3,G520/4))))</f>
        <v>778.31792999999993</v>
      </c>
      <c r="I520" s="58"/>
      <c r="N520" s="58"/>
    </row>
    <row r="521" spans="1:14" s="19" customFormat="1" ht="15.75" customHeight="1">
      <c r="A521" s="69">
        <f>A520+1</f>
        <v>4</v>
      </c>
      <c r="B521" s="69"/>
      <c r="C521" s="54" t="s">
        <v>202</v>
      </c>
      <c r="D521" s="54">
        <f>(79.37)*10.764</f>
        <v>854.33867999999995</v>
      </c>
      <c r="E521" s="54">
        <f>(1.93)*10.764</f>
        <v>20.774519999999999</v>
      </c>
      <c r="F521" s="55">
        <f t="shared" si="20"/>
        <v>875.11320000000001</v>
      </c>
      <c r="G521" s="55">
        <v>0</v>
      </c>
      <c r="H521" s="55">
        <f>F521*(($H$151)+1)+(IF(G521&lt;101,G521,IF(G521&lt;201,G521/2,IF(G521&lt;=301,G521/3,G521/4))))</f>
        <v>1356.4254600000002</v>
      </c>
      <c r="I521" s="58"/>
      <c r="N521" s="58"/>
    </row>
    <row r="522" spans="1:14" s="19" customFormat="1">
      <c r="A522" s="70" t="s">
        <v>223</v>
      </c>
      <c r="B522" s="70"/>
      <c r="C522" s="70"/>
      <c r="D522" s="70"/>
      <c r="E522" s="70"/>
      <c r="F522" s="70"/>
      <c r="G522" s="70"/>
      <c r="H522" s="70"/>
      <c r="I522" s="58"/>
      <c r="L522" s="80"/>
      <c r="M522" s="80"/>
    </row>
    <row r="523" spans="1:14" s="19" customFormat="1" ht="15.75" customHeight="1">
      <c r="A523" s="72">
        <v>1</v>
      </c>
      <c r="B523" s="72"/>
      <c r="C523" s="73" t="s">
        <v>224</v>
      </c>
      <c r="D523" s="74"/>
      <c r="E523" s="74"/>
      <c r="F523" s="74"/>
      <c r="G523" s="74" t="str">
        <f>A522</f>
        <v>41st &amp; 42nd Floor</v>
      </c>
      <c r="H523" s="75"/>
      <c r="I523" s="58"/>
      <c r="N523" s="58"/>
    </row>
    <row r="524" spans="1:14" s="19" customFormat="1" ht="15.75" customHeight="1">
      <c r="A524" s="72">
        <f>A523+1</f>
        <v>2</v>
      </c>
      <c r="B524" s="72"/>
      <c r="C524" s="54" t="s">
        <v>202</v>
      </c>
      <c r="D524" s="54">
        <f>(88.13)*10.764</f>
        <v>948.63131999999985</v>
      </c>
      <c r="E524" s="54">
        <f>(5.83)*10.764</f>
        <v>62.75412</v>
      </c>
      <c r="F524" s="55">
        <f>D524+E524</f>
        <v>1011.3854399999998</v>
      </c>
      <c r="G524" s="55">
        <v>0</v>
      </c>
      <c r="H524" s="55">
        <f>F524*(($H$151)+1)+(IF(G524&lt;101,G524,IF(G524&lt;201,G524/2,IF(G524&lt;=301,G524/3,G524/4))))</f>
        <v>1567.6474319999998</v>
      </c>
      <c r="I524" s="58"/>
      <c r="N524" s="58"/>
    </row>
    <row r="525" spans="1:14" s="19" customFormat="1" ht="15.75" customHeight="1">
      <c r="A525" s="72">
        <f>A524+1</f>
        <v>3</v>
      </c>
      <c r="B525" s="72"/>
      <c r="C525" s="54" t="s">
        <v>216</v>
      </c>
      <c r="D525" s="54">
        <f>(46.65)*10.764</f>
        <v>502.14059999999995</v>
      </c>
      <c r="E525" s="54">
        <v>0</v>
      </c>
      <c r="F525" s="55">
        <f t="shared" ref="F525" si="21">D525+E525</f>
        <v>502.14059999999995</v>
      </c>
      <c r="G525" s="55">
        <v>0</v>
      </c>
      <c r="H525" s="55">
        <f>F525*(($H$151)+1)+(IF(G525&lt;101,G525,IF(G525&lt;201,G525/2,IF(G525&lt;=301,G525/3,G525/4))))</f>
        <v>778.31792999999993</v>
      </c>
      <c r="I525" s="58"/>
      <c r="N525" s="58"/>
    </row>
    <row r="526" spans="1:14" s="19" customFormat="1" ht="15.75" customHeight="1">
      <c r="A526" s="72">
        <f>A525+1</f>
        <v>4</v>
      </c>
      <c r="B526" s="72"/>
      <c r="C526" s="54" t="s">
        <v>202</v>
      </c>
      <c r="D526" s="54">
        <f>(79.37)*10.764</f>
        <v>854.33867999999995</v>
      </c>
      <c r="E526" s="54">
        <f>6.24*10.764</f>
        <v>67.167360000000002</v>
      </c>
      <c r="F526" s="54">
        <f>D526*(($F$151)+1)+(IF(E526&lt;101,E526,IF(E526&lt;201,E526/2,IF(E526&lt;=301,E526/3,E526/4))))</f>
        <v>921.50603999999998</v>
      </c>
      <c r="G526" s="55">
        <v>0</v>
      </c>
      <c r="H526" s="55">
        <f>F526*(($H$151)+1)+(IF(G526&lt;101,G526,IF(G526&lt;201,G526/2,IF(G526&lt;=301,G526/3,G526/4))))</f>
        <v>1428.3343620000001</v>
      </c>
      <c r="I526" s="58"/>
      <c r="N526" s="58"/>
    </row>
    <row r="527" spans="1:14" s="19" customFormat="1">
      <c r="A527" s="70" t="s">
        <v>225</v>
      </c>
      <c r="B527" s="70"/>
      <c r="C527" s="70"/>
      <c r="D527" s="70"/>
      <c r="E527" s="70"/>
      <c r="F527" s="70"/>
      <c r="G527" s="70"/>
      <c r="H527" s="70"/>
      <c r="I527" s="58"/>
      <c r="L527" s="80"/>
      <c r="M527" s="80"/>
    </row>
    <row r="528" spans="1:14" s="19" customFormat="1" ht="15.75" customHeight="1">
      <c r="A528" s="72">
        <v>1</v>
      </c>
      <c r="B528" s="72"/>
      <c r="C528" s="54" t="s">
        <v>203</v>
      </c>
      <c r="D528" s="54">
        <f>(63.73)*10.764</f>
        <v>685.98971999999992</v>
      </c>
      <c r="E528" s="54">
        <f>(2.58)*10.764</f>
        <v>27.77112</v>
      </c>
      <c r="F528" s="55">
        <f>D528+E528</f>
        <v>713.76083999999992</v>
      </c>
      <c r="G528" s="55">
        <v>0</v>
      </c>
      <c r="H528" s="55">
        <f>F528*(($H$151)+1)+(IF(G528&lt;101,G528,IF(G528&lt;201,G528/2,IF(G528&lt;=301,G528/3,G528/4))))</f>
        <v>1106.3293019999999</v>
      </c>
      <c r="I528" s="58"/>
      <c r="N528" s="58"/>
    </row>
    <row r="529" spans="1:14" s="19" customFormat="1" ht="15.75" customHeight="1">
      <c r="A529" s="72">
        <f>A528+1</f>
        <v>2</v>
      </c>
      <c r="B529" s="72"/>
      <c r="C529" s="54" t="s">
        <v>202</v>
      </c>
      <c r="D529" s="54">
        <f>(88.13)*10.764</f>
        <v>948.63131999999985</v>
      </c>
      <c r="E529" s="54">
        <f>(5.83)*10.764</f>
        <v>62.75412</v>
      </c>
      <c r="F529" s="55">
        <f>D529+E529</f>
        <v>1011.3854399999998</v>
      </c>
      <c r="G529" s="55">
        <v>0</v>
      </c>
      <c r="H529" s="55">
        <f>F529*(($H$151)+1)+(IF(G529&lt;101,G529,IF(G529&lt;201,G529/2,IF(G529&lt;=301,G529/3,G529/4))))</f>
        <v>1567.6474319999998</v>
      </c>
      <c r="I529" s="58"/>
      <c r="N529" s="58"/>
    </row>
    <row r="530" spans="1:14" s="19" customFormat="1" ht="15.75" customHeight="1">
      <c r="A530" s="72">
        <f>A529+1</f>
        <v>3</v>
      </c>
      <c r="B530" s="72"/>
      <c r="C530" s="54" t="s">
        <v>216</v>
      </c>
      <c r="D530" s="54">
        <f>(46.65)*10.764</f>
        <v>502.14059999999995</v>
      </c>
      <c r="E530" s="54">
        <v>0</v>
      </c>
      <c r="F530" s="55">
        <f t="shared" ref="F530" si="22">D530+E530</f>
        <v>502.14059999999995</v>
      </c>
      <c r="G530" s="55">
        <v>0</v>
      </c>
      <c r="H530" s="55">
        <f>F530*(($H$151)+1)+(IF(G530&lt;101,G530,IF(G530&lt;201,G530/2,IF(G530&lt;=301,G530/3,G530/4))))</f>
        <v>778.31792999999993</v>
      </c>
      <c r="I530" s="58"/>
      <c r="N530" s="58"/>
    </row>
    <row r="531" spans="1:14" s="19" customFormat="1" ht="15.75" customHeight="1">
      <c r="A531" s="72">
        <f>A530+1</f>
        <v>4</v>
      </c>
      <c r="B531" s="72"/>
      <c r="C531" s="73" t="s">
        <v>200</v>
      </c>
      <c r="D531" s="74"/>
      <c r="E531" s="74"/>
      <c r="F531" s="74"/>
      <c r="G531" s="74"/>
      <c r="H531" s="75"/>
      <c r="I531" s="58"/>
      <c r="N531" s="58"/>
    </row>
    <row r="532" spans="1:14" s="19" customFormat="1">
      <c r="A532" s="70" t="s">
        <v>269</v>
      </c>
      <c r="B532" s="70"/>
      <c r="C532" s="70"/>
      <c r="D532" s="70"/>
      <c r="E532" s="70"/>
      <c r="F532" s="70"/>
      <c r="G532" s="70"/>
      <c r="H532" s="70"/>
      <c r="I532" s="58"/>
      <c r="L532" s="80"/>
      <c r="M532" s="80"/>
    </row>
    <row r="533" spans="1:14" s="19" customFormat="1" ht="15.75" customHeight="1">
      <c r="A533" s="72">
        <v>1</v>
      </c>
      <c r="B533" s="72"/>
      <c r="C533" s="54" t="s">
        <v>203</v>
      </c>
      <c r="D533" s="54">
        <f>(63.73)*10.764</f>
        <v>685.98971999999992</v>
      </c>
      <c r="E533" s="54">
        <f>(2.58)*10.764</f>
        <v>27.77112</v>
      </c>
      <c r="F533" s="55">
        <f>D533+E533</f>
        <v>713.76083999999992</v>
      </c>
      <c r="G533" s="55">
        <v>0</v>
      </c>
      <c r="H533" s="55">
        <f>F533*(($H$151)+1)+(IF(G533&lt;101,G533,IF(G533&lt;201,G533/2,IF(G533&lt;=301,G533/3,G533/4))))</f>
        <v>1106.3293019999999</v>
      </c>
      <c r="I533" s="58"/>
      <c r="N533" s="58"/>
    </row>
    <row r="534" spans="1:14" s="19" customFormat="1" ht="15.75" customHeight="1">
      <c r="A534" s="72">
        <f>A533+1</f>
        <v>2</v>
      </c>
      <c r="B534" s="72"/>
      <c r="C534" s="54" t="s">
        <v>202</v>
      </c>
      <c r="D534" s="54">
        <f>(88.13)*10.764</f>
        <v>948.63131999999985</v>
      </c>
      <c r="E534" s="54">
        <f>(5.83)*10.764</f>
        <v>62.75412</v>
      </c>
      <c r="F534" s="55">
        <f>D534+E534</f>
        <v>1011.3854399999998</v>
      </c>
      <c r="G534" s="55">
        <v>0</v>
      </c>
      <c r="H534" s="55">
        <f>F534*(($H$151)+1)+(IF(G534&lt;101,G534,IF(G534&lt;201,G534/2,IF(G534&lt;=301,G534/3,G534/4))))</f>
        <v>1567.6474319999998</v>
      </c>
      <c r="I534" s="58"/>
      <c r="N534" s="58"/>
    </row>
    <row r="535" spans="1:14" s="19" customFormat="1" ht="15.75" customHeight="1">
      <c r="A535" s="72">
        <f>A534+1</f>
        <v>3</v>
      </c>
      <c r="B535" s="72"/>
      <c r="C535" s="54" t="s">
        <v>216</v>
      </c>
      <c r="D535" s="54">
        <f>(46.65)*10.764</f>
        <v>502.14059999999995</v>
      </c>
      <c r="E535" s="54">
        <v>0</v>
      </c>
      <c r="F535" s="55">
        <f t="shared" ref="F535:F536" si="23">D535+E535</f>
        <v>502.14059999999995</v>
      </c>
      <c r="G535" s="55">
        <v>0</v>
      </c>
      <c r="H535" s="55">
        <f>F535*(($H$151)+1)+(IF(G535&lt;101,G535,IF(G535&lt;201,G535/2,IF(G535&lt;=301,G535/3,G535/4))))</f>
        <v>778.31792999999993</v>
      </c>
      <c r="I535" s="58"/>
      <c r="N535" s="58"/>
    </row>
    <row r="536" spans="1:14" s="19" customFormat="1" ht="15.75" customHeight="1">
      <c r="A536" s="72">
        <f>A535+1</f>
        <v>4</v>
      </c>
      <c r="B536" s="72"/>
      <c r="C536" s="54" t="s">
        <v>202</v>
      </c>
      <c r="D536" s="54">
        <f>(79.37)*10.764</f>
        <v>854.33867999999995</v>
      </c>
      <c r="E536" s="54">
        <f>6.24*10.764</f>
        <v>67.167360000000002</v>
      </c>
      <c r="F536" s="55">
        <f t="shared" si="23"/>
        <v>921.50603999999998</v>
      </c>
      <c r="G536" s="55">
        <v>0</v>
      </c>
      <c r="H536" s="55">
        <f>F536*(($H$151)+1)+(IF(G536&lt;101,G536,IF(G536&lt;201,G536/2,IF(G536&lt;=301,G536/3,G536/4))))</f>
        <v>1428.3343620000001</v>
      </c>
      <c r="I536" s="58"/>
      <c r="N536" s="58"/>
    </row>
    <row r="537" spans="1:14" s="19" customFormat="1">
      <c r="A537" s="70" t="s">
        <v>279</v>
      </c>
      <c r="B537" s="70"/>
      <c r="C537" s="70"/>
      <c r="D537" s="70"/>
      <c r="E537" s="70"/>
      <c r="F537" s="70"/>
      <c r="G537" s="70"/>
      <c r="H537" s="70"/>
      <c r="I537" s="58"/>
      <c r="L537" s="80"/>
      <c r="M537" s="80"/>
    </row>
    <row r="538" spans="1:14" s="19" customFormat="1" ht="15.75" customHeight="1">
      <c r="A538" s="72">
        <v>1</v>
      </c>
      <c r="B538" s="72"/>
      <c r="C538" s="54" t="s">
        <v>203</v>
      </c>
      <c r="D538" s="54">
        <f>(63.73)*10.764</f>
        <v>685.98971999999992</v>
      </c>
      <c r="E538" s="54">
        <f>(2.58)*10.764</f>
        <v>27.77112</v>
      </c>
      <c r="F538" s="55">
        <f>D538+E538</f>
        <v>713.76083999999992</v>
      </c>
      <c r="G538" s="55">
        <v>0</v>
      </c>
      <c r="H538" s="55">
        <f>F538*(($H$151)+1)+(IF(G538&lt;101,G538,IF(G538&lt;201,G538/2,IF(G538&lt;=301,G538/3,G538/4))))</f>
        <v>1106.3293019999999</v>
      </c>
      <c r="I538" s="58"/>
      <c r="N538" s="58"/>
    </row>
    <row r="539" spans="1:14" s="19" customFormat="1" ht="15.75" customHeight="1">
      <c r="A539" s="72">
        <f>A538+1</f>
        <v>2</v>
      </c>
      <c r="B539" s="72"/>
      <c r="C539" s="54" t="s">
        <v>202</v>
      </c>
      <c r="D539" s="54">
        <f>(88.13)*10.764</f>
        <v>948.63131999999985</v>
      </c>
      <c r="E539" s="54">
        <f>(5.83)*10.764</f>
        <v>62.75412</v>
      </c>
      <c r="F539" s="55">
        <f>D539+E539</f>
        <v>1011.3854399999998</v>
      </c>
      <c r="G539" s="55">
        <v>0</v>
      </c>
      <c r="H539" s="55">
        <f>F539*(($H$151)+1)+(IF(G539&lt;101,G539,IF(G539&lt;201,G539/2,IF(G539&lt;=301,G539/3,G539/4))))</f>
        <v>1567.6474319999998</v>
      </c>
      <c r="I539" s="58"/>
      <c r="N539" s="58"/>
    </row>
    <row r="540" spans="1:14" s="19" customFormat="1" ht="15.75" customHeight="1">
      <c r="A540" s="72">
        <f>A539+1</f>
        <v>3</v>
      </c>
      <c r="B540" s="72"/>
      <c r="C540" s="54" t="s">
        <v>216</v>
      </c>
      <c r="D540" s="54">
        <f>(46.65)*10.764</f>
        <v>502.14059999999995</v>
      </c>
      <c r="E540" s="54">
        <v>0</v>
      </c>
      <c r="F540" s="55">
        <f t="shared" ref="F540:F541" si="24">D540+E540</f>
        <v>502.14059999999995</v>
      </c>
      <c r="G540" s="55">
        <v>0</v>
      </c>
      <c r="H540" s="55">
        <f>F540*(($H$151)+1)+(IF(G540&lt;101,G540,IF(G540&lt;201,G540/2,IF(G540&lt;=301,G540/3,G540/4))))</f>
        <v>778.31792999999993</v>
      </c>
      <c r="I540" s="58"/>
      <c r="N540" s="58"/>
    </row>
    <row r="541" spans="1:14" s="19" customFormat="1" ht="15.75" customHeight="1">
      <c r="A541" s="72">
        <f>A540+1</f>
        <v>4</v>
      </c>
      <c r="B541" s="72"/>
      <c r="C541" s="54" t="s">
        <v>202</v>
      </c>
      <c r="D541" s="54">
        <f>(79.37)*10.764</f>
        <v>854.33867999999995</v>
      </c>
      <c r="E541" s="54">
        <f>6.24*10.764</f>
        <v>67.167360000000002</v>
      </c>
      <c r="F541" s="55">
        <f t="shared" si="24"/>
        <v>921.50603999999998</v>
      </c>
      <c r="G541" s="55">
        <v>0</v>
      </c>
      <c r="H541" s="55">
        <f>F541*(($H$151)+1)+(IF(G541&lt;101,G541,IF(G541&lt;201,G541/2,IF(G541&lt;=301,G541/3,G541/4))))</f>
        <v>1428.3343620000001</v>
      </c>
      <c r="I541" s="58"/>
      <c r="N541" s="58"/>
    </row>
    <row r="542" spans="1:14" s="19" customFormat="1">
      <c r="A542" s="70" t="s">
        <v>277</v>
      </c>
      <c r="B542" s="70"/>
      <c r="C542" s="70"/>
      <c r="D542" s="70"/>
      <c r="E542" s="70"/>
      <c r="F542" s="70"/>
      <c r="G542" s="70"/>
      <c r="H542" s="70"/>
      <c r="I542" s="58"/>
      <c r="L542" s="80"/>
      <c r="M542" s="80"/>
    </row>
    <row r="543" spans="1:14" s="19" customFormat="1" ht="15.75" customHeight="1">
      <c r="A543" s="72">
        <v>1</v>
      </c>
      <c r="B543" s="72"/>
      <c r="C543" s="54" t="s">
        <v>203</v>
      </c>
      <c r="D543" s="54">
        <f>(63.73)*10.764</f>
        <v>685.98971999999992</v>
      </c>
      <c r="E543" s="54">
        <f>(2.58)*10.764</f>
        <v>27.77112</v>
      </c>
      <c r="F543" s="55">
        <f>D543+E543</f>
        <v>713.76083999999992</v>
      </c>
      <c r="G543" s="55">
        <v>0</v>
      </c>
      <c r="H543" s="55">
        <f>F543*(($H$151)+1)+(IF(G543&lt;101,G543,IF(G543&lt;201,G543/2,IF(G543&lt;=301,G543/3,G543/4))))</f>
        <v>1106.3293019999999</v>
      </c>
      <c r="I543" s="58"/>
      <c r="N543" s="58"/>
    </row>
    <row r="544" spans="1:14" s="19" customFormat="1" ht="15.75" customHeight="1">
      <c r="A544" s="72">
        <f>A543+1</f>
        <v>2</v>
      </c>
      <c r="B544" s="72"/>
      <c r="C544" s="54" t="s">
        <v>202</v>
      </c>
      <c r="D544" s="54">
        <f>(88.13)*10.764</f>
        <v>948.63131999999985</v>
      </c>
      <c r="E544" s="54">
        <f>(5.83)*10.764</f>
        <v>62.75412</v>
      </c>
      <c r="F544" s="55">
        <f>D544+E544</f>
        <v>1011.3854399999998</v>
      </c>
      <c r="G544" s="55">
        <v>0</v>
      </c>
      <c r="H544" s="55">
        <f>F544*(($H$151)+1)+(IF(G544&lt;101,G544,IF(G544&lt;201,G544/2,IF(G544&lt;=301,G544/3,G544/4))))</f>
        <v>1567.6474319999998</v>
      </c>
      <c r="I544" s="58"/>
      <c r="N544" s="58"/>
    </row>
    <row r="545" spans="1:17" s="19" customFormat="1" ht="15.75" customHeight="1">
      <c r="A545" s="72">
        <f>A544+1</f>
        <v>3</v>
      </c>
      <c r="B545" s="72"/>
      <c r="C545" s="54" t="s">
        <v>216</v>
      </c>
      <c r="D545" s="54">
        <f>(46.65)*10.764</f>
        <v>502.14059999999995</v>
      </c>
      <c r="E545" s="54">
        <v>0</v>
      </c>
      <c r="F545" s="55">
        <f t="shared" ref="F545:F546" si="25">D545+E545</f>
        <v>502.14059999999995</v>
      </c>
      <c r="G545" s="55">
        <v>0</v>
      </c>
      <c r="H545" s="55">
        <f>F545*(($H$151)+1)+(IF(G545&lt;101,G545,IF(G545&lt;201,G545/2,IF(G545&lt;=301,G545/3,G545/4))))</f>
        <v>778.31792999999993</v>
      </c>
      <c r="I545" s="58"/>
      <c r="N545" s="58"/>
    </row>
    <row r="546" spans="1:17" s="19" customFormat="1" ht="15.75" customHeight="1">
      <c r="A546" s="72">
        <f>A545+1</f>
        <v>4</v>
      </c>
      <c r="B546" s="72"/>
      <c r="C546" s="54" t="s">
        <v>202</v>
      </c>
      <c r="D546" s="54">
        <f>(79.37)*10.764</f>
        <v>854.33867999999995</v>
      </c>
      <c r="E546" s="54">
        <f>6.24*10.764</f>
        <v>67.167360000000002</v>
      </c>
      <c r="F546" s="55">
        <f t="shared" si="25"/>
        <v>921.50603999999998</v>
      </c>
      <c r="G546" s="55">
        <v>0</v>
      </c>
      <c r="H546" s="55">
        <f>F546*(($H$151)+1)+(IF(G546&lt;101,G546,IF(G546&lt;201,G546/2,IF(G546&lt;=301,G546/3,G546/4))))</f>
        <v>1428.3343620000001</v>
      </c>
      <c r="I546" s="58"/>
      <c r="N546" s="58"/>
    </row>
    <row r="547" spans="1:17" s="19" customFormat="1">
      <c r="A547" s="70" t="s">
        <v>276</v>
      </c>
      <c r="B547" s="70"/>
      <c r="C547" s="70"/>
      <c r="D547" s="70"/>
      <c r="E547" s="70"/>
      <c r="F547" s="70"/>
      <c r="G547" s="70"/>
      <c r="H547" s="70"/>
      <c r="I547" s="58"/>
      <c r="L547" s="80"/>
      <c r="M547" s="80"/>
    </row>
    <row r="548" spans="1:17" s="19" customFormat="1" ht="15.75" customHeight="1">
      <c r="A548" s="72">
        <v>1</v>
      </c>
      <c r="B548" s="72"/>
      <c r="C548" s="73" t="s">
        <v>219</v>
      </c>
      <c r="D548" s="74"/>
      <c r="E548" s="74"/>
      <c r="F548" s="74"/>
      <c r="G548" s="74"/>
      <c r="H548" s="75"/>
      <c r="I548" s="58"/>
      <c r="N548" s="58"/>
    </row>
    <row r="549" spans="1:17" s="19" customFormat="1" ht="15.75" customHeight="1">
      <c r="A549" s="72">
        <f>A548+1</f>
        <v>2</v>
      </c>
      <c r="B549" s="72"/>
      <c r="C549" s="54" t="s">
        <v>202</v>
      </c>
      <c r="D549" s="54">
        <f>(88.13)*10.764</f>
        <v>948.63131999999985</v>
      </c>
      <c r="E549" s="54">
        <f>(5.83)*10.764</f>
        <v>62.75412</v>
      </c>
      <c r="F549" s="55">
        <f>D549+E549</f>
        <v>1011.3854399999998</v>
      </c>
      <c r="G549" s="55">
        <v>0</v>
      </c>
      <c r="H549" s="55">
        <f>F549*(($H$151)+1)+(IF(G549&lt;101,G549,IF(G549&lt;201,G549/2,IF(G549&lt;=301,G549/3,G549/4))))</f>
        <v>1567.6474319999998</v>
      </c>
      <c r="I549" s="58"/>
      <c r="N549" s="58"/>
    </row>
    <row r="550" spans="1:17" s="19" customFormat="1" ht="15.75" customHeight="1">
      <c r="A550" s="72">
        <f>A549+1</f>
        <v>3</v>
      </c>
      <c r="B550" s="72"/>
      <c r="C550" s="54" t="s">
        <v>216</v>
      </c>
      <c r="D550" s="54">
        <f>(46.65)*10.764</f>
        <v>502.14059999999995</v>
      </c>
      <c r="E550" s="54">
        <v>0</v>
      </c>
      <c r="F550" s="55">
        <f t="shared" ref="F550" si="26">D550+E550</f>
        <v>502.14059999999995</v>
      </c>
      <c r="G550" s="55">
        <v>0</v>
      </c>
      <c r="H550" s="55">
        <f>F550*(($H$151)+1)+(IF(G550&lt;101,G550,IF(G550&lt;201,G550/2,IF(G550&lt;=301,G550/3,G550/4))))</f>
        <v>778.31792999999993</v>
      </c>
      <c r="I550" s="58"/>
      <c r="N550" s="58"/>
    </row>
    <row r="551" spans="1:17" s="19" customFormat="1" ht="15.75" customHeight="1">
      <c r="A551" s="72">
        <f>A550+1</f>
        <v>4</v>
      </c>
      <c r="B551" s="72"/>
      <c r="C551" s="73" t="s">
        <v>200</v>
      </c>
      <c r="D551" s="74"/>
      <c r="E551" s="74"/>
      <c r="F551" s="74"/>
      <c r="G551" s="74"/>
      <c r="H551" s="75"/>
      <c r="I551" s="58"/>
      <c r="N551" s="58"/>
    </row>
    <row r="552" spans="1:17" s="19" customFormat="1">
      <c r="A552" s="70" t="s">
        <v>278</v>
      </c>
      <c r="B552" s="70"/>
      <c r="C552" s="70"/>
      <c r="D552" s="70"/>
      <c r="E552" s="70"/>
      <c r="F552" s="70"/>
      <c r="G552" s="70"/>
      <c r="H552" s="70"/>
      <c r="I552" s="58"/>
      <c r="L552" s="80"/>
      <c r="M552" s="80"/>
    </row>
    <row r="553" spans="1:17" s="19" customFormat="1" ht="15.75" customHeight="1">
      <c r="A553" s="72">
        <v>1</v>
      </c>
      <c r="B553" s="72"/>
      <c r="C553" s="73" t="s">
        <v>280</v>
      </c>
      <c r="D553" s="74"/>
      <c r="E553" s="74"/>
      <c r="F553" s="74"/>
      <c r="G553" s="74"/>
      <c r="H553" s="75"/>
      <c r="I553" s="58"/>
      <c r="N553" s="58"/>
    </row>
    <row r="554" spans="1:17" s="19" customFormat="1" ht="15.75" customHeight="1">
      <c r="A554" s="72">
        <f>A553+1</f>
        <v>2</v>
      </c>
      <c r="B554" s="72"/>
      <c r="C554" s="54" t="s">
        <v>202</v>
      </c>
      <c r="D554" s="54">
        <f>(88.13)*10.764</f>
        <v>948.63131999999985</v>
      </c>
      <c r="E554" s="54">
        <f>(5.83)*10.764</f>
        <v>62.75412</v>
      </c>
      <c r="F554" s="55">
        <f>D554+E554</f>
        <v>1011.3854399999998</v>
      </c>
      <c r="G554" s="55">
        <v>0</v>
      </c>
      <c r="H554" s="55">
        <f>F554*(($H$151)+1)+(IF(G554&lt;101,G554,IF(G554&lt;201,G554/2,IF(G554&lt;=301,G554/3,G554/4))))</f>
        <v>1567.6474319999998</v>
      </c>
      <c r="I554" s="58"/>
      <c r="N554" s="58"/>
    </row>
    <row r="555" spans="1:17" s="19" customFormat="1" ht="15.75" customHeight="1">
      <c r="A555" s="72">
        <f>A554+1</f>
        <v>3</v>
      </c>
      <c r="B555" s="72"/>
      <c r="C555" s="54" t="s">
        <v>216</v>
      </c>
      <c r="D555" s="54">
        <f>(46.65)*10.764</f>
        <v>502.14059999999995</v>
      </c>
      <c r="E555" s="54">
        <v>0</v>
      </c>
      <c r="F555" s="55">
        <f t="shared" ref="F555:F556" si="27">D555+E555</f>
        <v>502.14059999999995</v>
      </c>
      <c r="G555" s="55">
        <v>0</v>
      </c>
      <c r="H555" s="55">
        <f>F555*(($H$151)+1)+(IF(G555&lt;101,G555,IF(G555&lt;201,G555/2,IF(G555&lt;=301,G555/3,G555/4))))</f>
        <v>778.31792999999993</v>
      </c>
      <c r="I555" s="58"/>
      <c r="N555" s="58"/>
    </row>
    <row r="556" spans="1:17" s="19" customFormat="1" ht="15.75" customHeight="1">
      <c r="A556" s="72">
        <f>A555+1</f>
        <v>4</v>
      </c>
      <c r="B556" s="72"/>
      <c r="C556" s="54" t="s">
        <v>202</v>
      </c>
      <c r="D556" s="54">
        <f>(79.37)*10.764</f>
        <v>854.33867999999995</v>
      </c>
      <c r="E556" s="54">
        <f>6.24*10.764</f>
        <v>67.167360000000002</v>
      </c>
      <c r="F556" s="55">
        <f t="shared" si="27"/>
        <v>921.50603999999998</v>
      </c>
      <c r="G556" s="55">
        <v>0</v>
      </c>
      <c r="H556" s="55">
        <f>F556*(($H$151)+1)+(IF(G556&lt;101,G556,IF(G556&lt;201,G556/2,IF(G556&lt;=301,G556/3,G556/4))))</f>
        <v>1428.3343620000001</v>
      </c>
      <c r="I556" s="58"/>
      <c r="N556" s="58"/>
    </row>
    <row r="557" spans="1:17" s="19" customFormat="1">
      <c r="A557" s="123" t="s">
        <v>184</v>
      </c>
      <c r="B557" s="123"/>
      <c r="C557" s="123"/>
      <c r="D557" s="123"/>
      <c r="E557" s="123"/>
      <c r="F557" s="123"/>
      <c r="G557" s="123"/>
      <c r="H557" s="123"/>
      <c r="I557" s="54">
        <v>10.763999999999999</v>
      </c>
      <c r="L557" s="80"/>
      <c r="M557" s="80"/>
    </row>
    <row r="558" spans="1:17" s="18" customFormat="1">
      <c r="A558" s="70" t="s">
        <v>199</v>
      </c>
      <c r="B558" s="70"/>
      <c r="C558" s="70"/>
      <c r="D558" s="70"/>
      <c r="E558" s="70"/>
      <c r="F558" s="70"/>
      <c r="G558" s="70"/>
      <c r="H558" s="70"/>
      <c r="I558" s="56"/>
      <c r="L558" s="71"/>
      <c r="M558" s="71"/>
    </row>
    <row r="559" spans="1:17" s="18" customFormat="1" ht="15.75" customHeight="1">
      <c r="A559" s="72">
        <v>1</v>
      </c>
      <c r="B559" s="72"/>
      <c r="C559" s="76" t="s">
        <v>217</v>
      </c>
      <c r="D559" s="77"/>
      <c r="E559" s="77"/>
      <c r="F559" s="77"/>
      <c r="G559" s="77"/>
      <c r="H559" s="78"/>
      <c r="I559" s="56"/>
      <c r="N559" s="56"/>
    </row>
    <row r="560" spans="1:17" s="18" customFormat="1" ht="15.75" customHeight="1">
      <c r="A560" s="72">
        <f>A559+1</f>
        <v>2</v>
      </c>
      <c r="B560" s="72"/>
      <c r="C560" s="76" t="s">
        <v>200</v>
      </c>
      <c r="D560" s="77"/>
      <c r="E560" s="77"/>
      <c r="F560" s="77"/>
      <c r="G560" s="77"/>
      <c r="H560" s="78"/>
      <c r="I560" s="56"/>
      <c r="J560" s="56"/>
      <c r="N560" s="56"/>
      <c r="Q560" s="54">
        <v>10.763999999999999</v>
      </c>
    </row>
    <row r="561" spans="1:14" s="18" customFormat="1" ht="15.75" customHeight="1">
      <c r="A561" s="72">
        <f>A560+1</f>
        <v>3</v>
      </c>
      <c r="B561" s="72"/>
      <c r="C561" s="54" t="s">
        <v>216</v>
      </c>
      <c r="D561" s="54">
        <f>(42.53)*10.764</f>
        <v>457.79291999999998</v>
      </c>
      <c r="E561" s="54">
        <v>0</v>
      </c>
      <c r="F561" s="55">
        <f t="shared" ref="F561:F563" si="28">D561+E561</f>
        <v>457.79291999999998</v>
      </c>
      <c r="G561" s="55">
        <v>0</v>
      </c>
      <c r="H561" s="55">
        <f t="shared" ref="H561:H563" si="29">F561*(($H$151)+1)+(IF(G561&lt;101,G561,IF(G561&lt;201,G561/2,IF(G561&lt;=301,G561/3,G561/4))))</f>
        <v>709.579026</v>
      </c>
      <c r="I561" s="56"/>
      <c r="J561" s="56"/>
      <c r="N561" s="56"/>
    </row>
    <row r="562" spans="1:14" s="18" customFormat="1" ht="15.75" customHeight="1">
      <c r="A562" s="72">
        <f>A561+1</f>
        <v>4</v>
      </c>
      <c r="B562" s="72"/>
      <c r="C562" s="54" t="s">
        <v>216</v>
      </c>
      <c r="D562" s="54">
        <f>(42.93)*10.764</f>
        <v>462.09851999999995</v>
      </c>
      <c r="E562" s="54">
        <v>0</v>
      </c>
      <c r="F562" s="55">
        <f t="shared" si="28"/>
        <v>462.09851999999995</v>
      </c>
      <c r="G562" s="55">
        <v>0</v>
      </c>
      <c r="H562" s="55">
        <f t="shared" si="29"/>
        <v>716.25270599999999</v>
      </c>
      <c r="I562" s="57"/>
      <c r="N562" s="56"/>
    </row>
    <row r="563" spans="1:14" s="18" customFormat="1" ht="15.75" customHeight="1">
      <c r="A563" s="72">
        <f>A562+1</f>
        <v>5</v>
      </c>
      <c r="B563" s="72"/>
      <c r="C563" s="54" t="s">
        <v>201</v>
      </c>
      <c r="D563" s="54">
        <f>(75.8)*10.764</f>
        <v>815.91119999999989</v>
      </c>
      <c r="E563" s="54">
        <f>(1.79)*10.764</f>
        <v>19.26756</v>
      </c>
      <c r="F563" s="55">
        <f t="shared" si="28"/>
        <v>835.1787599999999</v>
      </c>
      <c r="G563" s="55">
        <v>0</v>
      </c>
      <c r="H563" s="55">
        <f t="shared" si="29"/>
        <v>1294.5270779999998</v>
      </c>
      <c r="I563" s="56"/>
      <c r="N563" s="56"/>
    </row>
    <row r="564" spans="1:14" s="18" customFormat="1">
      <c r="A564" s="70" t="s">
        <v>204</v>
      </c>
      <c r="B564" s="70"/>
      <c r="C564" s="70"/>
      <c r="D564" s="70"/>
      <c r="E564" s="70"/>
      <c r="F564" s="70"/>
      <c r="G564" s="70"/>
      <c r="H564" s="70"/>
      <c r="I564" s="56"/>
      <c r="L564" s="71"/>
      <c r="M564" s="71"/>
    </row>
    <row r="565" spans="1:14" s="18" customFormat="1" ht="15.75" customHeight="1">
      <c r="A565" s="72">
        <v>1</v>
      </c>
      <c r="B565" s="72"/>
      <c r="C565" s="76" t="s">
        <v>217</v>
      </c>
      <c r="D565" s="77"/>
      <c r="E565" s="77"/>
      <c r="F565" s="77"/>
      <c r="G565" s="77"/>
      <c r="H565" s="78"/>
      <c r="I565" s="56"/>
      <c r="N565" s="56"/>
    </row>
    <row r="566" spans="1:14" s="18" customFormat="1" ht="15.75" customHeight="1">
      <c r="A566" s="72">
        <f>A565+1</f>
        <v>2</v>
      </c>
      <c r="B566" s="72"/>
      <c r="C566" s="76" t="s">
        <v>218</v>
      </c>
      <c r="D566" s="77"/>
      <c r="E566" s="77"/>
      <c r="F566" s="77"/>
      <c r="G566" s="77"/>
      <c r="H566" s="78"/>
      <c r="I566" s="56"/>
      <c r="N566" s="56"/>
    </row>
    <row r="567" spans="1:14" s="18" customFormat="1" ht="15.75" customHeight="1">
      <c r="A567" s="72">
        <f>A566+1</f>
        <v>3</v>
      </c>
      <c r="B567" s="72"/>
      <c r="C567" s="54" t="s">
        <v>216</v>
      </c>
      <c r="D567" s="54">
        <f>(42.53)*10.764</f>
        <v>457.79291999999998</v>
      </c>
      <c r="E567" s="54">
        <v>0</v>
      </c>
      <c r="F567" s="55">
        <f t="shared" ref="F567:F569" si="30">D567+E567</f>
        <v>457.79291999999998</v>
      </c>
      <c r="G567" s="55">
        <v>0</v>
      </c>
      <c r="H567" s="55">
        <f t="shared" ref="H567:H569" si="31">F567*(($H$151)+1)+(IF(G567&lt;101,G567,IF(G567&lt;201,G567/2,IF(G567&lt;=301,G567/3,G567/4))))</f>
        <v>709.579026</v>
      </c>
      <c r="I567" s="56"/>
      <c r="N567" s="56"/>
    </row>
    <row r="568" spans="1:14" s="18" customFormat="1" ht="15.75" customHeight="1">
      <c r="A568" s="72">
        <f>A567+1</f>
        <v>4</v>
      </c>
      <c r="B568" s="72"/>
      <c r="C568" s="54" t="s">
        <v>216</v>
      </c>
      <c r="D568" s="54">
        <f>(42.93)*10.764</f>
        <v>462.09851999999995</v>
      </c>
      <c r="E568" s="54">
        <v>0</v>
      </c>
      <c r="F568" s="55">
        <f t="shared" si="30"/>
        <v>462.09851999999995</v>
      </c>
      <c r="G568" s="55">
        <v>0</v>
      </c>
      <c r="H568" s="55">
        <f t="shared" si="31"/>
        <v>716.25270599999999</v>
      </c>
      <c r="I568" s="56"/>
      <c r="N568" s="56"/>
    </row>
    <row r="569" spans="1:14" s="18" customFormat="1" ht="15.75" customHeight="1">
      <c r="A569" s="72">
        <f>A568+1</f>
        <v>5</v>
      </c>
      <c r="B569" s="72"/>
      <c r="C569" s="54" t="s">
        <v>201</v>
      </c>
      <c r="D569" s="54">
        <f>(75.8)*10.764</f>
        <v>815.91119999999989</v>
      </c>
      <c r="E569" s="54">
        <f>(1.79)*10.764</f>
        <v>19.26756</v>
      </c>
      <c r="F569" s="55">
        <f t="shared" si="30"/>
        <v>835.1787599999999</v>
      </c>
      <c r="G569" s="55">
        <v>0</v>
      </c>
      <c r="H569" s="55">
        <f t="shared" si="31"/>
        <v>1294.5270779999998</v>
      </c>
      <c r="I569" s="56"/>
      <c r="N569" s="56"/>
    </row>
    <row r="570" spans="1:14" s="18" customFormat="1">
      <c r="A570" s="70" t="s">
        <v>205</v>
      </c>
      <c r="B570" s="70"/>
      <c r="C570" s="70"/>
      <c r="D570" s="70"/>
      <c r="E570" s="70"/>
      <c r="F570" s="70"/>
      <c r="G570" s="70"/>
      <c r="H570" s="70"/>
      <c r="I570" s="56"/>
      <c r="L570" s="71"/>
      <c r="M570" s="71"/>
    </row>
    <row r="571" spans="1:14" s="18" customFormat="1" ht="15.75" customHeight="1">
      <c r="A571" s="72">
        <v>1</v>
      </c>
      <c r="B571" s="72"/>
      <c r="C571" s="76" t="s">
        <v>222</v>
      </c>
      <c r="D571" s="77"/>
      <c r="E571" s="77"/>
      <c r="F571" s="77"/>
      <c r="G571" s="77"/>
      <c r="H571" s="78"/>
      <c r="I571" s="56"/>
      <c r="N571" s="56"/>
    </row>
    <row r="572" spans="1:14" s="18" customFormat="1" ht="15.75" customHeight="1">
      <c r="A572" s="72">
        <f>A571+1</f>
        <v>2</v>
      </c>
      <c r="B572" s="72"/>
      <c r="C572" s="54" t="s">
        <v>203</v>
      </c>
      <c r="D572" s="54">
        <f>(61.39)*10.764</f>
        <v>660.80196000000001</v>
      </c>
      <c r="E572" s="54">
        <f>(1.69)*10.764</f>
        <v>18.19116</v>
      </c>
      <c r="F572" s="55">
        <f t="shared" ref="F572" si="32">D572+E572</f>
        <v>678.99311999999998</v>
      </c>
      <c r="G572" s="55">
        <v>0</v>
      </c>
      <c r="H572" s="55">
        <f t="shared" ref="H572" si="33">F572*(($H$151)+1)+(IF(G572&lt;101,G572,IF(G572&lt;201,G572/2,IF(G572&lt;=301,G572/3,G572/4))))</f>
        <v>1052.4393359999999</v>
      </c>
      <c r="I572" s="56"/>
      <c r="N572" s="56"/>
    </row>
    <row r="573" spans="1:14" s="18" customFormat="1" ht="15.75" customHeight="1">
      <c r="A573" s="72">
        <f>A572+1</f>
        <v>3</v>
      </c>
      <c r="B573" s="72"/>
      <c r="C573" s="54" t="s">
        <v>216</v>
      </c>
      <c r="D573" s="54">
        <f>(42.53)*10.764</f>
        <v>457.79291999999998</v>
      </c>
      <c r="E573" s="54">
        <v>0</v>
      </c>
      <c r="F573" s="55">
        <f t="shared" ref="F573:F575" si="34">D573+E573</f>
        <v>457.79291999999998</v>
      </c>
      <c r="G573" s="55">
        <v>0</v>
      </c>
      <c r="H573" s="55">
        <f t="shared" ref="H573:H575" si="35">F573*(($H$151)+1)+(IF(G573&lt;101,G573,IF(G573&lt;201,G573/2,IF(G573&lt;=301,G573/3,G573/4))))</f>
        <v>709.579026</v>
      </c>
      <c r="I573" s="56"/>
      <c r="N573" s="56"/>
    </row>
    <row r="574" spans="1:14" s="18" customFormat="1" ht="15.75" customHeight="1">
      <c r="A574" s="72">
        <f>A573+1</f>
        <v>4</v>
      </c>
      <c r="B574" s="72"/>
      <c r="C574" s="54" t="s">
        <v>216</v>
      </c>
      <c r="D574" s="54">
        <f>(42.93)*10.764</f>
        <v>462.09851999999995</v>
      </c>
      <c r="E574" s="54">
        <v>0</v>
      </c>
      <c r="F574" s="55">
        <f t="shared" si="34"/>
        <v>462.09851999999995</v>
      </c>
      <c r="G574" s="55">
        <v>0</v>
      </c>
      <c r="H574" s="55">
        <f t="shared" si="35"/>
        <v>716.25270599999999</v>
      </c>
      <c r="I574" s="56"/>
      <c r="N574" s="56"/>
    </row>
    <row r="575" spans="1:14" s="18" customFormat="1" ht="15.75" customHeight="1">
      <c r="A575" s="72">
        <f>A574+1</f>
        <v>5</v>
      </c>
      <c r="B575" s="72"/>
      <c r="C575" s="54" t="s">
        <v>201</v>
      </c>
      <c r="D575" s="54">
        <f>(75.8)*10.764</f>
        <v>815.91119999999989</v>
      </c>
      <c r="E575" s="54">
        <f>(1.79)*10.764</f>
        <v>19.26756</v>
      </c>
      <c r="F575" s="55">
        <f t="shared" si="34"/>
        <v>835.1787599999999</v>
      </c>
      <c r="G575" s="55">
        <v>0</v>
      </c>
      <c r="H575" s="55">
        <f t="shared" si="35"/>
        <v>1294.5270779999998</v>
      </c>
      <c r="I575" s="56"/>
      <c r="N575" s="56"/>
    </row>
    <row r="576" spans="1:14" s="18" customFormat="1">
      <c r="A576" s="70" t="s">
        <v>206</v>
      </c>
      <c r="B576" s="70"/>
      <c r="C576" s="70"/>
      <c r="D576" s="70"/>
      <c r="E576" s="70"/>
      <c r="F576" s="70"/>
      <c r="G576" s="70"/>
      <c r="H576" s="70"/>
      <c r="I576" s="56"/>
      <c r="L576" s="71"/>
      <c r="M576" s="71"/>
    </row>
    <row r="577" spans="1:14" s="18" customFormat="1" ht="15.75" customHeight="1">
      <c r="A577" s="72">
        <v>1</v>
      </c>
      <c r="B577" s="72"/>
      <c r="C577" s="54" t="s">
        <v>203</v>
      </c>
      <c r="D577" s="54">
        <f>(61.21)*10.764</f>
        <v>658.86443999999995</v>
      </c>
      <c r="E577" s="54">
        <f>(2.58)*10.764</f>
        <v>27.77112</v>
      </c>
      <c r="F577" s="55">
        <f t="shared" ref="F577" si="36">D577+E577</f>
        <v>686.63555999999994</v>
      </c>
      <c r="G577" s="55">
        <v>0</v>
      </c>
      <c r="H577" s="55">
        <f t="shared" ref="H577" si="37">F577*(($H$151)+1)+(IF(G577&lt;101,G577,IF(G577&lt;201,G577/2,IF(G577&lt;=301,G577/3,G577/4))))</f>
        <v>1064.285118</v>
      </c>
      <c r="I577" s="56"/>
      <c r="N577" s="56"/>
    </row>
    <row r="578" spans="1:14" s="18" customFormat="1" ht="15.75" customHeight="1">
      <c r="A578" s="72">
        <f>A577+1</f>
        <v>2</v>
      </c>
      <c r="B578" s="72"/>
      <c r="C578" s="76" t="s">
        <v>200</v>
      </c>
      <c r="D578" s="77"/>
      <c r="E578" s="77"/>
      <c r="F578" s="77"/>
      <c r="G578" s="77"/>
      <c r="H578" s="78"/>
      <c r="I578" s="56"/>
      <c r="J578" s="56"/>
      <c r="N578" s="56"/>
    </row>
    <row r="579" spans="1:14" s="18" customFormat="1" ht="15.75" customHeight="1">
      <c r="A579" s="72">
        <f>A578+1</f>
        <v>3</v>
      </c>
      <c r="B579" s="72"/>
      <c r="C579" s="54" t="s">
        <v>216</v>
      </c>
      <c r="D579" s="54">
        <f>(42.53)*10.764</f>
        <v>457.79291999999998</v>
      </c>
      <c r="E579" s="54">
        <v>0</v>
      </c>
      <c r="F579" s="55">
        <f t="shared" ref="F579:F581" si="38">D579+E579</f>
        <v>457.79291999999998</v>
      </c>
      <c r="G579" s="55">
        <v>0</v>
      </c>
      <c r="H579" s="55">
        <f t="shared" ref="H579:H581" si="39">F579*(($H$151)+1)+(IF(G579&lt;101,G579,IF(G579&lt;201,G579/2,IF(G579&lt;=301,G579/3,G579/4))))</f>
        <v>709.579026</v>
      </c>
      <c r="I579" s="56"/>
      <c r="J579" s="56"/>
      <c r="N579" s="56"/>
    </row>
    <row r="580" spans="1:14" s="18" customFormat="1" ht="15.75" customHeight="1">
      <c r="A580" s="72">
        <f>A579+1</f>
        <v>4</v>
      </c>
      <c r="B580" s="72"/>
      <c r="C580" s="54" t="s">
        <v>216</v>
      </c>
      <c r="D580" s="54">
        <f>(42.93)*10.764</f>
        <v>462.09851999999995</v>
      </c>
      <c r="E580" s="54">
        <v>0</v>
      </c>
      <c r="F580" s="55">
        <f t="shared" si="38"/>
        <v>462.09851999999995</v>
      </c>
      <c r="G580" s="55">
        <v>0</v>
      </c>
      <c r="H580" s="55">
        <f t="shared" si="39"/>
        <v>716.25270599999999</v>
      </c>
      <c r="I580" s="57"/>
      <c r="N580" s="56"/>
    </row>
    <row r="581" spans="1:14" s="18" customFormat="1" ht="15.75" customHeight="1">
      <c r="A581" s="72">
        <f>A580+1</f>
        <v>5</v>
      </c>
      <c r="B581" s="72"/>
      <c r="C581" s="54" t="s">
        <v>201</v>
      </c>
      <c r="D581" s="54">
        <f>(75.8)*10.764</f>
        <v>815.91119999999989</v>
      </c>
      <c r="E581" s="54">
        <f>(1.79)*10.764</f>
        <v>19.26756</v>
      </c>
      <c r="F581" s="55">
        <f t="shared" si="38"/>
        <v>835.1787599999999</v>
      </c>
      <c r="G581" s="55">
        <v>0</v>
      </c>
      <c r="H581" s="55">
        <f t="shared" si="39"/>
        <v>1294.5270779999998</v>
      </c>
      <c r="I581" s="57"/>
      <c r="N581" s="56"/>
    </row>
    <row r="582" spans="1:14" s="18" customFormat="1">
      <c r="A582" s="70" t="s">
        <v>207</v>
      </c>
      <c r="B582" s="70"/>
      <c r="C582" s="70"/>
      <c r="D582" s="70"/>
      <c r="E582" s="70"/>
      <c r="F582" s="70"/>
      <c r="G582" s="70"/>
      <c r="H582" s="70"/>
      <c r="I582" s="56"/>
      <c r="L582" s="71"/>
      <c r="M582" s="71"/>
    </row>
    <row r="583" spans="1:14" s="18" customFormat="1" ht="15.75" customHeight="1">
      <c r="A583" s="72">
        <v>1</v>
      </c>
      <c r="B583" s="72"/>
      <c r="C583" s="54" t="s">
        <v>203</v>
      </c>
      <c r="D583" s="54">
        <f>(61.21)*10.764</f>
        <v>658.86443999999995</v>
      </c>
      <c r="E583" s="54">
        <f>(2.58)*10.764</f>
        <v>27.77112</v>
      </c>
      <c r="F583" s="55">
        <f t="shared" ref="F583:F584" si="40">D583+E583</f>
        <v>686.63555999999994</v>
      </c>
      <c r="G583" s="55">
        <v>0</v>
      </c>
      <c r="H583" s="55">
        <f t="shared" ref="H583:H584" si="41">F583*(($H$151)+1)+(IF(G583&lt;101,G583,IF(G583&lt;201,G583/2,IF(G583&lt;=301,G583/3,G583/4))))</f>
        <v>1064.285118</v>
      </c>
      <c r="I583" s="56"/>
      <c r="N583" s="56"/>
    </row>
    <row r="584" spans="1:14" s="18" customFormat="1" ht="15.75" customHeight="1">
      <c r="A584" s="72">
        <f>A583+1</f>
        <v>2</v>
      </c>
      <c r="B584" s="72"/>
      <c r="C584" s="54" t="s">
        <v>203</v>
      </c>
      <c r="D584" s="54">
        <f>(61.39)*10.764</f>
        <v>660.80196000000001</v>
      </c>
      <c r="E584" s="54">
        <f>(1.69)*10.764</f>
        <v>18.19116</v>
      </c>
      <c r="F584" s="55">
        <f t="shared" si="40"/>
        <v>678.99311999999998</v>
      </c>
      <c r="G584" s="55">
        <v>0</v>
      </c>
      <c r="H584" s="55">
        <f t="shared" si="41"/>
        <v>1052.4393359999999</v>
      </c>
      <c r="I584" s="56"/>
      <c r="N584" s="56"/>
    </row>
    <row r="585" spans="1:14" s="18" customFormat="1" ht="15.75" customHeight="1">
      <c r="A585" s="72">
        <f>A584+1</f>
        <v>3</v>
      </c>
      <c r="B585" s="72"/>
      <c r="C585" s="54" t="s">
        <v>216</v>
      </c>
      <c r="D585" s="54">
        <f>(42.53)*10.764</f>
        <v>457.79291999999998</v>
      </c>
      <c r="E585" s="54">
        <v>0</v>
      </c>
      <c r="F585" s="55">
        <f t="shared" ref="F585:F587" si="42">D585+E585</f>
        <v>457.79291999999998</v>
      </c>
      <c r="G585" s="55">
        <v>0</v>
      </c>
      <c r="H585" s="55">
        <f t="shared" ref="H585:H587" si="43">F585*(($H$151)+1)+(IF(G585&lt;101,G585,IF(G585&lt;201,G585/2,IF(G585&lt;=301,G585/3,G585/4))))</f>
        <v>709.579026</v>
      </c>
      <c r="I585" s="56"/>
      <c r="N585" s="56"/>
    </row>
    <row r="586" spans="1:14" s="18" customFormat="1" ht="15.75" customHeight="1">
      <c r="A586" s="72">
        <f>A585+1</f>
        <v>4</v>
      </c>
      <c r="B586" s="72"/>
      <c r="C586" s="54" t="s">
        <v>216</v>
      </c>
      <c r="D586" s="54">
        <f>(42.93)*10.764</f>
        <v>462.09851999999995</v>
      </c>
      <c r="E586" s="54">
        <v>0</v>
      </c>
      <c r="F586" s="55">
        <f t="shared" si="42"/>
        <v>462.09851999999995</v>
      </c>
      <c r="G586" s="55">
        <v>0</v>
      </c>
      <c r="H586" s="55">
        <f t="shared" si="43"/>
        <v>716.25270599999999</v>
      </c>
      <c r="I586" s="56"/>
      <c r="N586" s="56"/>
    </row>
    <row r="587" spans="1:14" s="18" customFormat="1" ht="15.75" customHeight="1">
      <c r="A587" s="72">
        <f>A586+1</f>
        <v>5</v>
      </c>
      <c r="B587" s="72"/>
      <c r="C587" s="54" t="s">
        <v>201</v>
      </c>
      <c r="D587" s="54">
        <f>(75.8)*10.764</f>
        <v>815.91119999999989</v>
      </c>
      <c r="E587" s="54">
        <f>(1.79)*10.764</f>
        <v>19.26756</v>
      </c>
      <c r="F587" s="55">
        <f t="shared" si="42"/>
        <v>835.1787599999999</v>
      </c>
      <c r="G587" s="55">
        <v>0</v>
      </c>
      <c r="H587" s="55">
        <f t="shared" si="43"/>
        <v>1294.5270779999998</v>
      </c>
      <c r="I587" s="56"/>
      <c r="N587" s="56"/>
    </row>
    <row r="588" spans="1:14" s="18" customFormat="1">
      <c r="A588" s="70" t="s">
        <v>208</v>
      </c>
      <c r="B588" s="70"/>
      <c r="C588" s="70"/>
      <c r="D588" s="70"/>
      <c r="E588" s="70"/>
      <c r="F588" s="70"/>
      <c r="G588" s="70"/>
      <c r="H588" s="70"/>
      <c r="I588" s="56"/>
      <c r="L588" s="71"/>
      <c r="M588" s="71"/>
    </row>
    <row r="589" spans="1:14" s="18" customFormat="1" ht="15.75" customHeight="1">
      <c r="A589" s="72">
        <v>1</v>
      </c>
      <c r="B589" s="72"/>
      <c r="C589" s="76" t="s">
        <v>219</v>
      </c>
      <c r="D589" s="77"/>
      <c r="E589" s="77"/>
      <c r="F589" s="77"/>
      <c r="G589" s="77"/>
      <c r="H589" s="78"/>
      <c r="I589" s="56"/>
      <c r="N589" s="56"/>
    </row>
    <row r="590" spans="1:14" s="18" customFormat="1" ht="15.75" customHeight="1">
      <c r="A590" s="72">
        <f>A589+1</f>
        <v>2</v>
      </c>
      <c r="B590" s="72"/>
      <c r="C590" s="76" t="s">
        <v>200</v>
      </c>
      <c r="D590" s="77"/>
      <c r="E590" s="77"/>
      <c r="F590" s="77"/>
      <c r="G590" s="77"/>
      <c r="H590" s="78"/>
      <c r="I590" s="56"/>
      <c r="J590" s="56"/>
      <c r="N590" s="56"/>
    </row>
    <row r="591" spans="1:14" s="18" customFormat="1" ht="15.75" customHeight="1">
      <c r="A591" s="72">
        <f>A590+1</f>
        <v>3</v>
      </c>
      <c r="B591" s="72"/>
      <c r="C591" s="54" t="s">
        <v>216</v>
      </c>
      <c r="D591" s="54">
        <f>(42.53)*10.764</f>
        <v>457.79291999999998</v>
      </c>
      <c r="E591" s="54">
        <v>0</v>
      </c>
      <c r="F591" s="55">
        <f t="shared" ref="F591:F593" si="44">D591+E591</f>
        <v>457.79291999999998</v>
      </c>
      <c r="G591" s="55">
        <v>0</v>
      </c>
      <c r="H591" s="55">
        <f t="shared" ref="H591:H593" si="45">F591*(($H$151)+1)+(IF(G591&lt;101,G591,IF(G591&lt;201,G591/2,IF(G591&lt;=301,G591/3,G591/4))))</f>
        <v>709.579026</v>
      </c>
      <c r="I591" s="56"/>
      <c r="J591" s="56"/>
      <c r="N591" s="56"/>
    </row>
    <row r="592" spans="1:14" s="18" customFormat="1" ht="15.75" customHeight="1">
      <c r="A592" s="72">
        <f>A591+1</f>
        <v>4</v>
      </c>
      <c r="B592" s="72"/>
      <c r="C592" s="54" t="s">
        <v>216</v>
      </c>
      <c r="D592" s="54">
        <f>(42.93)*10.764</f>
        <v>462.09851999999995</v>
      </c>
      <c r="E592" s="54">
        <v>0</v>
      </c>
      <c r="F592" s="55">
        <f t="shared" si="44"/>
        <v>462.09851999999995</v>
      </c>
      <c r="G592" s="55">
        <v>0</v>
      </c>
      <c r="H592" s="55">
        <f t="shared" si="45"/>
        <v>716.25270599999999</v>
      </c>
      <c r="I592" s="57"/>
      <c r="N592" s="56"/>
    </row>
    <row r="593" spans="1:14" s="18" customFormat="1" ht="15.75" customHeight="1">
      <c r="A593" s="72">
        <f>A592+1</f>
        <v>5</v>
      </c>
      <c r="B593" s="72"/>
      <c r="C593" s="54" t="s">
        <v>201</v>
      </c>
      <c r="D593" s="54">
        <f>(75.8)*10.764</f>
        <v>815.91119999999989</v>
      </c>
      <c r="E593" s="54">
        <f>(1.79)*10.764</f>
        <v>19.26756</v>
      </c>
      <c r="F593" s="55">
        <f t="shared" si="44"/>
        <v>835.1787599999999</v>
      </c>
      <c r="G593" s="55">
        <v>0</v>
      </c>
      <c r="H593" s="55">
        <f t="shared" si="45"/>
        <v>1294.5270779999998</v>
      </c>
      <c r="I593" s="57"/>
      <c r="N593" s="56"/>
    </row>
    <row r="594" spans="1:14" s="19" customFormat="1">
      <c r="A594" s="70" t="s">
        <v>209</v>
      </c>
      <c r="B594" s="70"/>
      <c r="C594" s="70"/>
      <c r="D594" s="70"/>
      <c r="E594" s="70"/>
      <c r="F594" s="70"/>
      <c r="G594" s="70"/>
      <c r="H594" s="70"/>
      <c r="I594" s="58"/>
      <c r="L594" s="80"/>
      <c r="M594" s="80"/>
    </row>
    <row r="595" spans="1:14" s="19" customFormat="1">
      <c r="A595" s="79" t="s">
        <v>210</v>
      </c>
      <c r="B595" s="79"/>
      <c r="C595" s="79"/>
      <c r="D595" s="79"/>
      <c r="E595" s="79"/>
      <c r="F595" s="79"/>
      <c r="G595" s="79"/>
      <c r="H595" s="79"/>
      <c r="I595" s="58"/>
      <c r="L595" s="80"/>
      <c r="M595" s="80"/>
    </row>
    <row r="596" spans="1:14" s="18" customFormat="1" ht="15.75" customHeight="1">
      <c r="A596" s="72">
        <v>1</v>
      </c>
      <c r="B596" s="72"/>
      <c r="C596" s="54" t="s">
        <v>203</v>
      </c>
      <c r="D596" s="54">
        <f>(61.21)*10.764</f>
        <v>658.86443999999995</v>
      </c>
      <c r="E596" s="54">
        <f>(2.58)*10.764</f>
        <v>27.77112</v>
      </c>
      <c r="F596" s="55">
        <f t="shared" ref="F596" si="46">D596+E596</f>
        <v>686.63555999999994</v>
      </c>
      <c r="G596" s="55">
        <v>0</v>
      </c>
      <c r="H596" s="55">
        <f t="shared" ref="H596" si="47">F596*(($H$151)+1)+(IF(G596&lt;101,G596,IF(G596&lt;201,G596/2,IF(G596&lt;=301,G596/3,G596/4))))</f>
        <v>1064.285118</v>
      </c>
      <c r="I596" s="56"/>
      <c r="N596" s="56"/>
    </row>
    <row r="597" spans="1:14" s="18" customFormat="1" ht="15.75" customHeight="1">
      <c r="A597" s="72">
        <f>A596+1</f>
        <v>2</v>
      </c>
      <c r="B597" s="72"/>
      <c r="C597" s="76" t="s">
        <v>200</v>
      </c>
      <c r="D597" s="77"/>
      <c r="E597" s="77"/>
      <c r="F597" s="77"/>
      <c r="G597" s="77"/>
      <c r="H597" s="78"/>
      <c r="I597" s="56"/>
      <c r="J597" s="56"/>
      <c r="N597" s="56"/>
    </row>
    <row r="598" spans="1:14" s="18" customFormat="1" ht="15.75" customHeight="1">
      <c r="A598" s="72">
        <f>A597+1</f>
        <v>3</v>
      </c>
      <c r="B598" s="72"/>
      <c r="C598" s="54" t="s">
        <v>216</v>
      </c>
      <c r="D598" s="54">
        <f>(42.53)*10.764</f>
        <v>457.79291999999998</v>
      </c>
      <c r="E598" s="54">
        <v>0</v>
      </c>
      <c r="F598" s="55">
        <f t="shared" ref="F598:F600" si="48">D598+E598</f>
        <v>457.79291999999998</v>
      </c>
      <c r="G598" s="55">
        <v>0</v>
      </c>
      <c r="H598" s="55">
        <f t="shared" ref="H598:H600" si="49">F598*(($H$151)+1)+(IF(G598&lt;101,G598,IF(G598&lt;201,G598/2,IF(G598&lt;=301,G598/3,G598/4))))</f>
        <v>709.579026</v>
      </c>
      <c r="I598" s="56"/>
      <c r="J598" s="56"/>
      <c r="N598" s="56"/>
    </row>
    <row r="599" spans="1:14" s="18" customFormat="1" ht="15.75" customHeight="1">
      <c r="A599" s="72">
        <f>A598+1</f>
        <v>4</v>
      </c>
      <c r="B599" s="72"/>
      <c r="C599" s="54" t="s">
        <v>216</v>
      </c>
      <c r="D599" s="54">
        <f>(42.93)*10.764</f>
        <v>462.09851999999995</v>
      </c>
      <c r="E599" s="54">
        <v>0</v>
      </c>
      <c r="F599" s="55">
        <f t="shared" si="48"/>
        <v>462.09851999999995</v>
      </c>
      <c r="G599" s="55">
        <v>0</v>
      </c>
      <c r="H599" s="55">
        <f t="shared" si="49"/>
        <v>716.25270599999999</v>
      </c>
      <c r="I599" s="57"/>
      <c r="N599" s="56"/>
    </row>
    <row r="600" spans="1:14" s="18" customFormat="1" ht="15.75" customHeight="1">
      <c r="A600" s="72">
        <f>A599+1</f>
        <v>5</v>
      </c>
      <c r="B600" s="72"/>
      <c r="C600" s="54" t="s">
        <v>201</v>
      </c>
      <c r="D600" s="54">
        <f>(75.8)*10.764</f>
        <v>815.91119999999989</v>
      </c>
      <c r="E600" s="54">
        <f>(1.79)*10.764</f>
        <v>19.26756</v>
      </c>
      <c r="F600" s="55">
        <f t="shared" si="48"/>
        <v>835.1787599999999</v>
      </c>
      <c r="G600" s="55">
        <v>0</v>
      </c>
      <c r="H600" s="55">
        <f t="shared" si="49"/>
        <v>1294.5270779999998</v>
      </c>
      <c r="I600" s="57"/>
      <c r="N600" s="56"/>
    </row>
    <row r="601" spans="1:14" s="19" customFormat="1">
      <c r="A601" s="79" t="s">
        <v>211</v>
      </c>
      <c r="B601" s="79"/>
      <c r="C601" s="79"/>
      <c r="D601" s="79"/>
      <c r="E601" s="79"/>
      <c r="F601" s="79"/>
      <c r="G601" s="79"/>
      <c r="H601" s="79"/>
      <c r="I601" s="58"/>
      <c r="L601" s="80"/>
      <c r="M601" s="80"/>
    </row>
    <row r="602" spans="1:14" s="19" customFormat="1" ht="15.75" customHeight="1">
      <c r="A602" s="69">
        <v>1</v>
      </c>
      <c r="B602" s="69"/>
      <c r="C602" s="54" t="s">
        <v>203</v>
      </c>
      <c r="D602" s="54">
        <f>(61.21)*10.764</f>
        <v>658.86443999999995</v>
      </c>
      <c r="E602" s="54">
        <f>(2.58)*10.764</f>
        <v>27.77112</v>
      </c>
      <c r="F602" s="55">
        <f t="shared" ref="F602" si="50">D602+E602</f>
        <v>686.63555999999994</v>
      </c>
      <c r="G602" s="55">
        <v>0</v>
      </c>
      <c r="H602" s="55">
        <f t="shared" ref="H602" si="51">F602*(($H$151)+1)+(IF(G602&lt;101,G602,IF(G602&lt;201,G602/2,IF(G602&lt;=301,G602/3,G602/4))))</f>
        <v>1064.285118</v>
      </c>
      <c r="I602" s="58"/>
      <c r="N602" s="58"/>
    </row>
    <row r="603" spans="1:14" s="19" customFormat="1" ht="15.75" customHeight="1">
      <c r="A603" s="69">
        <f>A602+1</f>
        <v>2</v>
      </c>
      <c r="B603" s="69"/>
      <c r="C603" s="54" t="s">
        <v>203</v>
      </c>
      <c r="D603" s="54">
        <f>(61.39)*10.764</f>
        <v>660.80196000000001</v>
      </c>
      <c r="E603" s="54">
        <f>(1.69)*10.764</f>
        <v>18.19116</v>
      </c>
      <c r="F603" s="55">
        <f t="shared" ref="F603" si="52">D603+E603</f>
        <v>678.99311999999998</v>
      </c>
      <c r="G603" s="55">
        <v>0</v>
      </c>
      <c r="H603" s="55">
        <f t="shared" ref="H603" si="53">F603*(($H$151)+1)+(IF(G603&lt;101,G603,IF(G603&lt;201,G603/2,IF(G603&lt;=301,G603/3,G603/4))))</f>
        <v>1052.4393359999999</v>
      </c>
      <c r="I603" s="58"/>
      <c r="N603" s="58"/>
    </row>
    <row r="604" spans="1:14" s="19" customFormat="1" ht="15.75" customHeight="1">
      <c r="A604" s="69">
        <f>A603+1</f>
        <v>3</v>
      </c>
      <c r="B604" s="69"/>
      <c r="C604" s="54" t="s">
        <v>216</v>
      </c>
      <c r="D604" s="54">
        <f>(42.53)*10.764</f>
        <v>457.79291999999998</v>
      </c>
      <c r="E604" s="54">
        <v>0</v>
      </c>
      <c r="F604" s="55">
        <f t="shared" ref="F604:F606" si="54">D604+E604</f>
        <v>457.79291999999998</v>
      </c>
      <c r="G604" s="55">
        <v>0</v>
      </c>
      <c r="H604" s="55">
        <f t="shared" ref="H604:H606" si="55">F604*(($H$151)+1)+(IF(G604&lt;101,G604,IF(G604&lt;201,G604/2,IF(G604&lt;=301,G604/3,G604/4))))</f>
        <v>709.579026</v>
      </c>
      <c r="I604" s="58"/>
      <c r="N604" s="58"/>
    </row>
    <row r="605" spans="1:14" s="19" customFormat="1" ht="15.75" customHeight="1">
      <c r="A605" s="69">
        <f>A604+1</f>
        <v>4</v>
      </c>
      <c r="B605" s="69"/>
      <c r="C605" s="54" t="s">
        <v>216</v>
      </c>
      <c r="D605" s="54">
        <f>(42.93)*10.764</f>
        <v>462.09851999999995</v>
      </c>
      <c r="E605" s="54">
        <v>0</v>
      </c>
      <c r="F605" s="55">
        <f t="shared" si="54"/>
        <v>462.09851999999995</v>
      </c>
      <c r="G605" s="55">
        <v>0</v>
      </c>
      <c r="H605" s="55">
        <f t="shared" si="55"/>
        <v>716.25270599999999</v>
      </c>
      <c r="I605" s="58"/>
      <c r="N605" s="58"/>
    </row>
    <row r="606" spans="1:14" s="19" customFormat="1" ht="15.75" customHeight="1">
      <c r="A606" s="69">
        <f>A605+1</f>
        <v>5</v>
      </c>
      <c r="B606" s="69"/>
      <c r="C606" s="54" t="s">
        <v>201</v>
      </c>
      <c r="D606" s="54">
        <f>(75.8)*10.764</f>
        <v>815.91119999999989</v>
      </c>
      <c r="E606" s="54">
        <f>(1.79)*10.764</f>
        <v>19.26756</v>
      </c>
      <c r="F606" s="55">
        <f t="shared" si="54"/>
        <v>835.1787599999999</v>
      </c>
      <c r="G606" s="55">
        <v>0</v>
      </c>
      <c r="H606" s="55">
        <f t="shared" si="55"/>
        <v>1294.5270779999998</v>
      </c>
      <c r="I606" s="58"/>
      <c r="N606" s="58"/>
    </row>
    <row r="607" spans="1:14" s="19" customFormat="1">
      <c r="A607" s="79" t="s">
        <v>212</v>
      </c>
      <c r="B607" s="79"/>
      <c r="C607" s="79"/>
      <c r="D607" s="79"/>
      <c r="E607" s="79"/>
      <c r="F607" s="79"/>
      <c r="G607" s="79"/>
      <c r="H607" s="79"/>
      <c r="I607" s="58"/>
      <c r="L607" s="80"/>
      <c r="M607" s="80"/>
    </row>
    <row r="608" spans="1:14" s="19" customFormat="1" ht="15.75" customHeight="1">
      <c r="A608" s="69">
        <v>1</v>
      </c>
      <c r="B608" s="69"/>
      <c r="C608" s="54" t="s">
        <v>203</v>
      </c>
      <c r="D608" s="54">
        <f>(61.21)*10.764</f>
        <v>658.86443999999995</v>
      </c>
      <c r="E608" s="54">
        <f>(2.58)*10.764</f>
        <v>27.77112</v>
      </c>
      <c r="F608" s="55">
        <f t="shared" ref="F608" si="56">D608+E608</f>
        <v>686.63555999999994</v>
      </c>
      <c r="G608" s="55">
        <v>0</v>
      </c>
      <c r="H608" s="55">
        <f t="shared" ref="H608" si="57">F608*(($H$151)+1)+(IF(G608&lt;101,G608,IF(G608&lt;201,G608/2,IF(G608&lt;=301,G608/3,G608/4))))</f>
        <v>1064.285118</v>
      </c>
      <c r="I608" s="58"/>
      <c r="N608" s="58"/>
    </row>
    <row r="609" spans="1:14" s="19" customFormat="1" ht="15.75" customHeight="1">
      <c r="A609" s="69">
        <f>A608+1</f>
        <v>2</v>
      </c>
      <c r="B609" s="69"/>
      <c r="C609" s="76" t="s">
        <v>200</v>
      </c>
      <c r="D609" s="77"/>
      <c r="E609" s="77"/>
      <c r="F609" s="77"/>
      <c r="G609" s="77"/>
      <c r="H609" s="78"/>
      <c r="I609" s="58"/>
      <c r="N609" s="58"/>
    </row>
    <row r="610" spans="1:14" s="19" customFormat="1" ht="15.75" customHeight="1">
      <c r="A610" s="69">
        <f>A609+1</f>
        <v>3</v>
      </c>
      <c r="B610" s="69"/>
      <c r="C610" s="54" t="s">
        <v>216</v>
      </c>
      <c r="D610" s="54">
        <f>(42.53)*10.764</f>
        <v>457.79291999999998</v>
      </c>
      <c r="E610" s="54">
        <v>0</v>
      </c>
      <c r="F610" s="55">
        <f t="shared" ref="F610:F612" si="58">D610+E610</f>
        <v>457.79291999999998</v>
      </c>
      <c r="G610" s="55">
        <v>0</v>
      </c>
      <c r="H610" s="55">
        <f t="shared" ref="H610:H612" si="59">F610*(($H$151)+1)+(IF(G610&lt;101,G610,IF(G610&lt;201,G610/2,IF(G610&lt;=301,G610/3,G610/4))))</f>
        <v>709.579026</v>
      </c>
      <c r="I610" s="58"/>
      <c r="N610" s="58"/>
    </row>
    <row r="611" spans="1:14" s="19" customFormat="1" ht="15.75" customHeight="1">
      <c r="A611" s="69">
        <f>A610+1</f>
        <v>4</v>
      </c>
      <c r="B611" s="69"/>
      <c r="C611" s="54" t="s">
        <v>216</v>
      </c>
      <c r="D611" s="54">
        <f>(42.93)*10.764</f>
        <v>462.09851999999995</v>
      </c>
      <c r="E611" s="54">
        <v>0</v>
      </c>
      <c r="F611" s="55">
        <f t="shared" si="58"/>
        <v>462.09851999999995</v>
      </c>
      <c r="G611" s="55">
        <v>0</v>
      </c>
      <c r="H611" s="55">
        <f t="shared" si="59"/>
        <v>716.25270599999999</v>
      </c>
      <c r="I611" s="58"/>
      <c r="N611" s="58"/>
    </row>
    <row r="612" spans="1:14" s="19" customFormat="1" ht="15.75" customHeight="1">
      <c r="A612" s="69">
        <f>A611+1</f>
        <v>5</v>
      </c>
      <c r="B612" s="69"/>
      <c r="C612" s="54" t="s">
        <v>201</v>
      </c>
      <c r="D612" s="54">
        <f>(75.8)*10.764</f>
        <v>815.91119999999989</v>
      </c>
      <c r="E612" s="54">
        <f>(1.79)*10.764</f>
        <v>19.26756</v>
      </c>
      <c r="F612" s="55">
        <f t="shared" si="58"/>
        <v>835.1787599999999</v>
      </c>
      <c r="G612" s="55">
        <v>0</v>
      </c>
      <c r="H612" s="55">
        <f t="shared" si="59"/>
        <v>1294.5270779999998</v>
      </c>
      <c r="I612" s="58"/>
      <c r="N612" s="58"/>
    </row>
    <row r="613" spans="1:14" s="19" customFormat="1">
      <c r="A613" s="79" t="s">
        <v>213</v>
      </c>
      <c r="B613" s="79"/>
      <c r="C613" s="79"/>
      <c r="D613" s="79"/>
      <c r="E613" s="79"/>
      <c r="F613" s="79"/>
      <c r="G613" s="79"/>
      <c r="H613" s="79"/>
      <c r="I613" s="58"/>
      <c r="L613" s="80"/>
      <c r="M613" s="80"/>
    </row>
    <row r="614" spans="1:14" s="19" customFormat="1" ht="15.75" customHeight="1">
      <c r="A614" s="69">
        <v>1</v>
      </c>
      <c r="B614" s="69"/>
      <c r="C614" s="54" t="s">
        <v>203</v>
      </c>
      <c r="D614" s="54">
        <f>(61.21)*10.764</f>
        <v>658.86443999999995</v>
      </c>
      <c r="E614" s="54">
        <f>(2.58)*10.764</f>
        <v>27.77112</v>
      </c>
      <c r="F614" s="55">
        <f t="shared" ref="F614" si="60">D614+E614</f>
        <v>686.63555999999994</v>
      </c>
      <c r="G614" s="55">
        <v>0</v>
      </c>
      <c r="H614" s="55">
        <f t="shared" ref="H614" si="61">F614*(($H$151)+1)+(IF(G614&lt;101,G614,IF(G614&lt;201,G614/2,IF(G614&lt;=301,G614/3,G614/4))))</f>
        <v>1064.285118</v>
      </c>
      <c r="I614" s="58"/>
      <c r="N614" s="58"/>
    </row>
    <row r="615" spans="1:14" s="19" customFormat="1" ht="15.75" customHeight="1">
      <c r="A615" s="69">
        <f>A614+1</f>
        <v>2</v>
      </c>
      <c r="B615" s="69"/>
      <c r="C615" s="76" t="s">
        <v>220</v>
      </c>
      <c r="D615" s="77"/>
      <c r="E615" s="77"/>
      <c r="F615" s="77"/>
      <c r="G615" s="77"/>
      <c r="H615" s="78"/>
      <c r="I615" s="58"/>
      <c r="N615" s="58"/>
    </row>
    <row r="616" spans="1:14" s="19" customFormat="1" ht="15.75" customHeight="1">
      <c r="A616" s="69">
        <f>A615+1</f>
        <v>3</v>
      </c>
      <c r="B616" s="69"/>
      <c r="C616" s="54" t="s">
        <v>216</v>
      </c>
      <c r="D616" s="54">
        <f>(42.53)*10.764</f>
        <v>457.79291999999998</v>
      </c>
      <c r="E616" s="54">
        <v>0</v>
      </c>
      <c r="F616" s="55">
        <f t="shared" ref="F616:F618" si="62">D616+E616</f>
        <v>457.79291999999998</v>
      </c>
      <c r="G616" s="55">
        <v>0</v>
      </c>
      <c r="H616" s="55">
        <f t="shared" ref="H616:H618" si="63">F616*(($H$151)+1)+(IF(G616&lt;101,G616,IF(G616&lt;201,G616/2,IF(G616&lt;=301,G616/3,G616/4))))</f>
        <v>709.579026</v>
      </c>
      <c r="I616" s="58"/>
      <c r="N616" s="58"/>
    </row>
    <row r="617" spans="1:14" s="19" customFormat="1" ht="15.75" customHeight="1">
      <c r="A617" s="69">
        <f>A616+1</f>
        <v>4</v>
      </c>
      <c r="B617" s="69"/>
      <c r="C617" s="54" t="s">
        <v>216</v>
      </c>
      <c r="D617" s="54">
        <f>(42.93)*10.764</f>
        <v>462.09851999999995</v>
      </c>
      <c r="E617" s="54">
        <v>0</v>
      </c>
      <c r="F617" s="55">
        <f t="shared" si="62"/>
        <v>462.09851999999995</v>
      </c>
      <c r="G617" s="55">
        <v>0</v>
      </c>
      <c r="H617" s="55">
        <f t="shared" si="63"/>
        <v>716.25270599999999</v>
      </c>
      <c r="I617" s="58"/>
      <c r="N617" s="58"/>
    </row>
    <row r="618" spans="1:14" s="19" customFormat="1" ht="15.75" customHeight="1">
      <c r="A618" s="69">
        <f>A617+1</f>
        <v>5</v>
      </c>
      <c r="B618" s="69"/>
      <c r="C618" s="54" t="s">
        <v>201</v>
      </c>
      <c r="D618" s="54">
        <f>(75.8)*10.764</f>
        <v>815.91119999999989</v>
      </c>
      <c r="E618" s="54">
        <f>(1.79)*10.764</f>
        <v>19.26756</v>
      </c>
      <c r="F618" s="55">
        <f t="shared" si="62"/>
        <v>835.1787599999999</v>
      </c>
      <c r="G618" s="55">
        <v>0</v>
      </c>
      <c r="H618" s="55">
        <f t="shared" si="63"/>
        <v>1294.5270779999998</v>
      </c>
      <c r="I618" s="58"/>
      <c r="N618" s="58"/>
    </row>
    <row r="619" spans="1:14" s="19" customFormat="1">
      <c r="A619" s="79" t="s">
        <v>214</v>
      </c>
      <c r="B619" s="79"/>
      <c r="C619" s="79"/>
      <c r="D619" s="79"/>
      <c r="E619" s="79"/>
      <c r="F619" s="79"/>
      <c r="G619" s="79"/>
      <c r="H619" s="79"/>
      <c r="I619" s="58"/>
      <c r="L619" s="80"/>
      <c r="M619" s="80"/>
    </row>
    <row r="620" spans="1:14" s="19" customFormat="1" ht="15.75" customHeight="1">
      <c r="A620" s="69">
        <v>1</v>
      </c>
      <c r="B620" s="69"/>
      <c r="C620" s="76" t="s">
        <v>219</v>
      </c>
      <c r="D620" s="77"/>
      <c r="E620" s="77"/>
      <c r="F620" s="77"/>
      <c r="G620" s="77"/>
      <c r="H620" s="78"/>
      <c r="I620" s="58"/>
      <c r="N620" s="58"/>
    </row>
    <row r="621" spans="1:14" s="19" customFormat="1" ht="15.75" customHeight="1">
      <c r="A621" s="69">
        <f>A620+1</f>
        <v>2</v>
      </c>
      <c r="B621" s="69"/>
      <c r="C621" s="54" t="s">
        <v>203</v>
      </c>
      <c r="D621" s="54">
        <f>(61.39)*10.764</f>
        <v>660.80196000000001</v>
      </c>
      <c r="E621" s="54">
        <f>(1.69)*10.764</f>
        <v>18.19116</v>
      </c>
      <c r="F621" s="55">
        <f t="shared" ref="F621" si="64">D621+E621</f>
        <v>678.99311999999998</v>
      </c>
      <c r="G621" s="55">
        <v>0</v>
      </c>
      <c r="H621" s="55">
        <f t="shared" ref="H621" si="65">F621*(($H$151)+1)+(IF(G621&lt;101,G621,IF(G621&lt;201,G621/2,IF(G621&lt;=301,G621/3,G621/4))))</f>
        <v>1052.4393359999999</v>
      </c>
      <c r="I621" s="58"/>
      <c r="N621" s="58"/>
    </row>
    <row r="622" spans="1:14" s="19" customFormat="1" ht="15.75" customHeight="1">
      <c r="A622" s="69">
        <f>A621+1</f>
        <v>3</v>
      </c>
      <c r="B622" s="69"/>
      <c r="C622" s="54" t="s">
        <v>216</v>
      </c>
      <c r="D622" s="54">
        <f>(42.53)*10.764</f>
        <v>457.79291999999998</v>
      </c>
      <c r="E622" s="54">
        <v>0</v>
      </c>
      <c r="F622" s="55">
        <f t="shared" ref="F622:F624" si="66">D622+E622</f>
        <v>457.79291999999998</v>
      </c>
      <c r="G622" s="55">
        <v>0</v>
      </c>
      <c r="H622" s="55">
        <f t="shared" ref="H622:H624" si="67">F622*(($H$151)+1)+(IF(G622&lt;101,G622,IF(G622&lt;201,G622/2,IF(G622&lt;=301,G622/3,G622/4))))</f>
        <v>709.579026</v>
      </c>
      <c r="I622" s="58"/>
      <c r="N622" s="58"/>
    </row>
    <row r="623" spans="1:14" s="19" customFormat="1" ht="15.75" customHeight="1">
      <c r="A623" s="69">
        <f>A622+1</f>
        <v>4</v>
      </c>
      <c r="B623" s="69"/>
      <c r="C623" s="54" t="s">
        <v>216</v>
      </c>
      <c r="D623" s="54">
        <f>(42.93)*10.764</f>
        <v>462.09851999999995</v>
      </c>
      <c r="E623" s="54">
        <v>0</v>
      </c>
      <c r="F623" s="55">
        <f t="shared" si="66"/>
        <v>462.09851999999995</v>
      </c>
      <c r="G623" s="55">
        <v>0</v>
      </c>
      <c r="H623" s="55">
        <f t="shared" si="67"/>
        <v>716.25270599999999</v>
      </c>
      <c r="I623" s="58"/>
      <c r="N623" s="58"/>
    </row>
    <row r="624" spans="1:14" s="19" customFormat="1" ht="15.75" customHeight="1">
      <c r="A624" s="69">
        <f>A623+1</f>
        <v>5</v>
      </c>
      <c r="B624" s="69"/>
      <c r="C624" s="54" t="s">
        <v>201</v>
      </c>
      <c r="D624" s="54">
        <f>(75.8)*10.764</f>
        <v>815.91119999999989</v>
      </c>
      <c r="E624" s="54">
        <f>(1.79)*10.764</f>
        <v>19.26756</v>
      </c>
      <c r="F624" s="55">
        <f t="shared" si="66"/>
        <v>835.1787599999999</v>
      </c>
      <c r="G624" s="55">
        <v>0</v>
      </c>
      <c r="H624" s="55">
        <f t="shared" si="67"/>
        <v>1294.5270779999998</v>
      </c>
      <c r="I624" s="58"/>
      <c r="N624" s="58"/>
    </row>
    <row r="625" spans="1:14" s="19" customFormat="1">
      <c r="A625" s="79" t="s">
        <v>215</v>
      </c>
      <c r="B625" s="79"/>
      <c r="C625" s="79"/>
      <c r="D625" s="79"/>
      <c r="E625" s="79"/>
      <c r="F625" s="79"/>
      <c r="G625" s="79"/>
      <c r="H625" s="79"/>
      <c r="I625" s="58"/>
      <c r="L625" s="80"/>
      <c r="M625" s="80"/>
    </row>
    <row r="626" spans="1:14" s="19" customFormat="1" ht="15.75" customHeight="1">
      <c r="A626" s="69">
        <v>1</v>
      </c>
      <c r="B626" s="69"/>
      <c r="C626" s="76" t="s">
        <v>221</v>
      </c>
      <c r="D626" s="77"/>
      <c r="E626" s="77"/>
      <c r="F626" s="77"/>
      <c r="G626" s="77"/>
      <c r="H626" s="78"/>
      <c r="I626" s="58"/>
      <c r="N626" s="58"/>
    </row>
    <row r="627" spans="1:14" s="19" customFormat="1" ht="15.75" customHeight="1">
      <c r="A627" s="69">
        <f>A626+1</f>
        <v>2</v>
      </c>
      <c r="B627" s="69"/>
      <c r="C627" s="54" t="s">
        <v>203</v>
      </c>
      <c r="D627" s="54">
        <f>(61.39)*10.764</f>
        <v>660.80196000000001</v>
      </c>
      <c r="E627" s="54">
        <f>(1.69)*10.764</f>
        <v>18.19116</v>
      </c>
      <c r="F627" s="55">
        <f t="shared" ref="F627" si="68">D627+E627</f>
        <v>678.99311999999998</v>
      </c>
      <c r="G627" s="55">
        <v>0</v>
      </c>
      <c r="H627" s="55">
        <f t="shared" ref="H627" si="69">F627*(($H$151)+1)+(IF(G627&lt;101,G627,IF(G627&lt;201,G627/2,IF(G627&lt;=301,G627/3,G627/4))))</f>
        <v>1052.4393359999999</v>
      </c>
      <c r="I627" s="58"/>
      <c r="N627" s="58"/>
    </row>
    <row r="628" spans="1:14" s="19" customFormat="1" ht="15.75" customHeight="1">
      <c r="A628" s="69">
        <f>A627+1</f>
        <v>3</v>
      </c>
      <c r="B628" s="69"/>
      <c r="C628" s="54" t="s">
        <v>216</v>
      </c>
      <c r="D628" s="54">
        <f>(42.53)*10.764</f>
        <v>457.79291999999998</v>
      </c>
      <c r="E628" s="54">
        <v>0</v>
      </c>
      <c r="F628" s="55">
        <f t="shared" ref="F628:F630" si="70">D628+E628</f>
        <v>457.79291999999998</v>
      </c>
      <c r="G628" s="55">
        <v>0</v>
      </c>
      <c r="H628" s="55">
        <f t="shared" ref="H628:H630" si="71">F628*(($H$151)+1)+(IF(G628&lt;101,G628,IF(G628&lt;201,G628/2,IF(G628&lt;=301,G628/3,G628/4))))</f>
        <v>709.579026</v>
      </c>
      <c r="I628" s="58"/>
      <c r="N628" s="58"/>
    </row>
    <row r="629" spans="1:14" s="19" customFormat="1" ht="15.75" customHeight="1">
      <c r="A629" s="69">
        <f>A628+1</f>
        <v>4</v>
      </c>
      <c r="B629" s="69"/>
      <c r="C629" s="54" t="s">
        <v>216</v>
      </c>
      <c r="D629" s="54">
        <f>(42.93)*10.764</f>
        <v>462.09851999999995</v>
      </c>
      <c r="E629" s="54">
        <v>0</v>
      </c>
      <c r="F629" s="55">
        <f t="shared" si="70"/>
        <v>462.09851999999995</v>
      </c>
      <c r="G629" s="55">
        <v>0</v>
      </c>
      <c r="H629" s="55">
        <f t="shared" si="71"/>
        <v>716.25270599999999</v>
      </c>
      <c r="I629" s="58"/>
      <c r="N629" s="58"/>
    </row>
    <row r="630" spans="1:14" s="19" customFormat="1" ht="15.75" customHeight="1">
      <c r="A630" s="69">
        <f>A629+1</f>
        <v>5</v>
      </c>
      <c r="B630" s="69"/>
      <c r="C630" s="54" t="s">
        <v>201</v>
      </c>
      <c r="D630" s="54">
        <f>(75.8)*10.764</f>
        <v>815.91119999999989</v>
      </c>
      <c r="E630" s="54">
        <f>(1.79)*10.764</f>
        <v>19.26756</v>
      </c>
      <c r="F630" s="55">
        <f t="shared" si="70"/>
        <v>835.1787599999999</v>
      </c>
      <c r="G630" s="55">
        <v>0</v>
      </c>
      <c r="H630" s="55">
        <f t="shared" si="71"/>
        <v>1294.5270779999998</v>
      </c>
      <c r="I630" s="58"/>
      <c r="N630" s="58"/>
    </row>
    <row r="631" spans="1:14" s="19" customFormat="1">
      <c r="A631" s="79" t="s">
        <v>272</v>
      </c>
      <c r="B631" s="79"/>
      <c r="C631" s="79"/>
      <c r="D631" s="79"/>
      <c r="E631" s="79"/>
      <c r="F631" s="79"/>
      <c r="G631" s="79"/>
      <c r="H631" s="79"/>
      <c r="I631" s="58"/>
      <c r="L631" s="80"/>
      <c r="M631" s="80"/>
    </row>
    <row r="632" spans="1:14" s="19" customFormat="1" ht="15.75" customHeight="1">
      <c r="A632" s="69">
        <v>1</v>
      </c>
      <c r="B632" s="69"/>
      <c r="C632" s="76" t="s">
        <v>280</v>
      </c>
      <c r="D632" s="77"/>
      <c r="E632" s="77"/>
      <c r="F632" s="77"/>
      <c r="G632" s="77"/>
      <c r="H632" s="78"/>
      <c r="I632" s="58"/>
      <c r="N632" s="58"/>
    </row>
    <row r="633" spans="1:14" s="19" customFormat="1" ht="15.75" customHeight="1">
      <c r="A633" s="69">
        <f>A632+1</f>
        <v>2</v>
      </c>
      <c r="B633" s="69"/>
      <c r="C633" s="54" t="s">
        <v>203</v>
      </c>
      <c r="D633" s="54">
        <f>(61.87)*10.764</f>
        <v>665.96867999999995</v>
      </c>
      <c r="E633" s="54">
        <f>(5.52)*10.764</f>
        <v>59.417279999999991</v>
      </c>
      <c r="F633" s="55">
        <f t="shared" ref="F633:F636" si="72">D633+E633</f>
        <v>725.38595999999995</v>
      </c>
      <c r="G633" s="55">
        <v>0</v>
      </c>
      <c r="H633" s="55">
        <f t="shared" ref="H633:H636" si="73">F633*(($H$151)+1)+(IF(G633&lt;101,G633,IF(G633&lt;201,G633/2,IF(G633&lt;=301,G633/3,G633/4))))</f>
        <v>1124.348238</v>
      </c>
      <c r="I633" s="58"/>
      <c r="N633" s="58"/>
    </row>
    <row r="634" spans="1:14" s="19" customFormat="1" ht="15.75" customHeight="1">
      <c r="A634" s="69">
        <f>A633+1</f>
        <v>3</v>
      </c>
      <c r="B634" s="69"/>
      <c r="C634" s="54" t="s">
        <v>216</v>
      </c>
      <c r="D634" s="54">
        <f>(42.53)*10.764</f>
        <v>457.79291999999998</v>
      </c>
      <c r="E634" s="54">
        <v>0</v>
      </c>
      <c r="F634" s="55">
        <f t="shared" si="72"/>
        <v>457.79291999999998</v>
      </c>
      <c r="G634" s="55">
        <v>0</v>
      </c>
      <c r="H634" s="55">
        <f t="shared" si="73"/>
        <v>709.579026</v>
      </c>
      <c r="I634" s="58"/>
      <c r="N634" s="58"/>
    </row>
    <row r="635" spans="1:14" s="19" customFormat="1" ht="15.75" customHeight="1">
      <c r="A635" s="69">
        <f>A634+1</f>
        <v>4</v>
      </c>
      <c r="B635" s="69"/>
      <c r="C635" s="54" t="s">
        <v>216</v>
      </c>
      <c r="D635" s="54">
        <f>(42.93)*10.764</f>
        <v>462.09851999999995</v>
      </c>
      <c r="E635" s="54">
        <v>0</v>
      </c>
      <c r="F635" s="55">
        <f t="shared" si="72"/>
        <v>462.09851999999995</v>
      </c>
      <c r="G635" s="55">
        <v>0</v>
      </c>
      <c r="H635" s="55">
        <f t="shared" si="73"/>
        <v>716.25270599999999</v>
      </c>
      <c r="I635" s="58"/>
      <c r="N635" s="58"/>
    </row>
    <row r="636" spans="1:14" s="19" customFormat="1" ht="15.75" customHeight="1">
      <c r="A636" s="69">
        <f>A635+1</f>
        <v>5</v>
      </c>
      <c r="B636" s="69"/>
      <c r="C636" s="54" t="s">
        <v>201</v>
      </c>
      <c r="D636" s="54">
        <f>(75.8)*10.764</f>
        <v>815.91119999999989</v>
      </c>
      <c r="E636" s="54">
        <f>(1.79)*10.764</f>
        <v>19.26756</v>
      </c>
      <c r="F636" s="55">
        <f t="shared" si="72"/>
        <v>835.1787599999999</v>
      </c>
      <c r="G636" s="55">
        <v>0</v>
      </c>
      <c r="H636" s="55">
        <f t="shared" si="73"/>
        <v>1294.5270779999998</v>
      </c>
      <c r="I636" s="58"/>
      <c r="N636" s="58"/>
    </row>
    <row r="637" spans="1:14" s="19" customFormat="1">
      <c r="A637" s="79" t="s">
        <v>274</v>
      </c>
      <c r="B637" s="79"/>
      <c r="C637" s="79"/>
      <c r="D637" s="79"/>
      <c r="E637" s="79"/>
      <c r="F637" s="79"/>
      <c r="G637" s="79"/>
      <c r="H637" s="79"/>
      <c r="I637" s="58"/>
      <c r="L637" s="80"/>
      <c r="M637" s="80"/>
    </row>
    <row r="638" spans="1:14" s="19" customFormat="1" ht="15.75" customHeight="1">
      <c r="A638" s="69">
        <v>1</v>
      </c>
      <c r="B638" s="69"/>
      <c r="C638" s="76" t="s">
        <v>224</v>
      </c>
      <c r="D638" s="77"/>
      <c r="E638" s="77"/>
      <c r="F638" s="77"/>
      <c r="G638" s="77"/>
      <c r="H638" s="78"/>
      <c r="I638" s="58"/>
      <c r="N638" s="58"/>
    </row>
    <row r="639" spans="1:14" s="19" customFormat="1" ht="15.75" customHeight="1">
      <c r="A639" s="69">
        <f>A638+1</f>
        <v>2</v>
      </c>
      <c r="B639" s="69"/>
      <c r="C639" s="54" t="s">
        <v>203</v>
      </c>
      <c r="D639" s="54">
        <f>(61.87)*10.764</f>
        <v>665.96867999999995</v>
      </c>
      <c r="E639" s="54">
        <f>(5.52)*10.764</f>
        <v>59.417279999999991</v>
      </c>
      <c r="F639" s="55">
        <f t="shared" ref="F639:F642" si="74">D639+E639</f>
        <v>725.38595999999995</v>
      </c>
      <c r="G639" s="55">
        <v>0</v>
      </c>
      <c r="H639" s="55">
        <f t="shared" ref="H639:H642" si="75">F639*(($H$151)+1)+(IF(G639&lt;101,G639,IF(G639&lt;201,G639/2,IF(G639&lt;=301,G639/3,G639/4))))</f>
        <v>1124.348238</v>
      </c>
      <c r="I639" s="58"/>
      <c r="N639" s="58"/>
    </row>
    <row r="640" spans="1:14" s="19" customFormat="1" ht="15.75" customHeight="1">
      <c r="A640" s="69">
        <f>A639+1</f>
        <v>3</v>
      </c>
      <c r="B640" s="69"/>
      <c r="C640" s="54" t="s">
        <v>216</v>
      </c>
      <c r="D640" s="54">
        <f>(42.53)*10.764</f>
        <v>457.79291999999998</v>
      </c>
      <c r="E640" s="54">
        <v>0</v>
      </c>
      <c r="F640" s="55">
        <f t="shared" si="74"/>
        <v>457.79291999999998</v>
      </c>
      <c r="G640" s="55">
        <v>0</v>
      </c>
      <c r="H640" s="55">
        <f t="shared" si="75"/>
        <v>709.579026</v>
      </c>
      <c r="I640" s="58"/>
      <c r="N640" s="58"/>
    </row>
    <row r="641" spans="1:14" s="19" customFormat="1" ht="15.75" customHeight="1">
      <c r="A641" s="69">
        <f>A640+1</f>
        <v>4</v>
      </c>
      <c r="B641" s="69"/>
      <c r="C641" s="54" t="s">
        <v>216</v>
      </c>
      <c r="D641" s="54">
        <f>(42.93)*10.764</f>
        <v>462.09851999999995</v>
      </c>
      <c r="E641" s="54">
        <v>0</v>
      </c>
      <c r="F641" s="55">
        <f t="shared" si="74"/>
        <v>462.09851999999995</v>
      </c>
      <c r="G641" s="55">
        <v>0</v>
      </c>
      <c r="H641" s="55">
        <f t="shared" si="75"/>
        <v>716.25270599999999</v>
      </c>
      <c r="I641" s="58"/>
      <c r="N641" s="58"/>
    </row>
    <row r="642" spans="1:14" s="19" customFormat="1" ht="15.75" customHeight="1">
      <c r="A642" s="69">
        <f>A641+1</f>
        <v>5</v>
      </c>
      <c r="B642" s="69"/>
      <c r="C642" s="54" t="s">
        <v>201</v>
      </c>
      <c r="D642" s="54">
        <f>(75.8)*10.764</f>
        <v>815.91119999999989</v>
      </c>
      <c r="E642" s="54">
        <f>(1.79)*10.764</f>
        <v>19.26756</v>
      </c>
      <c r="F642" s="55">
        <f t="shared" si="74"/>
        <v>835.1787599999999</v>
      </c>
      <c r="G642" s="55">
        <v>0</v>
      </c>
      <c r="H642" s="55">
        <f t="shared" si="75"/>
        <v>1294.5270779999998</v>
      </c>
      <c r="I642" s="58"/>
      <c r="N642" s="58"/>
    </row>
    <row r="643" spans="1:14" s="19" customFormat="1">
      <c r="A643" s="79" t="s">
        <v>225</v>
      </c>
      <c r="B643" s="79"/>
      <c r="C643" s="79"/>
      <c r="D643" s="79"/>
      <c r="E643" s="79"/>
      <c r="F643" s="79"/>
      <c r="G643" s="79"/>
      <c r="H643" s="79"/>
      <c r="I643" s="58"/>
      <c r="L643" s="80"/>
      <c r="M643" s="80"/>
    </row>
    <row r="644" spans="1:14" s="19" customFormat="1" ht="15.75" customHeight="1">
      <c r="A644" s="69">
        <v>1</v>
      </c>
      <c r="B644" s="69"/>
      <c r="C644" s="54" t="s">
        <v>203</v>
      </c>
      <c r="D644" s="54">
        <f>(61.21)*10.764</f>
        <v>658.86443999999995</v>
      </c>
      <c r="E644" s="54">
        <f>(2.85)*10.764</f>
        <v>30.677399999999999</v>
      </c>
      <c r="F644" s="55">
        <f t="shared" ref="F644" si="76">D644+E644</f>
        <v>689.54183999999998</v>
      </c>
      <c r="G644" s="55">
        <v>0</v>
      </c>
      <c r="H644" s="55">
        <f t="shared" ref="H644" si="77">F644*(($H$151)+1)+(IF(G644&lt;101,G644,IF(G644&lt;201,G644/2,IF(G644&lt;=301,G644/3,G644/4))))</f>
        <v>1068.7898520000001</v>
      </c>
      <c r="I644" s="58"/>
      <c r="N644" s="58"/>
    </row>
    <row r="645" spans="1:14" s="19" customFormat="1" ht="15.75" customHeight="1">
      <c r="A645" s="69">
        <f>A644+1</f>
        <v>2</v>
      </c>
      <c r="B645" s="69"/>
      <c r="C645" s="76" t="s">
        <v>200</v>
      </c>
      <c r="D645" s="77"/>
      <c r="E645" s="77"/>
      <c r="F645" s="77"/>
      <c r="G645" s="77"/>
      <c r="H645" s="78"/>
      <c r="I645" s="58"/>
      <c r="N645" s="58"/>
    </row>
    <row r="646" spans="1:14" s="19" customFormat="1" ht="15.75" customHeight="1">
      <c r="A646" s="69">
        <f>A645+1</f>
        <v>3</v>
      </c>
      <c r="B646" s="69"/>
      <c r="C646" s="54" t="s">
        <v>216</v>
      </c>
      <c r="D646" s="54">
        <f>(42.53)*10.764</f>
        <v>457.79291999999998</v>
      </c>
      <c r="E646" s="54">
        <v>0</v>
      </c>
      <c r="F646" s="55">
        <f t="shared" ref="F646:F648" si="78">D646+E646</f>
        <v>457.79291999999998</v>
      </c>
      <c r="G646" s="55">
        <v>0</v>
      </c>
      <c r="H646" s="55">
        <f t="shared" ref="H646:H648" si="79">F646*(($H$151)+1)+(IF(G646&lt;101,G646,IF(G646&lt;201,G646/2,IF(G646&lt;=301,G646/3,G646/4))))</f>
        <v>709.579026</v>
      </c>
      <c r="I646" s="58"/>
      <c r="N646" s="58"/>
    </row>
    <row r="647" spans="1:14" s="19" customFormat="1" ht="15.75" customHeight="1">
      <c r="A647" s="69">
        <f>A646+1</f>
        <v>4</v>
      </c>
      <c r="B647" s="69"/>
      <c r="C647" s="54" t="s">
        <v>216</v>
      </c>
      <c r="D647" s="54">
        <f>(42.93)*10.764</f>
        <v>462.09851999999995</v>
      </c>
      <c r="E647" s="54">
        <v>0</v>
      </c>
      <c r="F647" s="55">
        <f t="shared" si="78"/>
        <v>462.09851999999995</v>
      </c>
      <c r="G647" s="55">
        <v>0</v>
      </c>
      <c r="H647" s="55">
        <f t="shared" si="79"/>
        <v>716.25270599999999</v>
      </c>
      <c r="I647" s="58"/>
      <c r="N647" s="58"/>
    </row>
    <row r="648" spans="1:14" s="19" customFormat="1" ht="15.75" customHeight="1">
      <c r="A648" s="69">
        <f>A647+1</f>
        <v>5</v>
      </c>
      <c r="B648" s="69"/>
      <c r="C648" s="54" t="s">
        <v>201</v>
      </c>
      <c r="D648" s="54">
        <f>(75.8)*10.764</f>
        <v>815.91119999999989</v>
      </c>
      <c r="E648" s="54">
        <f>(1.79)*10.764</f>
        <v>19.26756</v>
      </c>
      <c r="F648" s="55">
        <f t="shared" si="78"/>
        <v>835.1787599999999</v>
      </c>
      <c r="G648" s="55">
        <v>0</v>
      </c>
      <c r="H648" s="55">
        <f t="shared" si="79"/>
        <v>1294.5270779999998</v>
      </c>
      <c r="I648" s="58"/>
      <c r="N648" s="58"/>
    </row>
    <row r="649" spans="1:14" s="19" customFormat="1">
      <c r="A649" s="79" t="s">
        <v>269</v>
      </c>
      <c r="B649" s="79"/>
      <c r="C649" s="79"/>
      <c r="D649" s="79"/>
      <c r="E649" s="79"/>
      <c r="F649" s="79"/>
      <c r="G649" s="79"/>
      <c r="H649" s="79"/>
      <c r="I649" s="58"/>
      <c r="L649" s="80"/>
      <c r="M649" s="80"/>
    </row>
    <row r="650" spans="1:14" s="19" customFormat="1" ht="15.75" customHeight="1">
      <c r="A650" s="69">
        <v>1</v>
      </c>
      <c r="B650" s="69"/>
      <c r="C650" s="54" t="s">
        <v>203</v>
      </c>
      <c r="D650" s="54">
        <f>(61.21)*10.764</f>
        <v>658.86443999999995</v>
      </c>
      <c r="E650" s="54">
        <f>(2.85)*10.764</f>
        <v>30.677399999999999</v>
      </c>
      <c r="F650" s="55">
        <f t="shared" ref="F650" si="80">D650+E650</f>
        <v>689.54183999999998</v>
      </c>
      <c r="G650" s="55">
        <v>0</v>
      </c>
      <c r="H650" s="55">
        <f t="shared" ref="H650" si="81">F650*(($H$151)+1)+(IF(G650&lt;101,G650,IF(G650&lt;201,G650/2,IF(G650&lt;=301,G650/3,G650/4))))</f>
        <v>1068.7898520000001</v>
      </c>
      <c r="I650" s="58"/>
      <c r="N650" s="58"/>
    </row>
    <row r="651" spans="1:14" s="19" customFormat="1" ht="15.75" customHeight="1">
      <c r="A651" s="69">
        <f>A650+1</f>
        <v>2</v>
      </c>
      <c r="B651" s="69"/>
      <c r="C651" s="54" t="s">
        <v>203</v>
      </c>
      <c r="D651" s="54">
        <f>(61.87)*10.764</f>
        <v>665.96867999999995</v>
      </c>
      <c r="E651" s="54">
        <f>(5.52)*10.764</f>
        <v>59.417279999999991</v>
      </c>
      <c r="F651" s="55">
        <f t="shared" ref="F651" si="82">D651+E651</f>
        <v>725.38595999999995</v>
      </c>
      <c r="G651" s="55">
        <v>0</v>
      </c>
      <c r="H651" s="55">
        <f t="shared" ref="H651" si="83">F651*(($H$151)+1)+(IF(G651&lt;101,G651,IF(G651&lt;201,G651/2,IF(G651&lt;=301,G651/3,G651/4))))</f>
        <v>1124.348238</v>
      </c>
      <c r="I651" s="58"/>
      <c r="N651" s="58"/>
    </row>
    <row r="652" spans="1:14" s="19" customFormat="1" ht="15.75" customHeight="1">
      <c r="A652" s="69">
        <f>A651+1</f>
        <v>3</v>
      </c>
      <c r="B652" s="69"/>
      <c r="C652" s="54" t="s">
        <v>216</v>
      </c>
      <c r="D652" s="54">
        <f>(42.53)*10.764</f>
        <v>457.79291999999998</v>
      </c>
      <c r="E652" s="54">
        <v>0</v>
      </c>
      <c r="F652" s="55">
        <f t="shared" ref="F652:F654" si="84">D652+E652</f>
        <v>457.79291999999998</v>
      </c>
      <c r="G652" s="55">
        <v>0</v>
      </c>
      <c r="H652" s="55">
        <f t="shared" ref="H652:H654" si="85">F652*(($H$151)+1)+(IF(G652&lt;101,G652,IF(G652&lt;201,G652/2,IF(G652&lt;=301,G652/3,G652/4))))</f>
        <v>709.579026</v>
      </c>
      <c r="I652" s="58"/>
      <c r="N652" s="58"/>
    </row>
    <row r="653" spans="1:14" s="19" customFormat="1" ht="15.75" customHeight="1">
      <c r="A653" s="69">
        <f>A652+1</f>
        <v>4</v>
      </c>
      <c r="B653" s="69"/>
      <c r="C653" s="54" t="s">
        <v>216</v>
      </c>
      <c r="D653" s="54">
        <f>(42.93)*10.764</f>
        <v>462.09851999999995</v>
      </c>
      <c r="E653" s="54">
        <v>0</v>
      </c>
      <c r="F653" s="55">
        <f t="shared" si="84"/>
        <v>462.09851999999995</v>
      </c>
      <c r="G653" s="55">
        <v>0</v>
      </c>
      <c r="H653" s="55">
        <f t="shared" si="85"/>
        <v>716.25270599999999</v>
      </c>
      <c r="I653" s="58"/>
      <c r="N653" s="58"/>
    </row>
    <row r="654" spans="1:14" s="19" customFormat="1" ht="15.75" customHeight="1">
      <c r="A654" s="69">
        <f>A653+1</f>
        <v>5</v>
      </c>
      <c r="B654" s="69"/>
      <c r="C654" s="54" t="s">
        <v>201</v>
      </c>
      <c r="D654" s="54">
        <f>(75.8)*10.764</f>
        <v>815.91119999999989</v>
      </c>
      <c r="E654" s="54">
        <f>(1.79)*10.764</f>
        <v>19.26756</v>
      </c>
      <c r="F654" s="55">
        <f t="shared" si="84"/>
        <v>835.1787599999999</v>
      </c>
      <c r="G654" s="55">
        <v>0</v>
      </c>
      <c r="H654" s="55">
        <f t="shared" si="85"/>
        <v>1294.5270779999998</v>
      </c>
      <c r="I654" s="58"/>
      <c r="N654" s="58"/>
    </row>
    <row r="655" spans="1:14" s="20" customFormat="1">
      <c r="A655" s="119" t="s">
        <v>226</v>
      </c>
      <c r="B655" s="119"/>
      <c r="C655" s="119"/>
      <c r="D655" s="119"/>
      <c r="E655" s="119"/>
      <c r="F655" s="119"/>
      <c r="G655" s="119"/>
      <c r="H655" s="119"/>
    </row>
    <row r="656" spans="1:14" s="20" customFormat="1" ht="35.25" customHeight="1">
      <c r="A656" s="60">
        <v>1</v>
      </c>
      <c r="B656" s="65" t="s">
        <v>292</v>
      </c>
      <c r="C656" s="66"/>
      <c r="D656" s="66"/>
      <c r="E656" s="66"/>
      <c r="F656" s="66"/>
      <c r="G656" s="66"/>
      <c r="H656" s="67"/>
      <c r="I656" s="64"/>
    </row>
    <row r="657" spans="1:8" s="20" customFormat="1">
      <c r="A657" s="60">
        <f>A656+1</f>
        <v>2</v>
      </c>
      <c r="B657" s="65" t="str">
        <f>(IF(F150="Saleable area Loading :","We have considered Saleable area of Flats as per our Calculation.","We considered Saleable area of Flat as per Builder area Sheet."))</f>
        <v>We considered Saleable area of Flat as per Builder area Sheet.</v>
      </c>
      <c r="C657" s="66"/>
      <c r="D657" s="66"/>
      <c r="E657" s="66"/>
      <c r="F657" s="66"/>
      <c r="G657" s="66"/>
      <c r="H657" s="67"/>
    </row>
    <row r="658" spans="1:8" s="20" customFormat="1">
      <c r="A658" s="60">
        <v>3</v>
      </c>
      <c r="B658" s="120" t="s">
        <v>227</v>
      </c>
      <c r="C658" s="121"/>
      <c r="D658" s="121"/>
      <c r="E658" s="121"/>
      <c r="F658" s="121"/>
      <c r="G658" s="121"/>
      <c r="H658" s="122"/>
    </row>
    <row r="659" spans="1:8" s="20" customFormat="1">
      <c r="A659" s="60">
        <f>A658+1</f>
        <v>4</v>
      </c>
      <c r="B659" s="120" t="s">
        <v>228</v>
      </c>
      <c r="C659" s="121"/>
      <c r="D659" s="121"/>
      <c r="E659" s="121"/>
      <c r="F659" s="121"/>
      <c r="G659" s="121"/>
      <c r="H659" s="122"/>
    </row>
    <row r="660" spans="1:8" s="20" customFormat="1">
      <c r="A660" s="60">
        <f>A659+1</f>
        <v>5</v>
      </c>
      <c r="B660" s="120" t="s">
        <v>229</v>
      </c>
      <c r="C660" s="121"/>
      <c r="D660" s="121"/>
      <c r="E660" s="121"/>
      <c r="F660" s="121"/>
      <c r="G660" s="121"/>
      <c r="H660" s="122"/>
    </row>
    <row r="661" spans="1:8" s="20" customFormat="1">
      <c r="A661" s="60">
        <f>A660+1</f>
        <v>6</v>
      </c>
      <c r="B661" s="120" t="s">
        <v>230</v>
      </c>
      <c r="C661" s="121"/>
      <c r="D661" s="121"/>
      <c r="E661" s="121"/>
      <c r="F661" s="121"/>
      <c r="G661" s="121"/>
      <c r="H661" s="122"/>
    </row>
    <row r="662" spans="1:8" s="20" customFormat="1" ht="30.75" customHeight="1">
      <c r="A662" s="60">
        <f>A661+1</f>
        <v>7</v>
      </c>
      <c r="B662" s="120" t="s">
        <v>231</v>
      </c>
      <c r="C662" s="121"/>
      <c r="D662" s="121"/>
      <c r="E662" s="121"/>
      <c r="F662" s="121"/>
      <c r="G662" s="121"/>
      <c r="H662" s="122"/>
    </row>
    <row r="663" spans="1:8" s="20" customFormat="1">
      <c r="A663" s="60">
        <v>8</v>
      </c>
      <c r="B663" s="120" t="s">
        <v>232</v>
      </c>
      <c r="C663" s="121"/>
      <c r="D663" s="121"/>
      <c r="E663" s="121"/>
      <c r="F663" s="121"/>
      <c r="G663" s="121"/>
      <c r="H663" s="122"/>
    </row>
    <row r="664" spans="1:8" s="20" customFormat="1" ht="15.75" customHeight="1">
      <c r="A664" s="60">
        <f>A663+1</f>
        <v>9</v>
      </c>
      <c r="B664" s="65" t="s">
        <v>286</v>
      </c>
      <c r="C664" s="66"/>
      <c r="D664" s="66"/>
      <c r="E664" s="66"/>
      <c r="F664" s="66"/>
      <c r="G664" s="66"/>
      <c r="H664" s="67"/>
    </row>
    <row r="665" spans="1:8" s="20" customFormat="1">
      <c r="A665" s="60">
        <f>A664+1</f>
        <v>10</v>
      </c>
      <c r="B665" s="65" t="s">
        <v>233</v>
      </c>
      <c r="C665" s="66"/>
      <c r="D665" s="66"/>
      <c r="E665" s="66"/>
      <c r="F665" s="66"/>
      <c r="G665" s="66"/>
      <c r="H665" s="67"/>
    </row>
    <row r="666" spans="1:8" s="20" customFormat="1" ht="15.75" customHeight="1">
      <c r="A666" s="60">
        <f t="shared" ref="A666" si="86">A665+1</f>
        <v>11</v>
      </c>
      <c r="B666" s="65" t="s">
        <v>263</v>
      </c>
      <c r="C666" s="66"/>
      <c r="D666" s="66"/>
      <c r="E666" s="66"/>
      <c r="F666" s="66"/>
      <c r="G666" s="66"/>
      <c r="H666" s="67"/>
    </row>
    <row r="667" spans="1:8" s="20" customFormat="1" hidden="1">
      <c r="A667" s="60">
        <v>13</v>
      </c>
      <c r="B667" s="65" t="s">
        <v>264</v>
      </c>
      <c r="C667" s="66"/>
      <c r="D667" s="66"/>
      <c r="E667" s="66"/>
      <c r="F667" s="66"/>
      <c r="G667" s="66"/>
      <c r="H667" s="67"/>
    </row>
    <row r="668" spans="1:8">
      <c r="A668" s="116" t="s">
        <v>234</v>
      </c>
      <c r="B668" s="116"/>
      <c r="C668" s="116"/>
      <c r="D668" s="116"/>
      <c r="E668" s="116"/>
      <c r="F668" s="116"/>
      <c r="G668" s="116"/>
      <c r="H668" s="116"/>
    </row>
    <row r="669" spans="1:8">
      <c r="A669" s="117" t="s">
        <v>235</v>
      </c>
      <c r="B669" s="117"/>
      <c r="C669" s="117"/>
      <c r="D669" s="117"/>
      <c r="E669" s="117"/>
      <c r="F669" s="117"/>
      <c r="G669" s="117"/>
      <c r="H669" s="117"/>
    </row>
    <row r="670" spans="1:8" ht="15.75" customHeight="1">
      <c r="A670" s="118" t="s">
        <v>236</v>
      </c>
      <c r="B670" s="118"/>
      <c r="C670" s="118"/>
      <c r="D670" s="118"/>
      <c r="E670" s="118"/>
      <c r="F670" s="118"/>
      <c r="G670" s="118"/>
      <c r="H670" s="118"/>
    </row>
    <row r="671" spans="1:8">
      <c r="A671" s="117" t="s">
        <v>237</v>
      </c>
      <c r="B671" s="117"/>
      <c r="C671" s="117"/>
      <c r="D671" s="117"/>
      <c r="E671" s="117"/>
      <c r="F671" s="117"/>
      <c r="G671" s="117"/>
      <c r="H671" s="117"/>
    </row>
    <row r="672" spans="1:8">
      <c r="A672" s="117" t="s">
        <v>238</v>
      </c>
      <c r="B672" s="117"/>
      <c r="C672" s="117"/>
      <c r="D672" s="117"/>
      <c r="E672" s="117"/>
      <c r="F672" s="117"/>
      <c r="G672" s="117"/>
      <c r="H672" s="117"/>
    </row>
    <row r="673" spans="1:8">
      <c r="A673" s="117" t="s">
        <v>239</v>
      </c>
      <c r="B673" s="117"/>
      <c r="C673" s="117"/>
      <c r="D673" s="117"/>
      <c r="E673" s="117"/>
      <c r="F673" s="117"/>
      <c r="G673" s="117"/>
      <c r="H673" s="117"/>
    </row>
    <row r="674" spans="1:8" ht="35.25" customHeight="1">
      <c r="A674" s="91" t="s">
        <v>240</v>
      </c>
      <c r="B674" s="91"/>
      <c r="C674" s="91"/>
      <c r="D674" s="91"/>
      <c r="E674" s="91"/>
      <c r="F674" s="91"/>
      <c r="G674" s="91"/>
      <c r="H674" s="91"/>
    </row>
    <row r="675" spans="1:8">
      <c r="A675" s="107" t="s">
        <v>241</v>
      </c>
      <c r="B675" s="107"/>
      <c r="C675" s="107" t="s">
        <v>242</v>
      </c>
      <c r="D675" s="107"/>
      <c r="E675" s="107" t="s">
        <v>243</v>
      </c>
      <c r="F675" s="107"/>
      <c r="G675" s="107" t="s">
        <v>287</v>
      </c>
      <c r="H675" s="107"/>
    </row>
    <row r="676" spans="1:8">
      <c r="A676" s="106" t="s">
        <v>244</v>
      </c>
      <c r="B676" s="106"/>
      <c r="C676" s="106"/>
      <c r="D676" s="106"/>
      <c r="E676" s="106"/>
      <c r="F676" s="106"/>
      <c r="G676" s="106"/>
      <c r="H676" s="106"/>
    </row>
    <row r="677" spans="1:8">
      <c r="A677" s="106"/>
      <c r="B677" s="106"/>
      <c r="C677" s="106"/>
      <c r="D677" s="106"/>
      <c r="E677" s="106"/>
      <c r="F677" s="106"/>
      <c r="G677" s="106"/>
      <c r="H677" s="106"/>
    </row>
    <row r="678" spans="1:8">
      <c r="A678" s="106"/>
      <c r="B678" s="106"/>
      <c r="C678" s="106"/>
      <c r="D678" s="106"/>
      <c r="E678" s="106"/>
      <c r="F678" s="106"/>
      <c r="G678" s="106"/>
      <c r="H678" s="106"/>
    </row>
    <row r="679" spans="1:8">
      <c r="A679" s="106"/>
      <c r="B679" s="106"/>
      <c r="C679" s="106"/>
      <c r="D679" s="106"/>
      <c r="E679" s="106"/>
      <c r="F679" s="106"/>
      <c r="G679" s="106"/>
      <c r="H679" s="106"/>
    </row>
    <row r="680" spans="1:8">
      <c r="A680" s="61" t="s">
        <v>245</v>
      </c>
      <c r="B680" s="62"/>
      <c r="C680" s="62"/>
      <c r="D680" s="61" t="str">
        <f>E8</f>
        <v>Runwal Pinnacle</v>
      </c>
      <c r="F680" s="62"/>
      <c r="G680" s="62"/>
      <c r="H680" s="62"/>
    </row>
    <row r="681" spans="1:8">
      <c r="A681" s="62"/>
      <c r="B681" s="62"/>
      <c r="C681" s="62"/>
      <c r="D681" s="62"/>
      <c r="E681" s="62"/>
      <c r="F681" s="62"/>
      <c r="G681" s="62"/>
      <c r="H681" s="62"/>
    </row>
    <row r="682" spans="1:8">
      <c r="A682" s="62"/>
      <c r="B682" s="62"/>
      <c r="C682" s="62"/>
      <c r="D682" s="62"/>
      <c r="E682" s="62"/>
      <c r="F682" s="62"/>
      <c r="G682" s="62"/>
      <c r="H682" s="62"/>
    </row>
    <row r="683" spans="1:8" ht="15" customHeight="1"/>
    <row r="724" spans="1:1">
      <c r="A724" s="63" t="s">
        <v>246</v>
      </c>
    </row>
    <row r="762" spans="1:1">
      <c r="A762" s="63" t="s">
        <v>247</v>
      </c>
    </row>
  </sheetData>
  <mergeCells count="999">
    <mergeCell ref="A1:H1"/>
    <mergeCell ref="A2:H2"/>
    <mergeCell ref="A3:D3"/>
    <mergeCell ref="E3:H3"/>
    <mergeCell ref="A4:D4"/>
    <mergeCell ref="E4:H4"/>
    <mergeCell ref="A5:D5"/>
    <mergeCell ref="E5:H5"/>
    <mergeCell ref="A6:D6"/>
    <mergeCell ref="E6:H6"/>
    <mergeCell ref="A12:D12"/>
    <mergeCell ref="E12:H12"/>
    <mergeCell ref="A13:D13"/>
    <mergeCell ref="E13:H13"/>
    <mergeCell ref="A14:B14"/>
    <mergeCell ref="C14:H14"/>
    <mergeCell ref="A15:B15"/>
    <mergeCell ref="C15:H15"/>
    <mergeCell ref="A16:B16"/>
    <mergeCell ref="C16:D16"/>
    <mergeCell ref="E16:F16"/>
    <mergeCell ref="G16:H16"/>
    <mergeCell ref="A7:D7"/>
    <mergeCell ref="E7:H7"/>
    <mergeCell ref="A8:D8"/>
    <mergeCell ref="E8:H8"/>
    <mergeCell ref="A9:D9"/>
    <mergeCell ref="E9:H9"/>
    <mergeCell ref="A10:D10"/>
    <mergeCell ref="E10:H10"/>
    <mergeCell ref="A11:D11"/>
    <mergeCell ref="E11:H11"/>
    <mergeCell ref="A22:D22"/>
    <mergeCell ref="E22:H22"/>
    <mergeCell ref="A23:D23"/>
    <mergeCell ref="E23:H23"/>
    <mergeCell ref="A24:D24"/>
    <mergeCell ref="E24:H24"/>
    <mergeCell ref="A25:D25"/>
    <mergeCell ref="E25:H25"/>
    <mergeCell ref="A26:D26"/>
    <mergeCell ref="E26:H26"/>
    <mergeCell ref="A17:B17"/>
    <mergeCell ref="C17:D17"/>
    <mergeCell ref="E17:F17"/>
    <mergeCell ref="G17:H17"/>
    <mergeCell ref="A18:B18"/>
    <mergeCell ref="C18:D18"/>
    <mergeCell ref="E18:F18"/>
    <mergeCell ref="G18:H18"/>
    <mergeCell ref="A19:B19"/>
    <mergeCell ref="C19:D19"/>
    <mergeCell ref="E19:F19"/>
    <mergeCell ref="G19:H19"/>
    <mergeCell ref="A31:B31"/>
    <mergeCell ref="C31:E31"/>
    <mergeCell ref="F31:H31"/>
    <mergeCell ref="A32:B32"/>
    <mergeCell ref="C32:E32"/>
    <mergeCell ref="F32:H32"/>
    <mergeCell ref="A33:B33"/>
    <mergeCell ref="C33:E33"/>
    <mergeCell ref="F33:H33"/>
    <mergeCell ref="A27:D27"/>
    <mergeCell ref="E27:H27"/>
    <mergeCell ref="A28:D28"/>
    <mergeCell ref="E28:H28"/>
    <mergeCell ref="A29:D29"/>
    <mergeCell ref="E29:H29"/>
    <mergeCell ref="A30:B30"/>
    <mergeCell ref="C30:E30"/>
    <mergeCell ref="F30:H30"/>
    <mergeCell ref="A39:D39"/>
    <mergeCell ref="E39:H39"/>
    <mergeCell ref="A40:D40"/>
    <mergeCell ref="E40:H40"/>
    <mergeCell ref="A41:D41"/>
    <mergeCell ref="E41:H41"/>
    <mergeCell ref="A42:D42"/>
    <mergeCell ref="E42:H42"/>
    <mergeCell ref="A43:D43"/>
    <mergeCell ref="E43:H43"/>
    <mergeCell ref="A34:B34"/>
    <mergeCell ref="C34:E34"/>
    <mergeCell ref="F34:H34"/>
    <mergeCell ref="A35:H35"/>
    <mergeCell ref="A36:B36"/>
    <mergeCell ref="C36:H36"/>
    <mergeCell ref="A37:B37"/>
    <mergeCell ref="C37:H37"/>
    <mergeCell ref="A38:H38"/>
    <mergeCell ref="C49:E49"/>
    <mergeCell ref="G49:H49"/>
    <mergeCell ref="C50:E50"/>
    <mergeCell ref="G50:H50"/>
    <mergeCell ref="C51:E51"/>
    <mergeCell ref="G51:H51"/>
    <mergeCell ref="C52:E52"/>
    <mergeCell ref="G52:H52"/>
    <mergeCell ref="C53:E53"/>
    <mergeCell ref="G53:H53"/>
    <mergeCell ref="A44:D44"/>
    <mergeCell ref="E44:H44"/>
    <mergeCell ref="A45:H45"/>
    <mergeCell ref="A46:B46"/>
    <mergeCell ref="C46:H46"/>
    <mergeCell ref="A47:B47"/>
    <mergeCell ref="C47:E47"/>
    <mergeCell ref="G47:H47"/>
    <mergeCell ref="A48:B48"/>
    <mergeCell ref="C48:E48"/>
    <mergeCell ref="G48:H48"/>
    <mergeCell ref="A60:C60"/>
    <mergeCell ref="D60:H60"/>
    <mergeCell ref="A61:C61"/>
    <mergeCell ref="D61:H61"/>
    <mergeCell ref="D62:H62"/>
    <mergeCell ref="D63:H63"/>
    <mergeCell ref="D64:H64"/>
    <mergeCell ref="A65:C65"/>
    <mergeCell ref="D65:H65"/>
    <mergeCell ref="A62:C64"/>
    <mergeCell ref="C54:H54"/>
    <mergeCell ref="C55:E55"/>
    <mergeCell ref="G55:H55"/>
    <mergeCell ref="C56:H56"/>
    <mergeCell ref="A57:B57"/>
    <mergeCell ref="C57:E57"/>
    <mergeCell ref="G57:H57"/>
    <mergeCell ref="A58:H58"/>
    <mergeCell ref="A59:C59"/>
    <mergeCell ref="D59:H59"/>
    <mergeCell ref="A53:B54"/>
    <mergeCell ref="A55:B56"/>
    <mergeCell ref="D71:H71"/>
    <mergeCell ref="A72:B72"/>
    <mergeCell ref="C72:H72"/>
    <mergeCell ref="A74:B74"/>
    <mergeCell ref="C74:H74"/>
    <mergeCell ref="A75:B75"/>
    <mergeCell ref="E75:F75"/>
    <mergeCell ref="G75:H75"/>
    <mergeCell ref="A66:C66"/>
    <mergeCell ref="D66:H66"/>
    <mergeCell ref="A67:C67"/>
    <mergeCell ref="D67:H67"/>
    <mergeCell ref="A68:C68"/>
    <mergeCell ref="D68:H68"/>
    <mergeCell ref="A69:C69"/>
    <mergeCell ref="D69:H69"/>
    <mergeCell ref="A70:C70"/>
    <mergeCell ref="D70:H70"/>
    <mergeCell ref="A93:B93"/>
    <mergeCell ref="A94:B94"/>
    <mergeCell ref="A95:B95"/>
    <mergeCell ref="A96:B96"/>
    <mergeCell ref="A97:B97"/>
    <mergeCell ref="A98:B98"/>
    <mergeCell ref="A99:B99"/>
    <mergeCell ref="A76:B76"/>
    <mergeCell ref="A77:B77"/>
    <mergeCell ref="A78:B78"/>
    <mergeCell ref="A79:B79"/>
    <mergeCell ref="A80:B80"/>
    <mergeCell ref="A81:B81"/>
    <mergeCell ref="A82:B82"/>
    <mergeCell ref="A83:B83"/>
    <mergeCell ref="A84:B84"/>
    <mergeCell ref="A71:C71"/>
    <mergeCell ref="A120:B120"/>
    <mergeCell ref="A121:B121"/>
    <mergeCell ref="A122:B122"/>
    <mergeCell ref="A123:B123"/>
    <mergeCell ref="A124:B124"/>
    <mergeCell ref="A125:B125"/>
    <mergeCell ref="A126:B126"/>
    <mergeCell ref="A127:B127"/>
    <mergeCell ref="A128:H128"/>
    <mergeCell ref="E118:F127"/>
    <mergeCell ref="G118:H127"/>
    <mergeCell ref="A114:B114"/>
    <mergeCell ref="C114:H114"/>
    <mergeCell ref="A116:B116"/>
    <mergeCell ref="C116:H116"/>
    <mergeCell ref="A117:B117"/>
    <mergeCell ref="E117:F117"/>
    <mergeCell ref="G117:H117"/>
    <mergeCell ref="A118:B118"/>
    <mergeCell ref="A119:B119"/>
    <mergeCell ref="A134:E134"/>
    <mergeCell ref="F134:H134"/>
    <mergeCell ref="A135:E135"/>
    <mergeCell ref="F135:H135"/>
    <mergeCell ref="A136:E136"/>
    <mergeCell ref="F136:H136"/>
    <mergeCell ref="A137:E137"/>
    <mergeCell ref="F137:H137"/>
    <mergeCell ref="A138:E138"/>
    <mergeCell ref="F138:H138"/>
    <mergeCell ref="A129:E129"/>
    <mergeCell ref="F129:H129"/>
    <mergeCell ref="A130:E130"/>
    <mergeCell ref="F130:H130"/>
    <mergeCell ref="A131:E131"/>
    <mergeCell ref="F131:H131"/>
    <mergeCell ref="A132:E132"/>
    <mergeCell ref="F132:H132"/>
    <mergeCell ref="A133:E133"/>
    <mergeCell ref="F133:H133"/>
    <mergeCell ref="A143:B143"/>
    <mergeCell ref="C143:D143"/>
    <mergeCell ref="E143:F143"/>
    <mergeCell ref="G143:H143"/>
    <mergeCell ref="A144:B144"/>
    <mergeCell ref="C144:D144"/>
    <mergeCell ref="E144:F144"/>
    <mergeCell ref="G144:H144"/>
    <mergeCell ref="A145:B145"/>
    <mergeCell ref="C145:D145"/>
    <mergeCell ref="E145:F145"/>
    <mergeCell ref="G145:H145"/>
    <mergeCell ref="A139:E139"/>
    <mergeCell ref="F139:H139"/>
    <mergeCell ref="A140:H140"/>
    <mergeCell ref="A141:B141"/>
    <mergeCell ref="C141:D141"/>
    <mergeCell ref="E141:F141"/>
    <mergeCell ref="G141:H141"/>
    <mergeCell ref="A142:B142"/>
    <mergeCell ref="C142:D142"/>
    <mergeCell ref="E142:F142"/>
    <mergeCell ref="G142:H142"/>
    <mergeCell ref="A149:H149"/>
    <mergeCell ref="A152:H152"/>
    <mergeCell ref="L152:M152"/>
    <mergeCell ref="A153:H153"/>
    <mergeCell ref="L153:M153"/>
    <mergeCell ref="A154:H154"/>
    <mergeCell ref="L154:M154"/>
    <mergeCell ref="A155:H155"/>
    <mergeCell ref="L155:M155"/>
    <mergeCell ref="A146:B146"/>
    <mergeCell ref="C146:D146"/>
    <mergeCell ref="E146:F146"/>
    <mergeCell ref="G146:H146"/>
    <mergeCell ref="A147:B147"/>
    <mergeCell ref="C147:D147"/>
    <mergeCell ref="E147:F147"/>
    <mergeCell ref="G147:H147"/>
    <mergeCell ref="A148:H148"/>
    <mergeCell ref="A161:B161"/>
    <mergeCell ref="A162:B162"/>
    <mergeCell ref="A163:B163"/>
    <mergeCell ref="A164:H164"/>
    <mergeCell ref="L164:M164"/>
    <mergeCell ref="A165:B165"/>
    <mergeCell ref="A166:B166"/>
    <mergeCell ref="A167:B167"/>
    <mergeCell ref="A168:B168"/>
    <mergeCell ref="A156:H156"/>
    <mergeCell ref="L156:M156"/>
    <mergeCell ref="A157:H157"/>
    <mergeCell ref="L157:M157"/>
    <mergeCell ref="A158:H158"/>
    <mergeCell ref="L158:M158"/>
    <mergeCell ref="A159:H159"/>
    <mergeCell ref="L159:M159"/>
    <mergeCell ref="A160:B160"/>
    <mergeCell ref="C160:H160"/>
    <mergeCell ref="A176:B176"/>
    <mergeCell ref="A177:B177"/>
    <mergeCell ref="A178:B178"/>
    <mergeCell ref="A179:H179"/>
    <mergeCell ref="L179:M179"/>
    <mergeCell ref="A180:B180"/>
    <mergeCell ref="A181:B181"/>
    <mergeCell ref="A182:B182"/>
    <mergeCell ref="A183:B183"/>
    <mergeCell ref="A169:H169"/>
    <mergeCell ref="L169:M169"/>
    <mergeCell ref="A170:B170"/>
    <mergeCell ref="A171:B171"/>
    <mergeCell ref="A172:B172"/>
    <mergeCell ref="A173:B173"/>
    <mergeCell ref="A174:H174"/>
    <mergeCell ref="L174:M174"/>
    <mergeCell ref="A175:B175"/>
    <mergeCell ref="C175:H175"/>
    <mergeCell ref="A190:H190"/>
    <mergeCell ref="L190:M190"/>
    <mergeCell ref="A191:B191"/>
    <mergeCell ref="C191:H191"/>
    <mergeCell ref="A192:B192"/>
    <mergeCell ref="A193:B193"/>
    <mergeCell ref="A194:B194"/>
    <mergeCell ref="A195:H195"/>
    <mergeCell ref="L195:M195"/>
    <mergeCell ref="A184:H184"/>
    <mergeCell ref="L184:M184"/>
    <mergeCell ref="A185:B185"/>
    <mergeCell ref="C185:H185"/>
    <mergeCell ref="A186:B186"/>
    <mergeCell ref="A187:B187"/>
    <mergeCell ref="A188:B188"/>
    <mergeCell ref="A189:H189"/>
    <mergeCell ref="L189:M189"/>
    <mergeCell ref="A203:B203"/>
    <mergeCell ref="A204:B204"/>
    <mergeCell ref="A205:H205"/>
    <mergeCell ref="L205:M205"/>
    <mergeCell ref="A206:B206"/>
    <mergeCell ref="A207:B207"/>
    <mergeCell ref="A208:B208"/>
    <mergeCell ref="A209:B209"/>
    <mergeCell ref="A210:H210"/>
    <mergeCell ref="L210:M210"/>
    <mergeCell ref="A196:B196"/>
    <mergeCell ref="A197:B197"/>
    <mergeCell ref="A198:B198"/>
    <mergeCell ref="A199:B199"/>
    <mergeCell ref="A200:H200"/>
    <mergeCell ref="L200:M200"/>
    <mergeCell ref="A201:B201"/>
    <mergeCell ref="C201:H201"/>
    <mergeCell ref="A202:B202"/>
    <mergeCell ref="A229:B229"/>
    <mergeCell ref="A235:H235"/>
    <mergeCell ref="L235:M235"/>
    <mergeCell ref="A236:H236"/>
    <mergeCell ref="L236:M236"/>
    <mergeCell ref="A237:B237"/>
    <mergeCell ref="A238:B238"/>
    <mergeCell ref="A239:B239"/>
    <mergeCell ref="A240:B240"/>
    <mergeCell ref="A230:H230"/>
    <mergeCell ref="L230:M230"/>
    <mergeCell ref="A231:B231"/>
    <mergeCell ref="A232:B232"/>
    <mergeCell ref="A233:B233"/>
    <mergeCell ref="A234:B234"/>
    <mergeCell ref="A211:B211"/>
    <mergeCell ref="A212:B212"/>
    <mergeCell ref="A213:B213"/>
    <mergeCell ref="A214:B214"/>
    <mergeCell ref="A225:H225"/>
    <mergeCell ref="L225:M225"/>
    <mergeCell ref="A226:B226"/>
    <mergeCell ref="A227:B227"/>
    <mergeCell ref="A228:B228"/>
    <mergeCell ref="A219:B219"/>
    <mergeCell ref="A220:H220"/>
    <mergeCell ref="L220:M220"/>
    <mergeCell ref="A221:B221"/>
    <mergeCell ref="A222:B222"/>
    <mergeCell ref="A223:B223"/>
    <mergeCell ref="A224:B224"/>
    <mergeCell ref="C221:H221"/>
    <mergeCell ref="A247:B247"/>
    <mergeCell ref="A248:B248"/>
    <mergeCell ref="C248:H248"/>
    <mergeCell ref="A249:B249"/>
    <mergeCell ref="C249:H249"/>
    <mergeCell ref="A250:H250"/>
    <mergeCell ref="L250:M250"/>
    <mergeCell ref="A251:B251"/>
    <mergeCell ref="A252:B252"/>
    <mergeCell ref="A241:B241"/>
    <mergeCell ref="C241:H241"/>
    <mergeCell ref="A242:B242"/>
    <mergeCell ref="C242:H242"/>
    <mergeCell ref="A243:H243"/>
    <mergeCell ref="L243:M243"/>
    <mergeCell ref="A244:B244"/>
    <mergeCell ref="A245:B245"/>
    <mergeCell ref="A246:B246"/>
    <mergeCell ref="A267:B267"/>
    <mergeCell ref="A268:B268"/>
    <mergeCell ref="A269:B269"/>
    <mergeCell ref="C269:H269"/>
    <mergeCell ref="A270:B270"/>
    <mergeCell ref="A271:H271"/>
    <mergeCell ref="L271:M271"/>
    <mergeCell ref="A272:B272"/>
    <mergeCell ref="A273:B273"/>
    <mergeCell ref="A253:B253"/>
    <mergeCell ref="A254:B254"/>
    <mergeCell ref="A255:B255"/>
    <mergeCell ref="A256:B256"/>
    <mergeCell ref="C256:H256"/>
    <mergeCell ref="A264:H264"/>
    <mergeCell ref="L264:M264"/>
    <mergeCell ref="A265:B265"/>
    <mergeCell ref="A266:B266"/>
    <mergeCell ref="A282:B282"/>
    <mergeCell ref="A283:B283"/>
    <mergeCell ref="C283:H283"/>
    <mergeCell ref="A284:B284"/>
    <mergeCell ref="C284:H284"/>
    <mergeCell ref="A285:H285"/>
    <mergeCell ref="L285:M285"/>
    <mergeCell ref="A286:H286"/>
    <mergeCell ref="L286:M286"/>
    <mergeCell ref="A274:B274"/>
    <mergeCell ref="A275:B275"/>
    <mergeCell ref="A276:B276"/>
    <mergeCell ref="A277:B277"/>
    <mergeCell ref="A278:H278"/>
    <mergeCell ref="L278:M278"/>
    <mergeCell ref="A279:B279"/>
    <mergeCell ref="A280:B280"/>
    <mergeCell ref="A281:B281"/>
    <mergeCell ref="A294:B294"/>
    <mergeCell ref="A295:B295"/>
    <mergeCell ref="A296:B296"/>
    <mergeCell ref="A297:B297"/>
    <mergeCell ref="A298:B298"/>
    <mergeCell ref="A299:B299"/>
    <mergeCell ref="A300:H300"/>
    <mergeCell ref="L300:M300"/>
    <mergeCell ref="A301:B301"/>
    <mergeCell ref="A287:B287"/>
    <mergeCell ref="A288:B288"/>
    <mergeCell ref="A289:B289"/>
    <mergeCell ref="A290:B290"/>
    <mergeCell ref="A291:B291"/>
    <mergeCell ref="C291:H291"/>
    <mergeCell ref="A292:B292"/>
    <mergeCell ref="A293:H293"/>
    <mergeCell ref="L293:M293"/>
    <mergeCell ref="A320:B320"/>
    <mergeCell ref="C320:H320"/>
    <mergeCell ref="A321:H321"/>
    <mergeCell ref="L321:M321"/>
    <mergeCell ref="A322:B322"/>
    <mergeCell ref="A309:B309"/>
    <mergeCell ref="A310:B310"/>
    <mergeCell ref="A311:B311"/>
    <mergeCell ref="A312:B312"/>
    <mergeCell ref="C312:H312"/>
    <mergeCell ref="A313:B313"/>
    <mergeCell ref="A314:H314"/>
    <mergeCell ref="L314:M314"/>
    <mergeCell ref="A315:B315"/>
    <mergeCell ref="A302:B302"/>
    <mergeCell ref="A303:B303"/>
    <mergeCell ref="A304:B304"/>
    <mergeCell ref="A305:B305"/>
    <mergeCell ref="C305:H305"/>
    <mergeCell ref="A306:B306"/>
    <mergeCell ref="A307:H307"/>
    <mergeCell ref="L307:M307"/>
    <mergeCell ref="A308:B308"/>
    <mergeCell ref="A365:B365"/>
    <mergeCell ref="C365:H365"/>
    <mergeCell ref="A366:B366"/>
    <mergeCell ref="A367:B367"/>
    <mergeCell ref="A368:B368"/>
    <mergeCell ref="C368:H368"/>
    <mergeCell ref="A369:H369"/>
    <mergeCell ref="L369:M369"/>
    <mergeCell ref="A370:B370"/>
    <mergeCell ref="C370:H370"/>
    <mergeCell ref="A323:B323"/>
    <mergeCell ref="A324:B324"/>
    <mergeCell ref="A325:B325"/>
    <mergeCell ref="A326:B326"/>
    <mergeCell ref="A327:B327"/>
    <mergeCell ref="C327:H327"/>
    <mergeCell ref="A363:H363"/>
    <mergeCell ref="L363:M363"/>
    <mergeCell ref="A364:H364"/>
    <mergeCell ref="L364:M364"/>
    <mergeCell ref="A356:H356"/>
    <mergeCell ref="L356:M356"/>
    <mergeCell ref="A357:B357"/>
    <mergeCell ref="A358:B358"/>
    <mergeCell ref="A359:B359"/>
    <mergeCell ref="A360:B360"/>
    <mergeCell ref="A361:B361"/>
    <mergeCell ref="A362:B362"/>
    <mergeCell ref="A335:H335"/>
    <mergeCell ref="L335:M335"/>
    <mergeCell ref="A336:B336"/>
    <mergeCell ref="A337:B337"/>
    <mergeCell ref="A378:B378"/>
    <mergeCell ref="C378:H378"/>
    <mergeCell ref="A379:H379"/>
    <mergeCell ref="L379:M379"/>
    <mergeCell ref="A380:B380"/>
    <mergeCell ref="C380:H380"/>
    <mergeCell ref="A381:B381"/>
    <mergeCell ref="A382:B382"/>
    <mergeCell ref="A383:B383"/>
    <mergeCell ref="A371:B371"/>
    <mergeCell ref="A372:B372"/>
    <mergeCell ref="A373:B373"/>
    <mergeCell ref="C373:H373"/>
    <mergeCell ref="A374:H374"/>
    <mergeCell ref="L374:M374"/>
    <mergeCell ref="A375:B375"/>
    <mergeCell ref="A376:B376"/>
    <mergeCell ref="A377:B377"/>
    <mergeCell ref="A391:B391"/>
    <mergeCell ref="A392:B392"/>
    <mergeCell ref="A393:B393"/>
    <mergeCell ref="C393:H393"/>
    <mergeCell ref="A394:H394"/>
    <mergeCell ref="L394:M394"/>
    <mergeCell ref="A395:H395"/>
    <mergeCell ref="L395:M395"/>
    <mergeCell ref="A396:B396"/>
    <mergeCell ref="C396:H396"/>
    <mergeCell ref="A384:H384"/>
    <mergeCell ref="L384:M384"/>
    <mergeCell ref="A385:B385"/>
    <mergeCell ref="A386:B386"/>
    <mergeCell ref="A387:B387"/>
    <mergeCell ref="A388:B388"/>
    <mergeCell ref="A389:H389"/>
    <mergeCell ref="L389:M389"/>
    <mergeCell ref="A390:B390"/>
    <mergeCell ref="C390:H390"/>
    <mergeCell ref="A405:H405"/>
    <mergeCell ref="L405:M405"/>
    <mergeCell ref="A406:B406"/>
    <mergeCell ref="C406:H406"/>
    <mergeCell ref="A407:B407"/>
    <mergeCell ref="A408:B408"/>
    <mergeCell ref="A409:B409"/>
    <mergeCell ref="A410:H410"/>
    <mergeCell ref="L410:M410"/>
    <mergeCell ref="A397:B397"/>
    <mergeCell ref="A398:B398"/>
    <mergeCell ref="A399:B399"/>
    <mergeCell ref="A400:H400"/>
    <mergeCell ref="L400:M400"/>
    <mergeCell ref="A401:B401"/>
    <mergeCell ref="A402:B402"/>
    <mergeCell ref="A403:B403"/>
    <mergeCell ref="A404:B404"/>
    <mergeCell ref="L430:M430"/>
    <mergeCell ref="A418:B418"/>
    <mergeCell ref="A419:B419"/>
    <mergeCell ref="C419:H419"/>
    <mergeCell ref="A420:H420"/>
    <mergeCell ref="L420:M420"/>
    <mergeCell ref="A421:B421"/>
    <mergeCell ref="A422:B422"/>
    <mergeCell ref="A423:B423"/>
    <mergeCell ref="A424:B424"/>
    <mergeCell ref="C424:H424"/>
    <mergeCell ref="A411:B411"/>
    <mergeCell ref="C411:H411"/>
    <mergeCell ref="A412:B412"/>
    <mergeCell ref="A413:B413"/>
    <mergeCell ref="A414:B414"/>
    <mergeCell ref="A415:H415"/>
    <mergeCell ref="L415:M415"/>
    <mergeCell ref="A416:B416"/>
    <mergeCell ref="A417:B417"/>
    <mergeCell ref="A450:H450"/>
    <mergeCell ref="L450:M450"/>
    <mergeCell ref="A451:B451"/>
    <mergeCell ref="A452:B452"/>
    <mergeCell ref="A436:B436"/>
    <mergeCell ref="A437:B437"/>
    <mergeCell ref="A438:B438"/>
    <mergeCell ref="A439:B439"/>
    <mergeCell ref="A445:H445"/>
    <mergeCell ref="L445:M445"/>
    <mergeCell ref="A446:B446"/>
    <mergeCell ref="A447:B447"/>
    <mergeCell ref="A448:B448"/>
    <mergeCell ref="A449:B449"/>
    <mergeCell ref="C451:H451"/>
    <mergeCell ref="A440:H440"/>
    <mergeCell ref="L440:M440"/>
    <mergeCell ref="A441:B441"/>
    <mergeCell ref="A442:B442"/>
    <mergeCell ref="A464:B464"/>
    <mergeCell ref="A465:B465"/>
    <mergeCell ref="C465:H465"/>
    <mergeCell ref="A466:H466"/>
    <mergeCell ref="L466:M466"/>
    <mergeCell ref="A467:B467"/>
    <mergeCell ref="C467:H467"/>
    <mergeCell ref="A468:B468"/>
    <mergeCell ref="A469:B469"/>
    <mergeCell ref="A453:B453"/>
    <mergeCell ref="A454:B454"/>
    <mergeCell ref="A460:H460"/>
    <mergeCell ref="L460:M460"/>
    <mergeCell ref="A461:H461"/>
    <mergeCell ref="L461:M461"/>
    <mergeCell ref="A462:B462"/>
    <mergeCell ref="C462:H462"/>
    <mergeCell ref="A463:B463"/>
    <mergeCell ref="C454:H454"/>
    <mergeCell ref="A476:H476"/>
    <mergeCell ref="L476:M476"/>
    <mergeCell ref="A477:B477"/>
    <mergeCell ref="A478:B478"/>
    <mergeCell ref="A479:B479"/>
    <mergeCell ref="A480:B480"/>
    <mergeCell ref="C480:H480"/>
    <mergeCell ref="A481:H481"/>
    <mergeCell ref="L481:M481"/>
    <mergeCell ref="A470:B470"/>
    <mergeCell ref="C470:H470"/>
    <mergeCell ref="A471:H471"/>
    <mergeCell ref="L471:M471"/>
    <mergeCell ref="A472:B472"/>
    <mergeCell ref="C472:H472"/>
    <mergeCell ref="A473:B473"/>
    <mergeCell ref="A474:B474"/>
    <mergeCell ref="A475:B475"/>
    <mergeCell ref="A489:B489"/>
    <mergeCell ref="A490:B490"/>
    <mergeCell ref="C490:H490"/>
    <mergeCell ref="A491:H491"/>
    <mergeCell ref="L491:M491"/>
    <mergeCell ref="A492:H492"/>
    <mergeCell ref="L492:M492"/>
    <mergeCell ref="A493:B493"/>
    <mergeCell ref="A494:B494"/>
    <mergeCell ref="A482:B482"/>
    <mergeCell ref="A483:B483"/>
    <mergeCell ref="A484:B484"/>
    <mergeCell ref="A485:B485"/>
    <mergeCell ref="A486:H486"/>
    <mergeCell ref="L486:M486"/>
    <mergeCell ref="A487:B487"/>
    <mergeCell ref="C487:H487"/>
    <mergeCell ref="A488:B488"/>
    <mergeCell ref="A502:H502"/>
    <mergeCell ref="L502:M502"/>
    <mergeCell ref="A503:B503"/>
    <mergeCell ref="A504:B504"/>
    <mergeCell ref="A505:B505"/>
    <mergeCell ref="A506:B506"/>
    <mergeCell ref="C506:H506"/>
    <mergeCell ref="A507:H507"/>
    <mergeCell ref="L507:M507"/>
    <mergeCell ref="A495:B495"/>
    <mergeCell ref="A496:B496"/>
    <mergeCell ref="C496:H496"/>
    <mergeCell ref="A497:H497"/>
    <mergeCell ref="L497:M497"/>
    <mergeCell ref="A498:B498"/>
    <mergeCell ref="A499:B499"/>
    <mergeCell ref="A500:B500"/>
    <mergeCell ref="A501:B501"/>
    <mergeCell ref="A514:B514"/>
    <mergeCell ref="A515:B515"/>
    <mergeCell ref="A516:B516"/>
    <mergeCell ref="A517:H517"/>
    <mergeCell ref="L517:M517"/>
    <mergeCell ref="A518:B518"/>
    <mergeCell ref="C518:H518"/>
    <mergeCell ref="A519:B519"/>
    <mergeCell ref="A520:B520"/>
    <mergeCell ref="A508:B508"/>
    <mergeCell ref="A509:B509"/>
    <mergeCell ref="A510:B510"/>
    <mergeCell ref="A511:B511"/>
    <mergeCell ref="C511:H511"/>
    <mergeCell ref="A512:H512"/>
    <mergeCell ref="L512:M512"/>
    <mergeCell ref="A513:B513"/>
    <mergeCell ref="C513:H513"/>
    <mergeCell ref="A528:B528"/>
    <mergeCell ref="A529:B529"/>
    <mergeCell ref="A530:B530"/>
    <mergeCell ref="A531:B531"/>
    <mergeCell ref="C531:H531"/>
    <mergeCell ref="A537:H537"/>
    <mergeCell ref="L537:M537"/>
    <mergeCell ref="A538:B538"/>
    <mergeCell ref="A539:B539"/>
    <mergeCell ref="A521:B521"/>
    <mergeCell ref="A522:H522"/>
    <mergeCell ref="L522:M522"/>
    <mergeCell ref="A523:B523"/>
    <mergeCell ref="C523:H523"/>
    <mergeCell ref="A524:B524"/>
    <mergeCell ref="A525:B525"/>
    <mergeCell ref="A526:B526"/>
    <mergeCell ref="A527:H527"/>
    <mergeCell ref="L527:M527"/>
    <mergeCell ref="A540:B540"/>
    <mergeCell ref="A541:B541"/>
    <mergeCell ref="A557:H557"/>
    <mergeCell ref="L557:M557"/>
    <mergeCell ref="A558:H558"/>
    <mergeCell ref="L558:M558"/>
    <mergeCell ref="A559:B559"/>
    <mergeCell ref="C559:H559"/>
    <mergeCell ref="A560:B560"/>
    <mergeCell ref="C560:H560"/>
    <mergeCell ref="A543:B543"/>
    <mergeCell ref="A544:B544"/>
    <mergeCell ref="A545:B545"/>
    <mergeCell ref="A546:B546"/>
    <mergeCell ref="A547:H547"/>
    <mergeCell ref="L547:M547"/>
    <mergeCell ref="A548:B548"/>
    <mergeCell ref="A549:B549"/>
    <mergeCell ref="A550:B550"/>
    <mergeCell ref="A551:B551"/>
    <mergeCell ref="C548:H548"/>
    <mergeCell ref="C551:H551"/>
    <mergeCell ref="A552:H552"/>
    <mergeCell ref="L552:M552"/>
    <mergeCell ref="A567:B567"/>
    <mergeCell ref="A568:B568"/>
    <mergeCell ref="A569:B569"/>
    <mergeCell ref="A570:H570"/>
    <mergeCell ref="L570:M570"/>
    <mergeCell ref="A571:B571"/>
    <mergeCell ref="C571:H571"/>
    <mergeCell ref="A572:B572"/>
    <mergeCell ref="A573:B573"/>
    <mergeCell ref="A561:B561"/>
    <mergeCell ref="A562:B562"/>
    <mergeCell ref="A563:B563"/>
    <mergeCell ref="A564:H564"/>
    <mergeCell ref="L564:M564"/>
    <mergeCell ref="A565:B565"/>
    <mergeCell ref="C565:H565"/>
    <mergeCell ref="A566:B566"/>
    <mergeCell ref="C566:H566"/>
    <mergeCell ref="A581:B581"/>
    <mergeCell ref="A582:H582"/>
    <mergeCell ref="L582:M582"/>
    <mergeCell ref="A583:B583"/>
    <mergeCell ref="A584:B584"/>
    <mergeCell ref="A585:B585"/>
    <mergeCell ref="A586:B586"/>
    <mergeCell ref="A587:B587"/>
    <mergeCell ref="A588:H588"/>
    <mergeCell ref="L588:M588"/>
    <mergeCell ref="A574:B574"/>
    <mergeCell ref="A575:B575"/>
    <mergeCell ref="A576:H576"/>
    <mergeCell ref="L576:M576"/>
    <mergeCell ref="A577:B577"/>
    <mergeCell ref="A578:B578"/>
    <mergeCell ref="C578:H578"/>
    <mergeCell ref="A579:B579"/>
    <mergeCell ref="A580:B580"/>
    <mergeCell ref="A595:H595"/>
    <mergeCell ref="L595:M595"/>
    <mergeCell ref="A596:B596"/>
    <mergeCell ref="A597:B597"/>
    <mergeCell ref="C597:H597"/>
    <mergeCell ref="A598:B598"/>
    <mergeCell ref="A599:B599"/>
    <mergeCell ref="A600:B600"/>
    <mergeCell ref="A601:H601"/>
    <mergeCell ref="L601:M601"/>
    <mergeCell ref="A589:B589"/>
    <mergeCell ref="C589:H589"/>
    <mergeCell ref="A590:B590"/>
    <mergeCell ref="C590:H590"/>
    <mergeCell ref="A591:B591"/>
    <mergeCell ref="A592:B592"/>
    <mergeCell ref="A593:B593"/>
    <mergeCell ref="A594:H594"/>
    <mergeCell ref="L594:M594"/>
    <mergeCell ref="A610:B610"/>
    <mergeCell ref="A611:B611"/>
    <mergeCell ref="A612:B612"/>
    <mergeCell ref="A613:H613"/>
    <mergeCell ref="L613:M613"/>
    <mergeCell ref="A614:B614"/>
    <mergeCell ref="A615:B615"/>
    <mergeCell ref="C615:H615"/>
    <mergeCell ref="A616:B616"/>
    <mergeCell ref="A602:B602"/>
    <mergeCell ref="A603:B603"/>
    <mergeCell ref="A604:B604"/>
    <mergeCell ref="A605:B605"/>
    <mergeCell ref="A606:B606"/>
    <mergeCell ref="A607:H607"/>
    <mergeCell ref="L607:M607"/>
    <mergeCell ref="A608:B608"/>
    <mergeCell ref="A609:B609"/>
    <mergeCell ref="C609:H609"/>
    <mergeCell ref="A655:H655"/>
    <mergeCell ref="B656:H656"/>
    <mergeCell ref="B657:H657"/>
    <mergeCell ref="B658:H658"/>
    <mergeCell ref="B659:H659"/>
    <mergeCell ref="B660:H660"/>
    <mergeCell ref="B661:H661"/>
    <mergeCell ref="B662:H662"/>
    <mergeCell ref="B663:H663"/>
    <mergeCell ref="A633:B633"/>
    <mergeCell ref="A634:B634"/>
    <mergeCell ref="A635:B635"/>
    <mergeCell ref="A636:B636"/>
    <mergeCell ref="A617:B617"/>
    <mergeCell ref="A618:B618"/>
    <mergeCell ref="A619:H619"/>
    <mergeCell ref="L619:M619"/>
    <mergeCell ref="A620:B620"/>
    <mergeCell ref="C620:H620"/>
    <mergeCell ref="A621:B621"/>
    <mergeCell ref="A622:B622"/>
    <mergeCell ref="A623:B623"/>
    <mergeCell ref="A676:H679"/>
    <mergeCell ref="E76:F85"/>
    <mergeCell ref="G76:H85"/>
    <mergeCell ref="A674:H674"/>
    <mergeCell ref="A675:B675"/>
    <mergeCell ref="C675:D675"/>
    <mergeCell ref="E675:F675"/>
    <mergeCell ref="G675:H675"/>
    <mergeCell ref="A150:A151"/>
    <mergeCell ref="B150:B151"/>
    <mergeCell ref="C150:C151"/>
    <mergeCell ref="D150:D151"/>
    <mergeCell ref="E150:E151"/>
    <mergeCell ref="F150:F151"/>
    <mergeCell ref="G150:G151"/>
    <mergeCell ref="B664:H664"/>
    <mergeCell ref="B665:H665"/>
    <mergeCell ref="B667:H667"/>
    <mergeCell ref="A668:H668"/>
    <mergeCell ref="A669:H669"/>
    <mergeCell ref="A670:H670"/>
    <mergeCell ref="A671:H671"/>
    <mergeCell ref="A672:H672"/>
    <mergeCell ref="A673:H673"/>
    <mergeCell ref="B666:H666"/>
    <mergeCell ref="A624:B624"/>
    <mergeCell ref="A625:H625"/>
    <mergeCell ref="A626:B626"/>
    <mergeCell ref="C626:H626"/>
    <mergeCell ref="A627:B627"/>
    <mergeCell ref="A628:B628"/>
    <mergeCell ref="A20:D21"/>
    <mergeCell ref="E20:H21"/>
    <mergeCell ref="A105:B105"/>
    <mergeCell ref="A106:B106"/>
    <mergeCell ref="A107:B107"/>
    <mergeCell ref="A108:B108"/>
    <mergeCell ref="A109:B109"/>
    <mergeCell ref="A110:B110"/>
    <mergeCell ref="A111:B111"/>
    <mergeCell ref="A112:B112"/>
    <mergeCell ref="A113:B113"/>
    <mergeCell ref="A85:B85"/>
    <mergeCell ref="A100:B100"/>
    <mergeCell ref="C100:H100"/>
    <mergeCell ref="A102:B102"/>
    <mergeCell ref="C102:H102"/>
    <mergeCell ref="A103:B103"/>
    <mergeCell ref="E103:F103"/>
    <mergeCell ref="G103:H103"/>
    <mergeCell ref="A104:B104"/>
    <mergeCell ref="A86:B86"/>
    <mergeCell ref="C86:H86"/>
    <mergeCell ref="A88:B88"/>
    <mergeCell ref="C88:H88"/>
    <mergeCell ref="A89:B89"/>
    <mergeCell ref="E89:F89"/>
    <mergeCell ref="G89:H89"/>
    <mergeCell ref="A90:B90"/>
    <mergeCell ref="E90:F99"/>
    <mergeCell ref="G90:H99"/>
    <mergeCell ref="A91:B91"/>
    <mergeCell ref="A92:B92"/>
    <mergeCell ref="A340:B340"/>
    <mergeCell ref="A341:B341"/>
    <mergeCell ref="A328:H328"/>
    <mergeCell ref="L328:M328"/>
    <mergeCell ref="A329:B329"/>
    <mergeCell ref="A330:B330"/>
    <mergeCell ref="A331:B331"/>
    <mergeCell ref="A332:B332"/>
    <mergeCell ref="A333:B333"/>
    <mergeCell ref="A334:B334"/>
    <mergeCell ref="C334:H334"/>
    <mergeCell ref="C341:H341"/>
    <mergeCell ref="I46:K46"/>
    <mergeCell ref="L46:M46"/>
    <mergeCell ref="I43:L43"/>
    <mergeCell ref="L61:P61"/>
    <mergeCell ref="A215:H215"/>
    <mergeCell ref="L215:M215"/>
    <mergeCell ref="A216:B216"/>
    <mergeCell ref="A217:B217"/>
    <mergeCell ref="A218:B218"/>
    <mergeCell ref="I60:M60"/>
    <mergeCell ref="A49:B50"/>
    <mergeCell ref="E104:F113"/>
    <mergeCell ref="G104:H113"/>
    <mergeCell ref="A51:B52"/>
    <mergeCell ref="A338:B338"/>
    <mergeCell ref="A339:B339"/>
    <mergeCell ref="A316:B316"/>
    <mergeCell ref="A317:B317"/>
    <mergeCell ref="A318:B318"/>
    <mergeCell ref="A319:B319"/>
    <mergeCell ref="A349:H349"/>
    <mergeCell ref="L349:M349"/>
    <mergeCell ref="A350:B350"/>
    <mergeCell ref="A351:B351"/>
    <mergeCell ref="A352:B352"/>
    <mergeCell ref="A353:B353"/>
    <mergeCell ref="A354:B354"/>
    <mergeCell ref="A355:B355"/>
    <mergeCell ref="A435:H435"/>
    <mergeCell ref="L435:M435"/>
    <mergeCell ref="A342:H342"/>
    <mergeCell ref="L342:M342"/>
    <mergeCell ref="A343:B343"/>
    <mergeCell ref="A344:B344"/>
    <mergeCell ref="A345:B345"/>
    <mergeCell ref="A346:B346"/>
    <mergeCell ref="A347:B347"/>
    <mergeCell ref="A348:B348"/>
    <mergeCell ref="C347:H347"/>
    <mergeCell ref="A431:B431"/>
    <mergeCell ref="C431:H431"/>
    <mergeCell ref="A432:B432"/>
    <mergeCell ref="A433:B433"/>
    <mergeCell ref="A434:B434"/>
    <mergeCell ref="A425:H425"/>
    <mergeCell ref="L425:M425"/>
    <mergeCell ref="A426:B426"/>
    <mergeCell ref="A427:B427"/>
    <mergeCell ref="A428:B428"/>
    <mergeCell ref="A429:B429"/>
    <mergeCell ref="C429:H429"/>
    <mergeCell ref="A430:H430"/>
    <mergeCell ref="A641:B641"/>
    <mergeCell ref="A642:B642"/>
    <mergeCell ref="A643:H643"/>
    <mergeCell ref="L643:M643"/>
    <mergeCell ref="A553:B553"/>
    <mergeCell ref="A554:B554"/>
    <mergeCell ref="A555:B555"/>
    <mergeCell ref="A556:B556"/>
    <mergeCell ref="C553:H553"/>
    <mergeCell ref="A631:H631"/>
    <mergeCell ref="L631:M631"/>
    <mergeCell ref="A632:B632"/>
    <mergeCell ref="C632:H632"/>
    <mergeCell ref="A443:B443"/>
    <mergeCell ref="A444:B444"/>
    <mergeCell ref="A455:H455"/>
    <mergeCell ref="L455:M455"/>
    <mergeCell ref="A456:B456"/>
    <mergeCell ref="A457:B457"/>
    <mergeCell ref="A458:B458"/>
    <mergeCell ref="A459:B459"/>
    <mergeCell ref="A542:H542"/>
    <mergeCell ref="L542:M542"/>
    <mergeCell ref="A532:H532"/>
    <mergeCell ref="L532:M532"/>
    <mergeCell ref="A533:B533"/>
    <mergeCell ref="A534:B534"/>
    <mergeCell ref="A535:B535"/>
    <mergeCell ref="A536:B536"/>
    <mergeCell ref="L625:M625"/>
    <mergeCell ref="A629:B629"/>
    <mergeCell ref="A630:B630"/>
    <mergeCell ref="I10:L10"/>
    <mergeCell ref="A650:B650"/>
    <mergeCell ref="A651:B651"/>
    <mergeCell ref="A652:B652"/>
    <mergeCell ref="A653:B653"/>
    <mergeCell ref="A654:B654"/>
    <mergeCell ref="A257:H257"/>
    <mergeCell ref="L257:M257"/>
    <mergeCell ref="A258:B258"/>
    <mergeCell ref="A259:B259"/>
    <mergeCell ref="A260:B260"/>
    <mergeCell ref="A261:B261"/>
    <mergeCell ref="A262:B262"/>
    <mergeCell ref="A263:B263"/>
    <mergeCell ref="C263:H263"/>
    <mergeCell ref="C459:H459"/>
    <mergeCell ref="A644:B644"/>
    <mergeCell ref="A645:B645"/>
    <mergeCell ref="A646:B646"/>
    <mergeCell ref="A647:B647"/>
    <mergeCell ref="A648:B648"/>
    <mergeCell ref="C645:H645"/>
    <mergeCell ref="A649:H649"/>
    <mergeCell ref="L649:M649"/>
    <mergeCell ref="A637:H637"/>
    <mergeCell ref="L637:M637"/>
    <mergeCell ref="A638:B638"/>
    <mergeCell ref="C638:H638"/>
    <mergeCell ref="A639:B639"/>
    <mergeCell ref="A640:B640"/>
  </mergeCells>
  <dataValidations count="3">
    <dataValidation type="list" allowBlank="1" showInputMessage="1" showErrorMessage="1" sqref="H150" xr:uid="{00000000-0002-0000-0000-000000000000}">
      <formula1>"Saleable area Loading :,Builder Saleable Area"</formula1>
    </dataValidation>
    <dataValidation type="list" allowBlank="1" showInputMessage="1" showErrorMessage="1" sqref="H151" xr:uid="{00000000-0002-0000-0000-000001000000}">
      <formula1>".45,.50,.55,.60"</formula1>
    </dataValidation>
    <dataValidation type="list" allowBlank="1" showInputMessage="1" showErrorMessage="1" sqref="E150:E151" xr:uid="{00000000-0002-0000-0000-000002000000}">
      <formula1>"Fungible area,Balcony Area,Utility Area + Deck Area,Cornice Area,AP Area,WS Area"</formula1>
    </dataValidation>
  </dataValidations>
  <hyperlinks>
    <hyperlink ref="C37" r:id="rId1" xr:uid="{00000000-0004-0000-0000-000000000000}"/>
  </hyperlinks>
  <printOptions horizontalCentered="1"/>
  <pageMargins left="0.39370078740157499" right="0.39370078740157499" top="0.78740157480314998" bottom="0.78740157480314998" header="0.196850393700787" footer="0.196850393700787"/>
  <pageSetup paperSize="2" fitToHeight="0" orientation="portrait" r:id="rId2"/>
  <headerFooter>
    <oddHeader>&amp;C&amp;G</oddHeader>
    <oddFooter>&amp;L&amp;"Times New Roman,Bold"&amp;12Ref No: &amp;F&amp;C&amp;G&amp;R&amp;"Times New Roman,Bold"&amp;12&amp;P</oddFooter>
  </headerFooter>
  <rowBreaks count="7" manualBreakCount="7">
    <brk id="37" max="16383" man="1"/>
    <brk id="57" max="16383" man="1"/>
    <brk id="85" max="16383" man="1"/>
    <brk id="113" max="16383" man="1"/>
    <brk id="679" max="16383" man="1"/>
    <brk id="723" max="16383" man="1"/>
    <brk id="76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7" zoomScale="85" zoomScaleNormal="85" workbookViewId="0">
      <selection activeCell="G13" sqref="G13"/>
    </sheetView>
  </sheetViews>
  <sheetFormatPr defaultColWidth="8.7109375" defaultRowHeight="1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row r="2" spans="1:9" ht="15" customHeight="1">
      <c r="A2" s="2"/>
      <c r="B2" s="2"/>
      <c r="C2" s="2"/>
      <c r="D2" s="2"/>
      <c r="E2" s="2"/>
      <c r="F2" s="2"/>
      <c r="G2" s="2"/>
      <c r="H2" s="2"/>
    </row>
    <row r="3" spans="1:9" ht="15.75" customHeight="1">
      <c r="A3" s="2"/>
      <c r="B3" s="193" t="s">
        <v>248</v>
      </c>
      <c r="C3" s="193"/>
      <c r="D3" s="193"/>
      <c r="E3" s="193"/>
      <c r="F3" s="193"/>
      <c r="G3" s="193"/>
      <c r="H3" s="193"/>
    </row>
    <row r="4" spans="1:9">
      <c r="A4" s="2"/>
      <c r="B4" s="3" t="s">
        <v>249</v>
      </c>
      <c r="C4" s="3" t="s">
        <v>250</v>
      </c>
      <c r="D4" s="3" t="s">
        <v>251</v>
      </c>
      <c r="E4" s="3" t="s">
        <v>252</v>
      </c>
      <c r="F4" s="3" t="s">
        <v>253</v>
      </c>
      <c r="G4" s="3" t="s">
        <v>254</v>
      </c>
      <c r="H4" s="3" t="s">
        <v>255</v>
      </c>
    </row>
    <row r="5" spans="1:9" ht="15" customHeight="1">
      <c r="A5" s="2"/>
      <c r="B5" s="4" t="s">
        <v>256</v>
      </c>
      <c r="C5" s="5"/>
      <c r="D5" s="4"/>
      <c r="E5" s="4"/>
      <c r="F5" s="6">
        <f>E5*1.6</f>
        <v>0</v>
      </c>
      <c r="G5" s="6" t="e">
        <f>H5/F5</f>
        <v>#DIV/0!</v>
      </c>
      <c r="H5" s="7"/>
    </row>
    <row r="6" spans="1:9">
      <c r="A6" s="2"/>
      <c r="B6" s="4" t="s">
        <v>256</v>
      </c>
      <c r="C6" s="8"/>
      <c r="D6" s="4"/>
      <c r="E6" s="4"/>
      <c r="F6" s="6">
        <f t="shared" ref="F6:F11" si="0">E6*1.6</f>
        <v>0</v>
      </c>
      <c r="G6" s="6" t="e">
        <f t="shared" ref="G6:G11" si="1">H6/F6</f>
        <v>#DIV/0!</v>
      </c>
      <c r="H6" s="7"/>
    </row>
    <row r="7" spans="1:9" ht="15" customHeight="1">
      <c r="A7" s="2"/>
      <c r="B7" s="4" t="s">
        <v>256</v>
      </c>
      <c r="C7" s="5"/>
      <c r="D7" s="4"/>
      <c r="E7" s="4"/>
      <c r="F7" s="6">
        <f t="shared" si="0"/>
        <v>0</v>
      </c>
      <c r="G7" s="6" t="e">
        <f t="shared" si="1"/>
        <v>#DIV/0!</v>
      </c>
      <c r="H7" s="7"/>
    </row>
    <row r="8" spans="1:9">
      <c r="A8" s="2"/>
      <c r="B8" s="4" t="s">
        <v>257</v>
      </c>
      <c r="C8" s="8"/>
      <c r="D8" s="4" t="s">
        <v>258</v>
      </c>
      <c r="E8" s="4">
        <v>1011</v>
      </c>
      <c r="F8" s="6">
        <f t="shared" si="0"/>
        <v>1617.6000000000001</v>
      </c>
      <c r="G8" s="6">
        <f t="shared" si="1"/>
        <v>13538.575667655785</v>
      </c>
      <c r="H8" s="7">
        <v>21900000</v>
      </c>
    </row>
    <row r="9" spans="1:9" ht="15" customHeight="1">
      <c r="A9" s="2"/>
      <c r="B9" s="4" t="s">
        <v>257</v>
      </c>
      <c r="C9" s="8"/>
      <c r="D9" s="4" t="s">
        <v>259</v>
      </c>
      <c r="E9" s="4">
        <v>706</v>
      </c>
      <c r="F9" s="6">
        <f t="shared" si="0"/>
        <v>1129.6000000000001</v>
      </c>
      <c r="G9" s="6">
        <f t="shared" si="1"/>
        <v>13190.509915014163</v>
      </c>
      <c r="H9" s="7">
        <v>14900000</v>
      </c>
    </row>
    <row r="10" spans="1:9" ht="15" customHeight="1">
      <c r="A10" s="2"/>
      <c r="B10" s="4" t="s">
        <v>257</v>
      </c>
      <c r="C10" s="5"/>
      <c r="D10" s="4" t="s">
        <v>260</v>
      </c>
      <c r="E10" s="4">
        <v>461</v>
      </c>
      <c r="F10" s="6">
        <f t="shared" si="0"/>
        <v>737.6</v>
      </c>
      <c r="G10" s="6">
        <f t="shared" si="1"/>
        <v>13557.483731019522</v>
      </c>
      <c r="H10" s="7">
        <v>10000000</v>
      </c>
    </row>
    <row r="11" spans="1:9" ht="15" customHeight="1">
      <c r="A11" s="2"/>
      <c r="B11" s="4" t="s">
        <v>257</v>
      </c>
      <c r="C11" s="5"/>
      <c r="D11" s="4" t="s">
        <v>259</v>
      </c>
      <c r="E11" s="4">
        <v>674</v>
      </c>
      <c r="F11" s="6">
        <f t="shared" si="0"/>
        <v>1078.4000000000001</v>
      </c>
      <c r="G11" s="6">
        <f t="shared" si="1"/>
        <v>12704.0059347181</v>
      </c>
      <c r="H11" s="7">
        <v>13700000</v>
      </c>
    </row>
    <row r="12" spans="1:9" ht="15" customHeight="1">
      <c r="A12" s="2"/>
      <c r="B12" s="9" t="s">
        <v>261</v>
      </c>
      <c r="C12" s="4"/>
      <c r="D12" s="4"/>
      <c r="E12" s="4"/>
      <c r="F12" s="4"/>
      <c r="G12" s="10">
        <f>AVERAGE(G8:G11)</f>
        <v>13247.643812101893</v>
      </c>
      <c r="H12" s="4"/>
    </row>
    <row r="13" spans="1:9" ht="15" customHeight="1">
      <c r="B13" s="9" t="s">
        <v>262</v>
      </c>
      <c r="C13" s="4"/>
      <c r="D13" s="4"/>
      <c r="E13" s="4"/>
      <c r="F13" s="11"/>
      <c r="G13" s="9"/>
      <c r="H13" s="9"/>
      <c r="I13" s="12"/>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N18" sqref="N18"/>
    </sheetView>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SACHIN</cp:lastModifiedBy>
  <cp:lastPrinted>2025-08-25T12:12:18Z</cp:lastPrinted>
  <dcterms:created xsi:type="dcterms:W3CDTF">2019-07-16T09:29:00Z</dcterms:created>
  <dcterms:modified xsi:type="dcterms:W3CDTF">2025-08-25T12:13:37Z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6358F3672CD64E80954A5ED2355E07FE_12</vt:lpwstr>
  </property>
  <property fmtid="{D5CDD505-2E9C-101B-9397-08002B2CF9AE}" pid="3" name="KSOProductBuildVer">
    <vt:lpwstr>1033-12.2.0.20326</vt:lpwstr>
  </property>
</Properties>
</file>