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C89" i="1"/>
  <c r="C75" i="1"/>
  <c r="J162" i="1" l="1"/>
  <c r="J158" i="1" l="1"/>
  <c r="I161" i="1" l="1"/>
  <c r="K162" i="1"/>
  <c r="L162" i="1" s="1"/>
  <c r="L161" i="1"/>
  <c r="I187" i="1"/>
  <c r="I123" i="1"/>
  <c r="J186" i="1"/>
  <c r="C104" i="1" l="1"/>
  <c r="C105" i="1" s="1"/>
  <c r="C106" i="1" s="1"/>
  <c r="C76" i="1"/>
  <c r="C77" i="1" l="1"/>
  <c r="C78" i="1"/>
  <c r="D176" i="1" l="1"/>
  <c r="F176" i="1" s="1"/>
  <c r="D175" i="1"/>
  <c r="F175" i="1" s="1"/>
  <c r="G175" i="1"/>
  <c r="D173" i="1"/>
  <c r="F173" i="1" s="1"/>
  <c r="D172" i="1"/>
  <c r="F172" i="1" s="1"/>
  <c r="D170" i="1"/>
  <c r="F170" i="1" s="1"/>
  <c r="G169" i="1"/>
  <c r="D169" i="1"/>
  <c r="F169" i="1" s="1"/>
  <c r="C90" i="1"/>
  <c r="C91" i="1" s="1"/>
  <c r="C92" i="1" s="1"/>
  <c r="E41" i="1" l="1"/>
  <c r="C83" i="1" l="1"/>
  <c r="C69" i="1"/>
  <c r="J80" i="1"/>
  <c r="J79" i="1"/>
  <c r="D167" i="1"/>
  <c r="F167" i="1" s="1"/>
  <c r="D166" i="1"/>
  <c r="F166" i="1" s="1"/>
  <c r="D165" i="1"/>
  <c r="F165" i="1" s="1"/>
  <c r="D164" i="1"/>
  <c r="F164" i="1" s="1"/>
  <c r="D162" i="1"/>
  <c r="F162" i="1" s="1"/>
  <c r="D161" i="1"/>
  <c r="D160" i="1"/>
  <c r="D159" i="1"/>
  <c r="D157" i="1"/>
  <c r="D156" i="1"/>
  <c r="D155" i="1"/>
  <c r="D154" i="1"/>
  <c r="G164" i="1"/>
  <c r="H70" i="1"/>
  <c r="M162" i="1" l="1"/>
  <c r="I159" i="1"/>
  <c r="J160" i="1"/>
  <c r="I160" i="1"/>
  <c r="I162" i="1"/>
  <c r="J161" i="1"/>
  <c r="C135" i="1"/>
  <c r="E135" i="1"/>
  <c r="J74" i="1"/>
  <c r="C73" i="1" s="1"/>
  <c r="D73" i="1" s="1"/>
  <c r="J72" i="1"/>
  <c r="D75" i="1"/>
  <c r="D82" i="1"/>
  <c r="D78" i="1"/>
  <c r="D81" i="1"/>
  <c r="D77" i="1"/>
  <c r="J73" i="1"/>
  <c r="J69" i="1"/>
  <c r="J71" i="1" s="1"/>
  <c r="D80" i="1"/>
  <c r="D76" i="1"/>
  <c r="J75" i="1"/>
  <c r="J76" i="1" s="1"/>
  <c r="J81" i="1" s="1"/>
  <c r="D79" i="1"/>
  <c r="G159" i="1"/>
  <c r="F159" i="1"/>
  <c r="F161" i="1"/>
  <c r="F160" i="1"/>
  <c r="F157" i="1"/>
  <c r="F156" i="1"/>
  <c r="F155" i="1"/>
  <c r="F154" i="1"/>
  <c r="G154" i="1"/>
  <c r="A155" i="1"/>
  <c r="A156" i="1" s="1"/>
  <c r="A157" i="1" s="1"/>
  <c r="J152" i="1"/>
  <c r="G135" i="1" l="1"/>
  <c r="L160" i="1"/>
  <c r="K160" i="1"/>
  <c r="J77" i="1"/>
  <c r="J78" i="1" s="1"/>
  <c r="D188" i="1"/>
  <c r="F188" i="1" s="1"/>
  <c r="I188" i="1" s="1"/>
  <c r="J188" i="1" s="1"/>
  <c r="D187" i="1"/>
  <c r="F187" i="1" s="1"/>
  <c r="D186" i="1"/>
  <c r="F186" i="1" s="1"/>
  <c r="A186" i="1"/>
  <c r="A187" i="1" s="1"/>
  <c r="A188" i="1" s="1"/>
  <c r="G185" i="1"/>
  <c r="D185" i="1"/>
  <c r="F185" i="1" s="1"/>
  <c r="D183" i="1"/>
  <c r="D182" i="1"/>
  <c r="D181" i="1"/>
  <c r="D180" i="1"/>
  <c r="J82" i="1" l="1"/>
  <c r="C74" i="1" s="1"/>
  <c r="J118" i="1"/>
  <c r="K118" i="1" s="1"/>
  <c r="L118" i="1"/>
  <c r="E73" i="1" l="1"/>
  <c r="D74" i="1"/>
  <c r="I70" i="1" s="1"/>
  <c r="J70" i="1"/>
  <c r="G73" i="1"/>
  <c r="I71" i="1" l="1"/>
  <c r="I69" i="1" s="1"/>
  <c r="C71" i="1" s="1"/>
  <c r="D201" i="1" l="1"/>
  <c r="D200" i="1"/>
  <c r="D199" i="1"/>
  <c r="D192" i="1"/>
  <c r="D191" i="1"/>
  <c r="D190" i="1"/>
  <c r="H84" i="1"/>
  <c r="C136" i="1" l="1"/>
  <c r="E136" i="1"/>
  <c r="J83" i="1"/>
  <c r="J85" i="1" s="1"/>
  <c r="J86" i="1"/>
  <c r="J87" i="1"/>
  <c r="J88" i="1"/>
  <c r="C87" i="1" s="1"/>
  <c r="D87" i="1" s="1"/>
  <c r="D89" i="1"/>
  <c r="J89" i="1"/>
  <c r="J90" i="1" s="1"/>
  <c r="J95" i="1" s="1"/>
  <c r="D90" i="1"/>
  <c r="D91" i="1"/>
  <c r="D92" i="1"/>
  <c r="D93" i="1"/>
  <c r="J93" i="1"/>
  <c r="D94" i="1"/>
  <c r="J94" i="1"/>
  <c r="D95" i="1"/>
  <c r="D96" i="1"/>
  <c r="J91" i="1" l="1"/>
  <c r="J92" i="1" l="1"/>
  <c r="J96" i="1" l="1"/>
  <c r="C88" i="1" s="1"/>
  <c r="E87" i="1" s="1"/>
  <c r="D216" i="1"/>
  <c r="F216" i="1" s="1"/>
  <c r="A216" i="1"/>
  <c r="A217" i="1" s="1"/>
  <c r="G215" i="1"/>
  <c r="G216" i="1" s="1"/>
  <c r="G217" i="1" s="1"/>
  <c r="D215" i="1"/>
  <c r="F215" i="1" s="1"/>
  <c r="D209" i="1"/>
  <c r="G87" i="1" l="1"/>
  <c r="D67" i="1" s="1"/>
  <c r="J84" i="1"/>
  <c r="D88" i="1"/>
  <c r="I84" i="1" s="1"/>
  <c r="I85" i="1" s="1"/>
  <c r="F209" i="1"/>
  <c r="J199" i="1" s="1"/>
  <c r="D208" i="1"/>
  <c r="F208" i="1" s="1"/>
  <c r="J198" i="1" s="1"/>
  <c r="A208" i="1"/>
  <c r="A209" i="1" s="1"/>
  <c r="G207" i="1"/>
  <c r="G208" i="1" s="1"/>
  <c r="G209" i="1" s="1"/>
  <c r="D207" i="1"/>
  <c r="F207" i="1" s="1"/>
  <c r="J197" i="1" s="1"/>
  <c r="I83" i="1" l="1"/>
  <c r="C85" i="1" s="1"/>
  <c r="D212" i="1"/>
  <c r="F212" i="1" s="1"/>
  <c r="D211" i="1"/>
  <c r="D205" i="1"/>
  <c r="F205" i="1" s="1"/>
  <c r="D204" i="1"/>
  <c r="F204" i="1" s="1"/>
  <c r="D203" i="1"/>
  <c r="F201" i="1"/>
  <c r="F200" i="1"/>
  <c r="F192" i="1"/>
  <c r="F191" i="1"/>
  <c r="F190" i="1"/>
  <c r="F183" i="1"/>
  <c r="F182" i="1"/>
  <c r="F181" i="1"/>
  <c r="J172" i="1"/>
  <c r="A200" i="1"/>
  <c r="A201" i="1" s="1"/>
  <c r="G199" i="1"/>
  <c r="G200" i="1" s="1"/>
  <c r="G201" i="1" s="1"/>
  <c r="A212" i="1"/>
  <c r="A213" i="1" s="1"/>
  <c r="G211" i="1"/>
  <c r="G212" i="1" s="1"/>
  <c r="G213" i="1" s="1"/>
  <c r="F211" i="1"/>
  <c r="A204" i="1"/>
  <c r="A205" i="1" s="1"/>
  <c r="G203" i="1"/>
  <c r="G204" i="1" s="1"/>
  <c r="G205" i="1" s="1"/>
  <c r="A191" i="1"/>
  <c r="A192" i="1" s="1"/>
  <c r="A193" i="1" s="1"/>
  <c r="G190" i="1"/>
  <c r="G191" i="1" s="1"/>
  <c r="G192" i="1" s="1"/>
  <c r="G193" i="1" s="1"/>
  <c r="J174" i="1"/>
  <c r="A181" i="1"/>
  <c r="A182" i="1" s="1"/>
  <c r="A183" i="1" s="1"/>
  <c r="G180" i="1"/>
  <c r="C137" i="1" l="1"/>
  <c r="C138" i="1" s="1"/>
  <c r="E137" i="1"/>
  <c r="E138" i="1" s="1"/>
  <c r="F203" i="1"/>
  <c r="F199" i="1"/>
  <c r="F180" i="1"/>
  <c r="G136" i="1" s="1"/>
  <c r="E42" i="1"/>
  <c r="E43" i="1" s="1"/>
  <c r="K193" i="1" l="1"/>
  <c r="J193" i="1"/>
  <c r="G137" i="1"/>
  <c r="G138" i="1" s="1"/>
  <c r="J189" i="1"/>
  <c r="K174" i="1"/>
  <c r="C14" i="1"/>
  <c r="E29" i="1" l="1"/>
  <c r="F127" i="1" l="1"/>
  <c r="F145" i="1" l="1"/>
  <c r="F146" i="1"/>
  <c r="F147" i="1"/>
  <c r="F144" i="1"/>
  <c r="B222" i="1" l="1"/>
  <c r="B22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7" i="1"/>
  <c r="A145" i="1"/>
  <c r="A146" i="1" s="1"/>
  <c r="A147" i="1" s="1"/>
  <c r="G144" i="1"/>
  <c r="G145" i="1" s="1"/>
  <c r="G146" i="1" s="1"/>
  <c r="G147" i="1" s="1"/>
  <c r="J108" i="1"/>
  <c r="J107" i="1"/>
  <c r="C97" i="1"/>
  <c r="D56" i="1"/>
  <c r="E26" i="1"/>
  <c r="E24" i="1"/>
  <c r="E7" i="1"/>
  <c r="E3" i="1"/>
  <c r="H98" i="1"/>
  <c r="D63" i="1" l="1"/>
  <c r="D108" i="1"/>
  <c r="D109" i="1"/>
  <c r="D110" i="1"/>
  <c r="D104" i="1"/>
  <c r="D105" i="1"/>
  <c r="D106" i="1"/>
  <c r="D107" i="1"/>
  <c r="J97" i="1"/>
  <c r="J99" i="1" s="1"/>
  <c r="J103" i="1"/>
  <c r="J104" i="1" s="1"/>
  <c r="J109" i="1" s="1"/>
  <c r="J101" i="1"/>
  <c r="J102" i="1"/>
  <c r="C101" i="1" s="1"/>
  <c r="J100" i="1"/>
  <c r="J105" i="1" l="1"/>
  <c r="D103" i="1"/>
  <c r="D68" i="1"/>
  <c r="D101" i="1"/>
  <c r="J106" i="1" l="1"/>
  <c r="F68" i="1"/>
  <c r="J110" i="1" l="1"/>
  <c r="C102" i="1" s="1"/>
  <c r="E101" i="1" s="1"/>
  <c r="G101" i="1" l="1"/>
  <c r="D102" i="1"/>
  <c r="I98" i="1" s="1"/>
  <c r="I99" i="1" s="1"/>
  <c r="J98" i="1"/>
  <c r="I97" i="1" l="1"/>
  <c r="C99" i="1" s="1"/>
</calcChain>
</file>

<file path=xl/sharedStrings.xml><?xml version="1.0" encoding="utf-8"?>
<sst xmlns="http://schemas.openxmlformats.org/spreadsheetml/2006/main" count="433" uniqueCount="267">
  <si>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</si>
  <si>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</si>
  <si>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</si>
  <si>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</si>
  <si>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</si>
  <si>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</si>
  <si>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</si>
  <si>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</si>
  <si>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</si>
  <si>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</si>
  <si>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</si>
  <si>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</si>
  <si>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</si>
  <si>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</si>
  <si>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</si>
  <si>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</si>
  <si>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</si>
  <si>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</si>
  <si>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</si>
  <si>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</si>
  <si>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</si>
  <si>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</si>
  <si>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</si>
  <si>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</si>
  <si>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</si>
  <si>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</si>
  <si>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</si>
  <si>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</si>
  <si>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</si>
  <si>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</si>
  <si>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</si>
  <si>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</si>
  <si>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</si>
  <si>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</si>
  <si>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</si>
  <si>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</si>
  <si>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</si>
  <si>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</si>
  <si>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</si>
  <si>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</si>
  <si>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</si>
  <si>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</si>
  <si>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</si>
  <si>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</si>
  <si>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</si>
  <si>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</si>
  <si>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</si>
  <si>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</si>
  <si>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</si>
  <si>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</si>
  <si>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</si>
  <si>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</si>
  <si>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</si>
  <si>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</si>
  <si>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</si>
  <si>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</si>
  <si>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</si>
  <si>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</si>
  <si>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</si>
  <si>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</si>
  <si>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</si>
  <si>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</si>
  <si>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</si>
  <si>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</si>
  <si>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</si>
  <si>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</si>
  <si>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</si>
  <si>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</si>
  <si>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</si>
  <si>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</si>
  <si>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</si>
  <si>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</si>
  <si>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</si>
  <si>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</si>
  <si>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</si>
  <si>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</si>
  <si>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</si>
  <si>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</si>
  <si>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</si>
  <si>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</si>
  <si>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</si>
  <si>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</si>
  <si>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</si>
  <si>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</si>
  <si>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</si>
  <si>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</si>
  <si>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</si>
  <si>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</si>
  <si>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</si>
  <si>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</si>
  <si>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</si>
  <si>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</si>
  <si>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</si>
  <si>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</si>
  <si>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</si>
  <si>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</si>
  <si>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</si>
  <si>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</si>
  <si>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</si>
  <si>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</si>
  <si>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</si>
  <si>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</si>
  <si>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</si>
  <si>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</si>
  <si>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</si>
  <si>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</si>
  <si>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</si>
  <si>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</si>
  <si>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</si>
  <si>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</si>
  <si>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</si>
  <si>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</si>
  <si>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</si>
  <si>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</si>
  <si>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</si>
  <si>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</si>
  <si>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</si>
  <si>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</si>
  <si>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</si>
  <si>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</si>
  <si>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</si>
  <si>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</si>
  <si>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</si>
  <si>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</si>
  <si>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</si>
  <si>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</si>
  <si>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</si>
  <si>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</si>
  <si>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</si>
  <si>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</si>
  <si>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</si>
  <si>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</si>
  <si>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</si>
  <si>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</si>
  <si>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</si>
  <si>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</si>
  <si>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</si>
  <si>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</si>
  <si>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</si>
  <si>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</si>
  <si>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</si>
  <si>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</si>
  <si>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</si>
  <si>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</si>
  <si>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</si>
  <si>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</si>
  <si>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</si>
  <si>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</si>
  <si>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</si>
  <si>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</si>
  <si>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</si>
  <si>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</si>
  <si>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</si>
  <si>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</si>
  <si>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</si>
  <si>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</si>
  <si>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</si>
  <si>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</si>
  <si>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</si>
  <si>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</si>
  <si>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</si>
  <si>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</si>
  <si>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</si>
  <si>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</si>
  <si>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</si>
  <si>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</si>
  <si>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</si>
  <si>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</si>
  <si>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</si>
  <si>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</si>
  <si>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</si>
  <si>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</si>
  <si>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Latitude, Longitude</t>
  </si>
  <si>
    <t>P51700021698</t>
  </si>
  <si>
    <t>Infinity Towers</t>
  </si>
  <si>
    <t>T Bhimjyani Realty Pvt.Ltd.</t>
  </si>
  <si>
    <t>022-66977000/66977001/66977002</t>
  </si>
  <si>
    <t>Thane</t>
  </si>
  <si>
    <t>Majiwade</t>
  </si>
  <si>
    <t>Survey No</t>
  </si>
  <si>
    <t>312/1A, 312/1B, S.No.313, H.No.1 to 3, S.No.314, H.No.1 to 9, S.No.315, H.No.1 to 3, S.No. 316 (P), S.No.317, H.No.1 to 4, S.No.318/1A, 318/1B, 318/1C, 318/1D/1, 319/1B/2, 321/3/1, 321/3/2</t>
  </si>
  <si>
    <t>Mr.Naren</t>
  </si>
  <si>
    <t>Thane Municipal Corporation (TMC)</t>
  </si>
  <si>
    <t>https://goo.gl/maps/HfpPHQxVorvcuXqB8</t>
  </si>
  <si>
    <t>7.3KM from Thane Railway Station</t>
  </si>
  <si>
    <t>Patilpada</t>
  </si>
  <si>
    <t>Neelkanth Woods</t>
  </si>
  <si>
    <t>Internal Road</t>
  </si>
  <si>
    <t>Thane West</t>
  </si>
  <si>
    <t>Neelkanth Greens</t>
  </si>
  <si>
    <t>Neelkanth Woods Club House</t>
  </si>
  <si>
    <t>Open Plot</t>
  </si>
  <si>
    <t>S04/0122/18/TMC/TDD/3156/19</t>
  </si>
  <si>
    <t>Stilt Floor For Parking &amp; Society Office</t>
  </si>
  <si>
    <t>2BHK</t>
  </si>
  <si>
    <t>4th, 8th, 13th, 18th, 23rd, 33rd &amp; 38th Floor (Part Refuge Area)</t>
  </si>
  <si>
    <t>Refuge Area</t>
  </si>
  <si>
    <t>3BHK</t>
  </si>
  <si>
    <t>We considered Gross carpet area = Net carpet + Enclose balcony + Balcony Area + Service Slab</t>
  </si>
  <si>
    <t>1st Floor For Residential</t>
  </si>
  <si>
    <t>2nd to 3rd, 5th, 6th, 9th to 12th, 15th to 17th, 19th, 20th, 22nd, 24th to 27th, 
29th to 32nd, 34th, 36th, 37th, 39th &amp; 40th Floor</t>
  </si>
  <si>
    <t>Wing B</t>
  </si>
  <si>
    <t>Wing C</t>
  </si>
  <si>
    <t>7th, 14th, 21st &amp; 35th Floor</t>
  </si>
  <si>
    <t>28th Floor (Part Refuge Area)</t>
  </si>
  <si>
    <t>official site</t>
  </si>
  <si>
    <t>41ST Also</t>
  </si>
  <si>
    <t>Security Deposit For Maintenance Charges</t>
  </si>
  <si>
    <t>Fire Premium Charges</t>
  </si>
  <si>
    <t>Corpus Charges</t>
  </si>
  <si>
    <t xml:space="preserve">problem in 41st floor </t>
  </si>
  <si>
    <t>17500 on carpet</t>
  </si>
  <si>
    <t>prop in 9725</t>
  </si>
  <si>
    <t xml:space="preserve">Classic European Café and Organic Juice bar
The Grand Ballroom with outdoor cabanas &amp; gazebos
Exotic spa zone with fish pond
World-class gym and squash court
Bose entertainment and music lounge
Designer Indoor Kids Play Kingdom
Outdoor sports arena with cricket, tennis, golf &amp; basketball
Other Indulgences: Designer library and Billiards lounge
</t>
  </si>
  <si>
    <t>E - 120 means type E BLDG NO.120</t>
  </si>
  <si>
    <t>41st Floor For Amenity (Fitness Center) &amp; Part Terrace</t>
  </si>
  <si>
    <t>2.5BHK</t>
  </si>
  <si>
    <t>Fire Check Floor</t>
  </si>
  <si>
    <t>Charges &amp; parking</t>
  </si>
  <si>
    <t>gaurav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</si>
  <si>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</si>
  <si>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19.243736,72.969725</t>
  </si>
  <si>
    <t>Ajay Songare</t>
  </si>
  <si>
    <t>Wing B (E 120)</t>
  </si>
  <si>
    <t>Wing C (F 122)</t>
  </si>
  <si>
    <t>Stilt Floor For Parking, Society Office, Kids Area, Library, Lounge, Fitness Centre &amp; Society Office</t>
  </si>
  <si>
    <t>2nd, 3rd, 5th to 8th, 10th to 13th, 15th to 18th, 20th to 23rd, 25th to 28th, 
30th to 33rd, 35th to 38th Floor For Residential</t>
  </si>
  <si>
    <t>4th, 9th, 14th, 19th, 24th, 29th &amp; 34th Floor (Part Refuge Area)</t>
  </si>
  <si>
    <t>B Wing (E 120) = Gr + 2P + St + 1st to 41st Floor</t>
  </si>
  <si>
    <t>C Wing (F 122) = Gr + 2P + St + 1st to 41st Floor</t>
  </si>
  <si>
    <t xml:space="preserve">Approved Floor plan No. B Wing (E 120) </t>
  </si>
  <si>
    <t>Approved Floor plan No. C Wing (F 122)</t>
  </si>
  <si>
    <t>S04/0122/18/TMC/TD-DP/TPS/0082(P/C)/2024/AUTODCR</t>
  </si>
  <si>
    <t>We have updated approved floor plan (sheet no. 7/28) of 1st to 38th Floor (Except of 4th, 9th, 14th, 19th, 24th, 29th &amp; 34th Floor ) of B Wing (Building E 120).</t>
  </si>
  <si>
    <t>A Wing (Building D 119)
B Wing (Building E 120)
C Wing (Building F 122)</t>
  </si>
  <si>
    <t>Approved Plans, CC</t>
  </si>
  <si>
    <t>Other Plot</t>
  </si>
  <si>
    <t>A Wing (D 119) = Gr + 2P + St + 1st to 41st Floor
B Wing (E 120) = Gr + 2P + St + 1st to 41st Floor
C Wing (F 122) = Gr + 2P + St + 1st to 41st Floor</t>
  </si>
  <si>
    <t>A Wing (D 119) = Gr + 2P + St + 1st to 41st Floor</t>
  </si>
  <si>
    <t>Wing A (D 119)</t>
  </si>
  <si>
    <t>Stilt Floor For Parking, Society Office, Multipurpose Hall, Library &amp; Massage Room</t>
  </si>
  <si>
    <t>2nd to 3rd, 5th to 8th, 10th to 13th, 15th to 18th, 20th to 23rd, 25th to 28th, 30th to 33rd, 35th to 38th Floor For Residential</t>
  </si>
  <si>
    <t>4th, 9th, 14th, 19th, 24th, 29th &amp; 34th Floor For Residential (Part Refuge Area)</t>
  </si>
  <si>
    <t>Please provide pending Sheets of  revised approved floor plan dtd 02/02/2024 of A Wing (Building D 119), B Wing (Building E 120) &amp; C Wing (Building F 122).</t>
  </si>
  <si>
    <t>Wing A</t>
  </si>
  <si>
    <t xml:space="preserve">Approved Floor plan No. A Wing (D 119) </t>
  </si>
  <si>
    <t xml:space="preserve">Commencement-CC No
Valid Up to: </t>
  </si>
  <si>
    <t>2003/40 (S04/0122/18)/TMC/TDD/0082 (P/C)/2024/Auto DCR</t>
  </si>
  <si>
    <t>Building D 119, E 120 &amp; F 122 = Gr Podium + 2P + St + 1st to 41st Floor</t>
  </si>
  <si>
    <t>Layout :</t>
  </si>
  <si>
    <t>As per RERA - 28/12/2026</t>
  </si>
  <si>
    <t>03 Buildings</t>
  </si>
  <si>
    <t>We have updated approved floor plan (sheet no. 3/28) of 1st to 38th Floor (Except of 4th, 9th, 14th, 19th, 24th, 29th &amp; 34th Floor ) of A Wing (Building D 119) (on 14/05/2024).</t>
  </si>
  <si>
    <t>Construction work is in process at the time of Visit. Internal photographs not allowed.</t>
  </si>
  <si>
    <t>11000 to 12400</t>
  </si>
  <si>
    <t xml:space="preserve">Sanjay </t>
  </si>
  <si>
    <t>Cost sheet</t>
  </si>
  <si>
    <t>-</t>
  </si>
  <si>
    <t>40th &amp; 41st Floor</t>
  </si>
  <si>
    <t>4th, 9th, 14th, 19th, 24th, 29th, 34th &amp; 39th Floor For (Part Refuge Area)</t>
  </si>
  <si>
    <t xml:space="preserve">We have updated approved 4th, 9th, 14th, 19th, 24th, 29th, 34th, 39th to 41st Floor Plan for A Wing (Building D 119) dtd. 2/2/2024 on 27/11/2024 </t>
  </si>
  <si>
    <t>Flats - 417</t>
  </si>
  <si>
    <t>Sanjay on 28/11/2024</t>
  </si>
  <si>
    <t>Floor Rise Rate Per Sq. Ft. From 5th Floor</t>
  </si>
  <si>
    <t>Recommended Rates / Other charges of the Property have been revised on 29/04/2023, 21/08/2024, 28/11/2024 &amp; 29/01/2025.</t>
  </si>
  <si>
    <t>12400 to 13200 Sanjay on 29/01/2025 Case No. A3604 for LA= 1.45Cr (LTV 75%)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</si>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</sst>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7" fontId="16" fillId="0" borderId="0" xfId="1" applyNumberFormat="1" applyFont="1"/>
    <xf numFmtId="1" fontId="16" fillId="0" borderId="0" xfId="1" applyNumberFormat="1" applyFont="1"/>
    <xf numFmtId="1" fontId="16" fillId="0" borderId="0" xfId="1" applyNumberFormat="1" applyFont="1" applyAlignment="1">
      <alignment horizontal="left"/>
    </xf>
    <xf numFmtId="14" fontId="16" fillId="0" borderId="0" xfId="1" applyNumberFormat="1" applyFont="1"/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7" fillId="0" borderId="0" xfId="1" applyNumberFormat="1" applyFont="1" applyAlignment="1">
      <alignment horizontal="center" vertical="center"/>
    </xf>
    <xf numFmtId="43" fontId="7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43" fontId="15" fillId="2" borderId="0" xfId="1" applyNumberFormat="1" applyFont="1" applyFill="1" applyAlignment="1">
      <alignment horizontal="center" vertical="center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0" fontId="7" fillId="0" borderId="32" xfId="1" applyFont="1" applyBorder="1" applyAlignment="1" applyProtection="1">
      <alignment horizontal="center" vertical="top" wrapText="1"/>
      <protection locked="0"/>
    </xf>
    <xf numFmtId="0" fontId="7" fillId="0" borderId="33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27" fillId="0" borderId="7" xfId="1" applyNumberFormat="1" applyFont="1" applyBorder="1" applyAlignment="1" applyProtection="1">
      <alignment horizontal="center" vertical="center" wrapText="1"/>
      <protection locked="0"/>
    </xf>
    <xf numFmtId="1" fontId="27" fillId="0" borderId="20" xfId="1" applyNumberFormat="1" applyFont="1" applyBorder="1" applyAlignment="1" applyProtection="1">
      <alignment horizontal="center" vertical="center" wrapText="1"/>
      <protection locked="0"/>
    </xf>
    <xf numFmtId="1" fontId="27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4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6" fillId="0" borderId="24" xfId="1" applyFont="1" applyBorder="1" applyAlignment="1">
      <alignment horizontal="center"/>
    </xf>
    <xf numFmtId="0" fontId="16" fillId="0" borderId="0" xfId="1" applyFont="1" applyAlignment="1">
      <alignment horizont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/>
      <protection locked="0"/>
    </xf>
    <xf numFmtId="0" fontId="8" fillId="0" borderId="20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3" fillId="3" borderId="7" xfId="0" applyNumberFormat="1" applyFont="1" applyFill="1" applyBorder="1" applyAlignment="1" applyProtection="1">
      <alignment vertical="top" wrapText="1"/>
      <protection locked="0"/>
    </xf>
    <xf numFmtId="1" fontId="13" fillId="3" borderId="20" xfId="0" applyNumberFormat="1" applyFont="1" applyFill="1" applyBorder="1" applyAlignment="1" applyProtection="1">
      <alignment vertical="top" wrapText="1"/>
      <protection locked="0"/>
    </xf>
    <xf numFmtId="1" fontId="13" fillId="3" borderId="8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584728</xdr:colOff>
      <xdr:row>248</xdr:row>
      <xdr:rowOff>73924</xdr:rowOff>
    </xdr:from>
    <xdr:to>
      <xdr:col>10</xdr:col>
      <xdr:colOff>702847</xdr:colOff>
      <xdr:row>250</xdr:row>
      <xdr:rowOff>43205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282660" y="44590310"/>
          <a:ext cx="880119" cy="3676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1</a:t>
          </a:r>
          <a:r>
            <a:rPr lang="en-IN" b="1" baseline="30000">
              <a:solidFill>
                <a:srgbClr val="FF0000"/>
              </a:solidFill>
            </a:rPr>
            <a:t>st</a:t>
          </a:r>
          <a:r>
            <a:rPr lang="en-IN" b="1">
              <a:solidFill>
                <a:srgbClr val="FF0000"/>
              </a:solidFill>
            </a:rPr>
            <a:t> Floor</a:t>
          </a:r>
        </a:p>
      </xdr:txBody>
    </xdr:sp>
    <xdr:clientData/>
  </xdr:twoCellAnchor>
  <xdr:twoCellAnchor>
    <xdr:from>
      <xdr:col>10</xdr:col>
      <xdr:colOff>16690</xdr:colOff>
      <xdr:row>242</xdr:row>
      <xdr:rowOff>165710</xdr:rowOff>
    </xdr:from>
    <xdr:to>
      <xdr:col>11</xdr:col>
      <xdr:colOff>114299</xdr:colOff>
      <xdr:row>244</xdr:row>
      <xdr:rowOff>141533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484415" y="48276485"/>
          <a:ext cx="1107259" cy="375873"/>
        </a:xfrm>
        <a:prstGeom prst="rect">
          <a:avLst/>
        </a:prstGeom>
        <a:noFill/>
        <a:ln>
          <a:noFill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1</a:t>
          </a:r>
          <a:r>
            <a:rPr lang="en-IN" b="1" baseline="30000">
              <a:solidFill>
                <a:srgbClr val="FF0000"/>
              </a:solidFill>
            </a:rPr>
            <a:t>st</a:t>
          </a:r>
          <a:r>
            <a:rPr lang="en-IN" b="1">
              <a:solidFill>
                <a:srgbClr val="FF0000"/>
              </a:solidFill>
            </a:rPr>
            <a:t> Floor</a:t>
          </a:r>
        </a:p>
      </xdr:txBody>
    </xdr:sp>
    <xdr:clientData/>
  </xdr:twoCellAnchor>
  <xdr:twoCellAnchor editAs="oneCell">
    <xdr:from>
      <xdr:col>8</xdr:col>
      <xdr:colOff>708921</xdr:colOff>
      <xdr:row>169</xdr:row>
      <xdr:rowOff>146483</xdr:rowOff>
    </xdr:from>
    <xdr:to>
      <xdr:col>11</xdr:col>
      <xdr:colOff>573050</xdr:colOff>
      <xdr:row>186</xdr:row>
      <xdr:rowOff>157684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899" y="35678874"/>
          <a:ext cx="3202021" cy="359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498765</xdr:colOff>
      <xdr:row>46</xdr:row>
      <xdr:rowOff>206953</xdr:rowOff>
    </xdr:from>
    <xdr:to>
      <xdr:col>11</xdr:col>
      <xdr:colOff>772616</xdr:colOff>
      <xdr:row>49</xdr:row>
      <xdr:rowOff>20128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4490" y="11513128"/>
          <a:ext cx="24438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685800</xdr:colOff>
      <xdr:row>40</xdr:row>
      <xdr:rowOff>180975</xdr:rowOff>
    </xdr:from>
    <xdr:to>
      <xdr:col>11</xdr:col>
      <xdr:colOff>1003117</xdr:colOff>
      <xdr:row>46</xdr:row>
      <xdr:rowOff>60825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10287000"/>
          <a:ext cx="3649411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990600</xdr:colOff>
      <xdr:row>49</xdr:row>
      <xdr:rowOff>352425</xdr:rowOff>
    </xdr:from>
    <xdr:to>
      <xdr:col>11</xdr:col>
      <xdr:colOff>1241968</xdr:colOff>
      <xdr:row>54</xdr:row>
      <xdr:rowOff>163650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34275" y="12706350"/>
          <a:ext cx="3595472" cy="1440000"/>
        </a:xfrm>
        <a:prstGeom prst="rect">
          <a:avLst/>
        </a:prstGeom>
      </xdr:spPr>
    </xdr:pic>
    <xdr:clientData/>
  </xdr:twoCellAnchor>
  <xdr:twoCellAnchor>
    <xdr:from>
      <xdr:col>9</xdr:col>
      <xdr:colOff>584728</xdr:colOff>
      <xdr:row>306</xdr:row>
      <xdr:rowOff>73924</xdr:rowOff>
    </xdr:from>
    <xdr:to>
      <xdr:col>10</xdr:col>
      <xdr:colOff>702847</xdr:colOff>
      <xdr:row>307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8290453" y="53194849"/>
          <a:ext cx="880119" cy="3693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1</a:t>
          </a:r>
          <a:r>
            <a:rPr lang="en-IN" b="1" baseline="30000">
              <a:solidFill>
                <a:srgbClr val="FF0000"/>
              </a:solidFill>
            </a:rPr>
            <a:t>st</a:t>
          </a:r>
          <a:r>
            <a:rPr lang="en-IN" b="1">
              <a:solidFill>
                <a:srgbClr val="FF0000"/>
              </a:solidFill>
            </a:rPr>
            <a:t> Floor</a:t>
          </a:r>
        </a:p>
      </xdr:txBody>
    </xdr:sp>
    <xdr:clientData/>
  </xdr:twoCellAnchor>
  <xdr:twoCellAnchor>
    <xdr:from>
      <xdr:col>10</xdr:col>
      <xdr:colOff>16690</xdr:colOff>
      <xdr:row>300</xdr:row>
      <xdr:rowOff>165710</xdr:rowOff>
    </xdr:from>
    <xdr:to>
      <xdr:col>11</xdr:col>
      <xdr:colOff>114299</xdr:colOff>
      <xdr:row>302</xdr:row>
      <xdr:rowOff>141533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8484415" y="52086485"/>
          <a:ext cx="1107259" cy="375873"/>
        </a:xfrm>
        <a:prstGeom prst="rect">
          <a:avLst/>
        </a:prstGeom>
        <a:noFill/>
        <a:ln>
          <a:noFill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1</a:t>
          </a:r>
          <a:r>
            <a:rPr lang="en-IN" b="1" baseline="30000">
              <a:solidFill>
                <a:srgbClr val="FF0000"/>
              </a:solidFill>
            </a:rPr>
            <a:t>st</a:t>
          </a:r>
          <a:r>
            <a:rPr lang="en-IN" b="1">
              <a:solidFill>
                <a:srgbClr val="FF0000"/>
              </a:solidFill>
            </a:rPr>
            <a:t> Floor</a:t>
          </a:r>
        </a:p>
      </xdr:txBody>
    </xdr:sp>
    <xdr:clientData/>
  </xdr:twoCellAnchor>
  <xdr:twoCellAnchor>
    <xdr:from>
      <xdr:col>0</xdr:col>
      <xdr:colOff>419101</xdr:colOff>
      <xdr:row>290</xdr:row>
      <xdr:rowOff>95250</xdr:rowOff>
    </xdr:from>
    <xdr:to>
      <xdr:col>7</xdr:col>
      <xdr:colOff>523875</xdr:colOff>
      <xdr:row>315</xdr:row>
      <xdr:rowOff>144150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419101" y="61582300"/>
          <a:ext cx="6099174" cy="4963800"/>
          <a:chOff x="419101" y="57016650"/>
          <a:chExt cx="5819774" cy="5040000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101" y="57016650"/>
            <a:ext cx="5728351" cy="5040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 rot="2232382">
            <a:off x="5073892" y="58130542"/>
            <a:ext cx="363858" cy="3714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 rot="2232382">
            <a:off x="5198439" y="58893922"/>
            <a:ext cx="307235" cy="371475"/>
          </a:xfrm>
          <a:prstGeom prst="rect">
            <a:avLst/>
          </a:prstGeom>
          <a:noFill/>
          <a:ln w="28575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 rot="2232382">
            <a:off x="5194189" y="58526117"/>
            <a:ext cx="254406" cy="371475"/>
          </a:xfrm>
          <a:prstGeom prst="rect">
            <a:avLst/>
          </a:prstGeom>
          <a:noFill/>
          <a:ln w="285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505450" y="58026300"/>
            <a:ext cx="676275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>
                <a:solidFill>
                  <a:srgbClr val="FF0000"/>
                </a:solidFill>
              </a:rPr>
              <a:t>Wing</a:t>
            </a:r>
            <a:r>
              <a:rPr lang="en-IN" sz="1200" baseline="0">
                <a:solidFill>
                  <a:srgbClr val="FF0000"/>
                </a:solidFill>
              </a:rPr>
              <a:t> A</a:t>
            </a:r>
            <a:endParaRPr lang="en-IN" sz="1200">
              <a:solidFill>
                <a:srgbClr val="FF0000"/>
              </a:solidFill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5562600" y="58788300"/>
            <a:ext cx="676275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>
                <a:solidFill>
                  <a:srgbClr val="00B050"/>
                </a:solidFill>
              </a:rPr>
              <a:t>Wing</a:t>
            </a:r>
            <a:r>
              <a:rPr lang="en-IN" sz="1200" baseline="0">
                <a:solidFill>
                  <a:srgbClr val="00B050"/>
                </a:solidFill>
              </a:rPr>
              <a:t> C</a:t>
            </a:r>
            <a:endParaRPr lang="en-IN" sz="1200">
              <a:solidFill>
                <a:srgbClr val="00B050"/>
              </a:solidFill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5467350" y="58397775"/>
            <a:ext cx="676275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>
                <a:solidFill>
                  <a:srgbClr val="002060"/>
                </a:solidFill>
              </a:rPr>
              <a:t>Wing</a:t>
            </a:r>
            <a:r>
              <a:rPr lang="en-IN" sz="1200" baseline="0">
                <a:solidFill>
                  <a:srgbClr val="002060"/>
                </a:solidFill>
              </a:rPr>
              <a:t> B</a:t>
            </a:r>
            <a:endParaRPr lang="en-IN" sz="120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0</xdr:col>
      <xdr:colOff>503958</xdr:colOff>
      <xdr:row>320</xdr:row>
      <xdr:rowOff>186170</xdr:rowOff>
    </xdr:from>
    <xdr:to>
      <xdr:col>7</xdr:col>
      <xdr:colOff>304984</xdr:colOff>
      <xdr:row>357</xdr:row>
      <xdr:rowOff>195674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03958" y="67572370"/>
          <a:ext cx="5795426" cy="7292954"/>
          <a:chOff x="503958" y="62317745"/>
          <a:chExt cx="5516026" cy="741042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03958" y="62317745"/>
            <a:ext cx="5506318" cy="293645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04825" y="65408174"/>
            <a:ext cx="5515159" cy="4320000"/>
            <a:chOff x="542925" y="66560699"/>
            <a:chExt cx="5515159" cy="4320000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542925" y="66560699"/>
              <a:ext cx="5515159" cy="43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3286125" y="67913250"/>
              <a:ext cx="1076325" cy="1990725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3771900" y="67875150"/>
              <a:ext cx="676275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200" b="1">
                  <a:solidFill>
                    <a:srgbClr val="FFFF00"/>
                  </a:solidFill>
                </a:rPr>
                <a:t>Wing</a:t>
              </a:r>
              <a:r>
                <a:rPr lang="en-IN" sz="1200" b="1" baseline="0">
                  <a:solidFill>
                    <a:srgbClr val="FFFF00"/>
                  </a:solidFill>
                </a:rPr>
                <a:t> A</a:t>
              </a:r>
              <a:endParaRPr lang="en-IN" sz="12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3724275" y="69608700"/>
              <a:ext cx="676275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200" b="1">
                  <a:solidFill>
                    <a:srgbClr val="FFFF00"/>
                  </a:solidFill>
                </a:rPr>
                <a:t>Wing</a:t>
              </a:r>
              <a:r>
                <a:rPr lang="en-IN" sz="1200" b="1" baseline="0">
                  <a:solidFill>
                    <a:srgbClr val="FFFF00"/>
                  </a:solidFill>
                </a:rPr>
                <a:t> C</a:t>
              </a:r>
              <a:endParaRPr lang="en-IN" sz="12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 txBox="1"/>
          </xdr:nvSpPr>
          <xdr:spPr>
            <a:xfrm>
              <a:off x="3771900" y="68846700"/>
              <a:ext cx="676275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200" b="1">
                  <a:solidFill>
                    <a:srgbClr val="FFFF00"/>
                  </a:solidFill>
                </a:rPr>
                <a:t>Wing</a:t>
              </a:r>
              <a:r>
                <a:rPr lang="en-IN" sz="1200" b="1" baseline="0">
                  <a:solidFill>
                    <a:srgbClr val="FFFF00"/>
                  </a:solidFill>
                </a:rPr>
                <a:t> B</a:t>
              </a:r>
              <a:endParaRPr lang="en-IN" sz="1200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>
    <xdr:from>
      <xdr:col>9</xdr:col>
      <xdr:colOff>0</xdr:colOff>
      <xdr:row>252</xdr:row>
      <xdr:rowOff>0</xdr:rowOff>
    </xdr:from>
    <xdr:to>
      <xdr:col>9</xdr:col>
      <xdr:colOff>323717</xdr:colOff>
      <xdr:row>253</xdr:row>
      <xdr:rowOff>140395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714E68B-6F28-FA0D-A39B-0DF929947A59}"/>
            </a:ext>
          </a:extLst>
        </xdr:cNvPr>
        <xdr:cNvSpPr txBox="1"/>
      </xdr:nvSpPr>
      <xdr:spPr>
        <a:xfrm>
          <a:off x="8083550" y="54006750"/>
          <a:ext cx="323717" cy="337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600" b="1"/>
            <a:t>A</a:t>
          </a:r>
          <a:endParaRPr lang="en-IN" sz="1100" b="1"/>
        </a:p>
      </xdr:txBody>
    </xdr:sp>
    <xdr:clientData/>
  </xdr:twoCellAnchor>
  <xdr:twoCellAnchor>
    <xdr:from>
      <xdr:col>1</xdr:col>
      <xdr:colOff>615950</xdr:colOff>
      <xdr:row>247</xdr:row>
      <xdr:rowOff>127000</xdr:rowOff>
    </xdr:from>
    <xdr:to>
      <xdr:col>6</xdr:col>
      <xdr:colOff>286583</xdr:colOff>
      <xdr:row>286</xdr:row>
      <xdr:rowOff>141439</xdr:rowOff>
    </xdr:to>
    <xdr:grpSp>
      <xdr:nvGrpSpPr>
        <xdr:cNvPr id="2" name="Group 1"/>
        <xdr:cNvGrpSpPr/>
      </xdr:nvGrpSpPr>
      <xdr:grpSpPr>
        <a:xfrm>
          <a:off x="1416050" y="53149500"/>
          <a:ext cx="4045783" cy="7691589"/>
          <a:chOff x="1416050" y="53149500"/>
          <a:chExt cx="4045783" cy="7691589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1212" y="5868108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416050" y="53149500"/>
            <a:ext cx="4045783" cy="54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4253" y="5868108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6714E68B-6F28-FA0D-A39B-0DF929947A59}"/>
              </a:ext>
            </a:extLst>
          </xdr:cNvPr>
          <xdr:cNvSpPr txBox="1"/>
        </xdr:nvSpPr>
        <xdr:spPr>
          <a:xfrm>
            <a:off x="3975100" y="53505100"/>
            <a:ext cx="323717" cy="3372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/>
              <a:t>A</a:t>
            </a:r>
            <a:endParaRPr lang="en-IN" sz="1100" b="1"/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6714E68B-6F28-FA0D-A39B-0DF929947A59}"/>
              </a:ext>
            </a:extLst>
          </xdr:cNvPr>
          <xdr:cNvSpPr txBox="1"/>
        </xdr:nvSpPr>
        <xdr:spPr>
          <a:xfrm>
            <a:off x="3136900" y="53530500"/>
            <a:ext cx="323717" cy="3372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/>
              <a:t>B</a:t>
            </a:r>
            <a:endParaRPr lang="en-IN" sz="1100" b="1"/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6714E68B-6F28-FA0D-A39B-0DF929947A59}"/>
              </a:ext>
            </a:extLst>
          </xdr:cNvPr>
          <xdr:cNvSpPr txBox="1"/>
        </xdr:nvSpPr>
        <xdr:spPr>
          <a:xfrm>
            <a:off x="2457450" y="53975000"/>
            <a:ext cx="323717" cy="3372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/>
              <a:t>C</a:t>
            </a:r>
            <a:endParaRPr lang="en-IN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fpPHQxVorvcuXqB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0"/>
  <sheetViews>
    <sheetView tabSelected="1" view="pageBreakPreview" topLeftCell="A110" zoomScaleNormal="100" zoomScaleSheetLayoutView="100" workbookViewId="0">
      <selection activeCell="K104" sqref="K104"/>
    </sheetView>
  </sheetViews>
  <sheetFormatPr defaultColWidth="9.2695312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45312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6.54296875" style="21" customWidth="1"/>
    <col min="11" max="11" width="16.1796875" style="21" bestFit="1" customWidth="1"/>
    <col min="12" max="12" width="20.1796875" style="21" customWidth="1"/>
    <col min="13" max="13" width="11.7265625" style="21" customWidth="1"/>
    <col min="14" max="14" width="12.54296875" style="21" customWidth="1"/>
    <col min="15" max="15" width="9.7265625" style="21" customWidth="1"/>
    <col min="16" max="16" width="11.7265625" style="21" customWidth="1"/>
    <col min="17" max="247" width="9.26953125" style="21"/>
    <col min="248" max="248" width="8.7265625" style="21" customWidth="1"/>
    <col min="249" max="249" width="9.7265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7265625" style="21" customWidth="1"/>
    <col min="256" max="256" width="11.26953125" style="21" customWidth="1"/>
    <col min="257" max="257" width="2.7265625" style="21" customWidth="1"/>
    <col min="258" max="258" width="3.54296875" style="21" customWidth="1"/>
    <col min="259" max="503" width="9.26953125" style="21"/>
    <col min="504" max="504" width="8.7265625" style="21" customWidth="1"/>
    <col min="505" max="505" width="9.7265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7265625" style="21" customWidth="1"/>
    <col min="512" max="512" width="11.26953125" style="21" customWidth="1"/>
    <col min="513" max="513" width="2.7265625" style="21" customWidth="1"/>
    <col min="514" max="514" width="3.54296875" style="21" customWidth="1"/>
    <col min="515" max="759" width="9.26953125" style="21"/>
    <col min="760" max="760" width="8.7265625" style="21" customWidth="1"/>
    <col min="761" max="761" width="9.7265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7265625" style="21" customWidth="1"/>
    <col min="768" max="768" width="11.26953125" style="21" customWidth="1"/>
    <col min="769" max="769" width="2.7265625" style="21" customWidth="1"/>
    <col min="770" max="770" width="3.54296875" style="21" customWidth="1"/>
    <col min="771" max="1015" width="9.26953125" style="21"/>
    <col min="1016" max="1016" width="8.7265625" style="21" customWidth="1"/>
    <col min="1017" max="1017" width="9.7265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7265625" style="21" customWidth="1"/>
    <col min="1024" max="1024" width="11.26953125" style="21" customWidth="1"/>
    <col min="1025" max="1025" width="2.7265625" style="21" customWidth="1"/>
    <col min="1026" max="1026" width="3.54296875" style="21" customWidth="1"/>
    <col min="1027" max="1271" width="9.26953125" style="21"/>
    <col min="1272" max="1272" width="8.7265625" style="21" customWidth="1"/>
    <col min="1273" max="1273" width="9.7265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7265625" style="21" customWidth="1"/>
    <col min="1280" max="1280" width="11.26953125" style="21" customWidth="1"/>
    <col min="1281" max="1281" width="2.7265625" style="21" customWidth="1"/>
    <col min="1282" max="1282" width="3.54296875" style="21" customWidth="1"/>
    <col min="1283" max="1527" width="9.26953125" style="21"/>
    <col min="1528" max="1528" width="8.7265625" style="21" customWidth="1"/>
    <col min="1529" max="1529" width="9.7265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7265625" style="21" customWidth="1"/>
    <col min="1536" max="1536" width="11.26953125" style="21" customWidth="1"/>
    <col min="1537" max="1537" width="2.7265625" style="21" customWidth="1"/>
    <col min="1538" max="1538" width="3.54296875" style="21" customWidth="1"/>
    <col min="1539" max="1783" width="9.26953125" style="21"/>
    <col min="1784" max="1784" width="8.7265625" style="21" customWidth="1"/>
    <col min="1785" max="1785" width="9.7265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7265625" style="21" customWidth="1"/>
    <col min="1792" max="1792" width="11.26953125" style="21" customWidth="1"/>
    <col min="1793" max="1793" width="2.7265625" style="21" customWidth="1"/>
    <col min="1794" max="1794" width="3.54296875" style="21" customWidth="1"/>
    <col min="1795" max="2039" width="9.26953125" style="21"/>
    <col min="2040" max="2040" width="8.7265625" style="21" customWidth="1"/>
    <col min="2041" max="2041" width="9.7265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7265625" style="21" customWidth="1"/>
    <col min="2048" max="2048" width="11.26953125" style="21" customWidth="1"/>
    <col min="2049" max="2049" width="2.7265625" style="21" customWidth="1"/>
    <col min="2050" max="2050" width="3.54296875" style="21" customWidth="1"/>
    <col min="2051" max="2295" width="9.26953125" style="21"/>
    <col min="2296" max="2296" width="8.7265625" style="21" customWidth="1"/>
    <col min="2297" max="2297" width="9.7265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7265625" style="21" customWidth="1"/>
    <col min="2304" max="2304" width="11.26953125" style="21" customWidth="1"/>
    <col min="2305" max="2305" width="2.7265625" style="21" customWidth="1"/>
    <col min="2306" max="2306" width="3.54296875" style="21" customWidth="1"/>
    <col min="2307" max="2551" width="9.26953125" style="21"/>
    <col min="2552" max="2552" width="8.7265625" style="21" customWidth="1"/>
    <col min="2553" max="2553" width="9.7265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7265625" style="21" customWidth="1"/>
    <col min="2560" max="2560" width="11.26953125" style="21" customWidth="1"/>
    <col min="2561" max="2561" width="2.7265625" style="21" customWidth="1"/>
    <col min="2562" max="2562" width="3.54296875" style="21" customWidth="1"/>
    <col min="2563" max="2807" width="9.26953125" style="21"/>
    <col min="2808" max="2808" width="8.7265625" style="21" customWidth="1"/>
    <col min="2809" max="2809" width="9.7265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7265625" style="21" customWidth="1"/>
    <col min="2816" max="2816" width="11.26953125" style="21" customWidth="1"/>
    <col min="2817" max="2817" width="2.7265625" style="21" customWidth="1"/>
    <col min="2818" max="2818" width="3.54296875" style="21" customWidth="1"/>
    <col min="2819" max="3063" width="9.26953125" style="21"/>
    <col min="3064" max="3064" width="8.7265625" style="21" customWidth="1"/>
    <col min="3065" max="3065" width="9.7265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7265625" style="21" customWidth="1"/>
    <col min="3072" max="3072" width="11.26953125" style="21" customWidth="1"/>
    <col min="3073" max="3073" width="2.7265625" style="21" customWidth="1"/>
    <col min="3074" max="3074" width="3.54296875" style="21" customWidth="1"/>
    <col min="3075" max="3319" width="9.26953125" style="21"/>
    <col min="3320" max="3320" width="8.7265625" style="21" customWidth="1"/>
    <col min="3321" max="3321" width="9.7265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7265625" style="21" customWidth="1"/>
    <col min="3328" max="3328" width="11.26953125" style="21" customWidth="1"/>
    <col min="3329" max="3329" width="2.7265625" style="21" customWidth="1"/>
    <col min="3330" max="3330" width="3.54296875" style="21" customWidth="1"/>
    <col min="3331" max="3575" width="9.26953125" style="21"/>
    <col min="3576" max="3576" width="8.7265625" style="21" customWidth="1"/>
    <col min="3577" max="3577" width="9.7265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7265625" style="21" customWidth="1"/>
    <col min="3584" max="3584" width="11.26953125" style="21" customWidth="1"/>
    <col min="3585" max="3585" width="2.7265625" style="21" customWidth="1"/>
    <col min="3586" max="3586" width="3.54296875" style="21" customWidth="1"/>
    <col min="3587" max="3831" width="9.26953125" style="21"/>
    <col min="3832" max="3832" width="8.7265625" style="21" customWidth="1"/>
    <col min="3833" max="3833" width="9.7265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7265625" style="21" customWidth="1"/>
    <col min="3840" max="3840" width="11.26953125" style="21" customWidth="1"/>
    <col min="3841" max="3841" width="2.7265625" style="21" customWidth="1"/>
    <col min="3842" max="3842" width="3.54296875" style="21" customWidth="1"/>
    <col min="3843" max="4087" width="9.26953125" style="21"/>
    <col min="4088" max="4088" width="8.7265625" style="21" customWidth="1"/>
    <col min="4089" max="4089" width="9.7265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7265625" style="21" customWidth="1"/>
    <col min="4096" max="4096" width="11.26953125" style="21" customWidth="1"/>
    <col min="4097" max="4097" width="2.7265625" style="21" customWidth="1"/>
    <col min="4098" max="4098" width="3.54296875" style="21" customWidth="1"/>
    <col min="4099" max="4343" width="9.26953125" style="21"/>
    <col min="4344" max="4344" width="8.7265625" style="21" customWidth="1"/>
    <col min="4345" max="4345" width="9.7265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7265625" style="21" customWidth="1"/>
    <col min="4352" max="4352" width="11.26953125" style="21" customWidth="1"/>
    <col min="4353" max="4353" width="2.7265625" style="21" customWidth="1"/>
    <col min="4354" max="4354" width="3.54296875" style="21" customWidth="1"/>
    <col min="4355" max="4599" width="9.26953125" style="21"/>
    <col min="4600" max="4600" width="8.7265625" style="21" customWidth="1"/>
    <col min="4601" max="4601" width="9.7265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7265625" style="21" customWidth="1"/>
    <col min="4608" max="4608" width="11.26953125" style="21" customWidth="1"/>
    <col min="4609" max="4609" width="2.7265625" style="21" customWidth="1"/>
    <col min="4610" max="4610" width="3.54296875" style="21" customWidth="1"/>
    <col min="4611" max="4855" width="9.26953125" style="21"/>
    <col min="4856" max="4856" width="8.7265625" style="21" customWidth="1"/>
    <col min="4857" max="4857" width="9.7265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7265625" style="21" customWidth="1"/>
    <col min="4864" max="4864" width="11.26953125" style="21" customWidth="1"/>
    <col min="4865" max="4865" width="2.7265625" style="21" customWidth="1"/>
    <col min="4866" max="4866" width="3.54296875" style="21" customWidth="1"/>
    <col min="4867" max="5111" width="9.26953125" style="21"/>
    <col min="5112" max="5112" width="8.7265625" style="21" customWidth="1"/>
    <col min="5113" max="5113" width="9.7265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7265625" style="21" customWidth="1"/>
    <col min="5120" max="5120" width="11.26953125" style="21" customWidth="1"/>
    <col min="5121" max="5121" width="2.7265625" style="21" customWidth="1"/>
    <col min="5122" max="5122" width="3.54296875" style="21" customWidth="1"/>
    <col min="5123" max="5367" width="9.26953125" style="21"/>
    <col min="5368" max="5368" width="8.7265625" style="21" customWidth="1"/>
    <col min="5369" max="5369" width="9.7265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7265625" style="21" customWidth="1"/>
    <col min="5376" max="5376" width="11.26953125" style="21" customWidth="1"/>
    <col min="5377" max="5377" width="2.7265625" style="21" customWidth="1"/>
    <col min="5378" max="5378" width="3.54296875" style="21" customWidth="1"/>
    <col min="5379" max="5623" width="9.26953125" style="21"/>
    <col min="5624" max="5624" width="8.7265625" style="21" customWidth="1"/>
    <col min="5625" max="5625" width="9.7265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7265625" style="21" customWidth="1"/>
    <col min="5632" max="5632" width="11.26953125" style="21" customWidth="1"/>
    <col min="5633" max="5633" width="2.7265625" style="21" customWidth="1"/>
    <col min="5634" max="5634" width="3.54296875" style="21" customWidth="1"/>
    <col min="5635" max="5879" width="9.26953125" style="21"/>
    <col min="5880" max="5880" width="8.7265625" style="21" customWidth="1"/>
    <col min="5881" max="5881" width="9.7265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7265625" style="21" customWidth="1"/>
    <col min="5888" max="5888" width="11.26953125" style="21" customWidth="1"/>
    <col min="5889" max="5889" width="2.7265625" style="21" customWidth="1"/>
    <col min="5890" max="5890" width="3.54296875" style="21" customWidth="1"/>
    <col min="5891" max="6135" width="9.26953125" style="21"/>
    <col min="6136" max="6136" width="8.7265625" style="21" customWidth="1"/>
    <col min="6137" max="6137" width="9.7265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7265625" style="21" customWidth="1"/>
    <col min="6144" max="6144" width="11.26953125" style="21" customWidth="1"/>
    <col min="6145" max="6145" width="2.7265625" style="21" customWidth="1"/>
    <col min="6146" max="6146" width="3.54296875" style="21" customWidth="1"/>
    <col min="6147" max="6391" width="9.26953125" style="21"/>
    <col min="6392" max="6392" width="8.7265625" style="21" customWidth="1"/>
    <col min="6393" max="6393" width="9.7265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7265625" style="21" customWidth="1"/>
    <col min="6400" max="6400" width="11.26953125" style="21" customWidth="1"/>
    <col min="6401" max="6401" width="2.7265625" style="21" customWidth="1"/>
    <col min="6402" max="6402" width="3.54296875" style="21" customWidth="1"/>
    <col min="6403" max="6647" width="9.26953125" style="21"/>
    <col min="6648" max="6648" width="8.7265625" style="21" customWidth="1"/>
    <col min="6649" max="6649" width="9.7265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7265625" style="21" customWidth="1"/>
    <col min="6656" max="6656" width="11.26953125" style="21" customWidth="1"/>
    <col min="6657" max="6657" width="2.7265625" style="21" customWidth="1"/>
    <col min="6658" max="6658" width="3.54296875" style="21" customWidth="1"/>
    <col min="6659" max="6903" width="9.26953125" style="21"/>
    <col min="6904" max="6904" width="8.7265625" style="21" customWidth="1"/>
    <col min="6905" max="6905" width="9.7265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7265625" style="21" customWidth="1"/>
    <col min="6912" max="6912" width="11.26953125" style="21" customWidth="1"/>
    <col min="6913" max="6913" width="2.7265625" style="21" customWidth="1"/>
    <col min="6914" max="6914" width="3.54296875" style="21" customWidth="1"/>
    <col min="6915" max="7159" width="9.26953125" style="21"/>
    <col min="7160" max="7160" width="8.7265625" style="21" customWidth="1"/>
    <col min="7161" max="7161" width="9.7265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7265625" style="21" customWidth="1"/>
    <col min="7168" max="7168" width="11.26953125" style="21" customWidth="1"/>
    <col min="7169" max="7169" width="2.7265625" style="21" customWidth="1"/>
    <col min="7170" max="7170" width="3.54296875" style="21" customWidth="1"/>
    <col min="7171" max="7415" width="9.26953125" style="21"/>
    <col min="7416" max="7416" width="8.7265625" style="21" customWidth="1"/>
    <col min="7417" max="7417" width="9.7265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7265625" style="21" customWidth="1"/>
    <col min="7424" max="7424" width="11.26953125" style="21" customWidth="1"/>
    <col min="7425" max="7425" width="2.7265625" style="21" customWidth="1"/>
    <col min="7426" max="7426" width="3.54296875" style="21" customWidth="1"/>
    <col min="7427" max="7671" width="9.26953125" style="21"/>
    <col min="7672" max="7672" width="8.7265625" style="21" customWidth="1"/>
    <col min="7673" max="7673" width="9.7265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7265625" style="21" customWidth="1"/>
    <col min="7680" max="7680" width="11.26953125" style="21" customWidth="1"/>
    <col min="7681" max="7681" width="2.7265625" style="21" customWidth="1"/>
    <col min="7682" max="7682" width="3.54296875" style="21" customWidth="1"/>
    <col min="7683" max="7927" width="9.26953125" style="21"/>
    <col min="7928" max="7928" width="8.7265625" style="21" customWidth="1"/>
    <col min="7929" max="7929" width="9.7265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7265625" style="21" customWidth="1"/>
    <col min="7936" max="7936" width="11.26953125" style="21" customWidth="1"/>
    <col min="7937" max="7937" width="2.7265625" style="21" customWidth="1"/>
    <col min="7938" max="7938" width="3.54296875" style="21" customWidth="1"/>
    <col min="7939" max="8183" width="9.26953125" style="21"/>
    <col min="8184" max="8184" width="8.7265625" style="21" customWidth="1"/>
    <col min="8185" max="8185" width="9.7265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7265625" style="21" customWidth="1"/>
    <col min="8192" max="8192" width="11.26953125" style="21" customWidth="1"/>
    <col min="8193" max="8193" width="2.7265625" style="21" customWidth="1"/>
    <col min="8194" max="8194" width="3.54296875" style="21" customWidth="1"/>
    <col min="8195" max="8439" width="9.26953125" style="21"/>
    <col min="8440" max="8440" width="8.7265625" style="21" customWidth="1"/>
    <col min="8441" max="8441" width="9.7265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7265625" style="21" customWidth="1"/>
    <col min="8448" max="8448" width="11.26953125" style="21" customWidth="1"/>
    <col min="8449" max="8449" width="2.7265625" style="21" customWidth="1"/>
    <col min="8450" max="8450" width="3.54296875" style="21" customWidth="1"/>
    <col min="8451" max="8695" width="9.26953125" style="21"/>
    <col min="8696" max="8696" width="8.7265625" style="21" customWidth="1"/>
    <col min="8697" max="8697" width="9.7265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7265625" style="21" customWidth="1"/>
    <col min="8704" max="8704" width="11.26953125" style="21" customWidth="1"/>
    <col min="8705" max="8705" width="2.7265625" style="21" customWidth="1"/>
    <col min="8706" max="8706" width="3.54296875" style="21" customWidth="1"/>
    <col min="8707" max="8951" width="9.26953125" style="21"/>
    <col min="8952" max="8952" width="8.7265625" style="21" customWidth="1"/>
    <col min="8953" max="8953" width="9.7265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7265625" style="21" customWidth="1"/>
    <col min="8960" max="8960" width="11.26953125" style="21" customWidth="1"/>
    <col min="8961" max="8961" width="2.7265625" style="21" customWidth="1"/>
    <col min="8962" max="8962" width="3.54296875" style="21" customWidth="1"/>
    <col min="8963" max="9207" width="9.26953125" style="21"/>
    <col min="9208" max="9208" width="8.7265625" style="21" customWidth="1"/>
    <col min="9209" max="9209" width="9.7265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7265625" style="21" customWidth="1"/>
    <col min="9216" max="9216" width="11.26953125" style="21" customWidth="1"/>
    <col min="9217" max="9217" width="2.7265625" style="21" customWidth="1"/>
    <col min="9218" max="9218" width="3.54296875" style="21" customWidth="1"/>
    <col min="9219" max="9463" width="9.26953125" style="21"/>
    <col min="9464" max="9464" width="8.7265625" style="21" customWidth="1"/>
    <col min="9465" max="9465" width="9.7265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7265625" style="21" customWidth="1"/>
    <col min="9472" max="9472" width="11.26953125" style="21" customWidth="1"/>
    <col min="9473" max="9473" width="2.7265625" style="21" customWidth="1"/>
    <col min="9474" max="9474" width="3.54296875" style="21" customWidth="1"/>
    <col min="9475" max="9719" width="9.26953125" style="21"/>
    <col min="9720" max="9720" width="8.7265625" style="21" customWidth="1"/>
    <col min="9721" max="9721" width="9.7265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7265625" style="21" customWidth="1"/>
    <col min="9728" max="9728" width="11.26953125" style="21" customWidth="1"/>
    <col min="9729" max="9729" width="2.7265625" style="21" customWidth="1"/>
    <col min="9730" max="9730" width="3.54296875" style="21" customWidth="1"/>
    <col min="9731" max="9975" width="9.26953125" style="21"/>
    <col min="9976" max="9976" width="8.7265625" style="21" customWidth="1"/>
    <col min="9977" max="9977" width="9.7265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7265625" style="21" customWidth="1"/>
    <col min="9984" max="9984" width="11.26953125" style="21" customWidth="1"/>
    <col min="9985" max="9985" width="2.7265625" style="21" customWidth="1"/>
    <col min="9986" max="9986" width="3.54296875" style="21" customWidth="1"/>
    <col min="9987" max="10231" width="9.26953125" style="21"/>
    <col min="10232" max="10232" width="8.7265625" style="21" customWidth="1"/>
    <col min="10233" max="10233" width="9.7265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7265625" style="21" customWidth="1"/>
    <col min="10240" max="10240" width="11.26953125" style="21" customWidth="1"/>
    <col min="10241" max="10241" width="2.7265625" style="21" customWidth="1"/>
    <col min="10242" max="10242" width="3.54296875" style="21" customWidth="1"/>
    <col min="10243" max="10487" width="9.26953125" style="21"/>
    <col min="10488" max="10488" width="8.7265625" style="21" customWidth="1"/>
    <col min="10489" max="10489" width="9.7265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7265625" style="21" customWidth="1"/>
    <col min="10496" max="10496" width="11.26953125" style="21" customWidth="1"/>
    <col min="10497" max="10497" width="2.7265625" style="21" customWidth="1"/>
    <col min="10498" max="10498" width="3.54296875" style="21" customWidth="1"/>
    <col min="10499" max="10743" width="9.26953125" style="21"/>
    <col min="10744" max="10744" width="8.7265625" style="21" customWidth="1"/>
    <col min="10745" max="10745" width="9.7265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7265625" style="21" customWidth="1"/>
    <col min="10752" max="10752" width="11.26953125" style="21" customWidth="1"/>
    <col min="10753" max="10753" width="2.7265625" style="21" customWidth="1"/>
    <col min="10754" max="10754" width="3.54296875" style="21" customWidth="1"/>
    <col min="10755" max="10999" width="9.26953125" style="21"/>
    <col min="11000" max="11000" width="8.7265625" style="21" customWidth="1"/>
    <col min="11001" max="11001" width="9.7265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7265625" style="21" customWidth="1"/>
    <col min="11008" max="11008" width="11.26953125" style="21" customWidth="1"/>
    <col min="11009" max="11009" width="2.7265625" style="21" customWidth="1"/>
    <col min="11010" max="11010" width="3.54296875" style="21" customWidth="1"/>
    <col min="11011" max="11255" width="9.26953125" style="21"/>
    <col min="11256" max="11256" width="8.7265625" style="21" customWidth="1"/>
    <col min="11257" max="11257" width="9.7265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7265625" style="21" customWidth="1"/>
    <col min="11264" max="11264" width="11.26953125" style="21" customWidth="1"/>
    <col min="11265" max="11265" width="2.7265625" style="21" customWidth="1"/>
    <col min="11266" max="11266" width="3.54296875" style="21" customWidth="1"/>
    <col min="11267" max="11511" width="9.26953125" style="21"/>
    <col min="11512" max="11512" width="8.7265625" style="21" customWidth="1"/>
    <col min="11513" max="11513" width="9.7265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7265625" style="21" customWidth="1"/>
    <col min="11520" max="11520" width="11.26953125" style="21" customWidth="1"/>
    <col min="11521" max="11521" width="2.7265625" style="21" customWidth="1"/>
    <col min="11522" max="11522" width="3.54296875" style="21" customWidth="1"/>
    <col min="11523" max="11767" width="9.26953125" style="21"/>
    <col min="11768" max="11768" width="8.7265625" style="21" customWidth="1"/>
    <col min="11769" max="11769" width="9.7265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7265625" style="21" customWidth="1"/>
    <col min="11776" max="11776" width="11.26953125" style="21" customWidth="1"/>
    <col min="11777" max="11777" width="2.7265625" style="21" customWidth="1"/>
    <col min="11778" max="11778" width="3.54296875" style="21" customWidth="1"/>
    <col min="11779" max="12023" width="9.26953125" style="21"/>
    <col min="12024" max="12024" width="8.7265625" style="21" customWidth="1"/>
    <col min="12025" max="12025" width="9.7265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7265625" style="21" customWidth="1"/>
    <col min="12032" max="12032" width="11.26953125" style="21" customWidth="1"/>
    <col min="12033" max="12033" width="2.7265625" style="21" customWidth="1"/>
    <col min="12034" max="12034" width="3.54296875" style="21" customWidth="1"/>
    <col min="12035" max="12279" width="9.26953125" style="21"/>
    <col min="12280" max="12280" width="8.7265625" style="21" customWidth="1"/>
    <col min="12281" max="12281" width="9.7265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7265625" style="21" customWidth="1"/>
    <col min="12288" max="12288" width="11.26953125" style="21" customWidth="1"/>
    <col min="12289" max="12289" width="2.7265625" style="21" customWidth="1"/>
    <col min="12290" max="12290" width="3.54296875" style="21" customWidth="1"/>
    <col min="12291" max="12535" width="9.26953125" style="21"/>
    <col min="12536" max="12536" width="8.7265625" style="21" customWidth="1"/>
    <col min="12537" max="12537" width="9.7265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7265625" style="21" customWidth="1"/>
    <col min="12544" max="12544" width="11.26953125" style="21" customWidth="1"/>
    <col min="12545" max="12545" width="2.7265625" style="21" customWidth="1"/>
    <col min="12546" max="12546" width="3.54296875" style="21" customWidth="1"/>
    <col min="12547" max="12791" width="9.26953125" style="21"/>
    <col min="12792" max="12792" width="8.7265625" style="21" customWidth="1"/>
    <col min="12793" max="12793" width="9.7265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7265625" style="21" customWidth="1"/>
    <col min="12800" max="12800" width="11.26953125" style="21" customWidth="1"/>
    <col min="12801" max="12801" width="2.7265625" style="21" customWidth="1"/>
    <col min="12802" max="12802" width="3.54296875" style="21" customWidth="1"/>
    <col min="12803" max="13047" width="9.26953125" style="21"/>
    <col min="13048" max="13048" width="8.7265625" style="21" customWidth="1"/>
    <col min="13049" max="13049" width="9.7265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7265625" style="21" customWidth="1"/>
    <col min="13056" max="13056" width="11.26953125" style="21" customWidth="1"/>
    <col min="13057" max="13057" width="2.7265625" style="21" customWidth="1"/>
    <col min="13058" max="13058" width="3.54296875" style="21" customWidth="1"/>
    <col min="13059" max="13303" width="9.26953125" style="21"/>
    <col min="13304" max="13304" width="8.7265625" style="21" customWidth="1"/>
    <col min="13305" max="13305" width="9.7265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7265625" style="21" customWidth="1"/>
    <col min="13312" max="13312" width="11.26953125" style="21" customWidth="1"/>
    <col min="13313" max="13313" width="2.7265625" style="21" customWidth="1"/>
    <col min="13314" max="13314" width="3.54296875" style="21" customWidth="1"/>
    <col min="13315" max="13559" width="9.26953125" style="21"/>
    <col min="13560" max="13560" width="8.7265625" style="21" customWidth="1"/>
    <col min="13561" max="13561" width="9.7265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7265625" style="21" customWidth="1"/>
    <col min="13568" max="13568" width="11.26953125" style="21" customWidth="1"/>
    <col min="13569" max="13569" width="2.7265625" style="21" customWidth="1"/>
    <col min="13570" max="13570" width="3.54296875" style="21" customWidth="1"/>
    <col min="13571" max="13815" width="9.26953125" style="21"/>
    <col min="13816" max="13816" width="8.7265625" style="21" customWidth="1"/>
    <col min="13817" max="13817" width="9.7265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7265625" style="21" customWidth="1"/>
    <col min="13824" max="13824" width="11.26953125" style="21" customWidth="1"/>
    <col min="13825" max="13825" width="2.7265625" style="21" customWidth="1"/>
    <col min="13826" max="13826" width="3.54296875" style="21" customWidth="1"/>
    <col min="13827" max="14071" width="9.26953125" style="21"/>
    <col min="14072" max="14072" width="8.7265625" style="21" customWidth="1"/>
    <col min="14073" max="14073" width="9.7265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7265625" style="21" customWidth="1"/>
    <col min="14080" max="14080" width="11.26953125" style="21" customWidth="1"/>
    <col min="14081" max="14081" width="2.7265625" style="21" customWidth="1"/>
    <col min="14082" max="14082" width="3.54296875" style="21" customWidth="1"/>
    <col min="14083" max="14327" width="9.26953125" style="21"/>
    <col min="14328" max="14328" width="8.7265625" style="21" customWidth="1"/>
    <col min="14329" max="14329" width="9.7265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7265625" style="21" customWidth="1"/>
    <col min="14336" max="14336" width="11.26953125" style="21" customWidth="1"/>
    <col min="14337" max="14337" width="2.7265625" style="21" customWidth="1"/>
    <col min="14338" max="14338" width="3.54296875" style="21" customWidth="1"/>
    <col min="14339" max="14583" width="9.26953125" style="21"/>
    <col min="14584" max="14584" width="8.7265625" style="21" customWidth="1"/>
    <col min="14585" max="14585" width="9.7265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7265625" style="21" customWidth="1"/>
    <col min="14592" max="14592" width="11.26953125" style="21" customWidth="1"/>
    <col min="14593" max="14593" width="2.7265625" style="21" customWidth="1"/>
    <col min="14594" max="14594" width="3.54296875" style="21" customWidth="1"/>
    <col min="14595" max="14839" width="9.26953125" style="21"/>
    <col min="14840" max="14840" width="8.7265625" style="21" customWidth="1"/>
    <col min="14841" max="14841" width="9.7265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7265625" style="21" customWidth="1"/>
    <col min="14848" max="14848" width="11.26953125" style="21" customWidth="1"/>
    <col min="14849" max="14849" width="2.7265625" style="21" customWidth="1"/>
    <col min="14850" max="14850" width="3.54296875" style="21" customWidth="1"/>
    <col min="14851" max="15095" width="9.26953125" style="21"/>
    <col min="15096" max="15096" width="8.7265625" style="21" customWidth="1"/>
    <col min="15097" max="15097" width="9.7265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7265625" style="21" customWidth="1"/>
    <col min="15104" max="15104" width="11.26953125" style="21" customWidth="1"/>
    <col min="15105" max="15105" width="2.7265625" style="21" customWidth="1"/>
    <col min="15106" max="15106" width="3.54296875" style="21" customWidth="1"/>
    <col min="15107" max="15351" width="9.26953125" style="21"/>
    <col min="15352" max="15352" width="8.7265625" style="21" customWidth="1"/>
    <col min="15353" max="15353" width="9.7265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7265625" style="21" customWidth="1"/>
    <col min="15360" max="15360" width="11.26953125" style="21" customWidth="1"/>
    <col min="15361" max="15361" width="2.7265625" style="21" customWidth="1"/>
    <col min="15362" max="15362" width="3.54296875" style="21" customWidth="1"/>
    <col min="15363" max="15607" width="9.26953125" style="21"/>
    <col min="15608" max="15608" width="8.7265625" style="21" customWidth="1"/>
    <col min="15609" max="15609" width="9.7265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7265625" style="21" customWidth="1"/>
    <col min="15616" max="15616" width="11.26953125" style="21" customWidth="1"/>
    <col min="15617" max="15617" width="2.7265625" style="21" customWidth="1"/>
    <col min="15618" max="15618" width="3.54296875" style="21" customWidth="1"/>
    <col min="15619" max="15863" width="9.26953125" style="21"/>
    <col min="15864" max="15864" width="8.7265625" style="21" customWidth="1"/>
    <col min="15865" max="15865" width="9.7265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7265625" style="21" customWidth="1"/>
    <col min="15872" max="15872" width="11.26953125" style="21" customWidth="1"/>
    <col min="15873" max="15873" width="2.7265625" style="21" customWidth="1"/>
    <col min="15874" max="15874" width="3.54296875" style="21" customWidth="1"/>
    <col min="15875" max="16119" width="9.26953125" style="21"/>
    <col min="16120" max="16120" width="8.7265625" style="21" customWidth="1"/>
    <col min="16121" max="16121" width="9.7265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7265625" style="21" customWidth="1"/>
    <col min="16128" max="16128" width="11.26953125" style="21" customWidth="1"/>
    <col min="16129" max="16129" width="2.7265625" style="21" customWidth="1"/>
    <col min="16130" max="16130" width="3.54296875" style="21" customWidth="1"/>
    <col min="16131" max="16384" width="9.26953125" style="21"/>
  </cols>
  <sheetData>
    <row r="1" spans="1:8" ht="46.5" customHeight="1" x14ac:dyDescent="0.35">
      <c r="A1" s="173" t="s">
        <v>220</v>
      </c>
      <c r="B1" s="173"/>
      <c r="C1" s="173"/>
      <c r="D1" s="173"/>
      <c r="E1" s="173"/>
      <c r="F1" s="173"/>
      <c r="G1" s="173"/>
      <c r="H1" s="173"/>
    </row>
    <row r="2" spans="1:8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35">
      <c r="A3" s="163" t="s">
        <v>1</v>
      </c>
      <c r="B3" s="163"/>
      <c r="C3" s="163"/>
      <c r="D3" s="163"/>
      <c r="E3" s="163" t="str">
        <f ca="1">TEXT(TODAY(),"DD/MM/YYYY")</f>
        <v>23/08/2025</v>
      </c>
      <c r="F3" s="163"/>
      <c r="G3" s="163"/>
      <c r="H3" s="163"/>
    </row>
    <row r="4" spans="1:8" ht="15" customHeight="1" x14ac:dyDescent="0.35">
      <c r="A4" s="163" t="s">
        <v>2</v>
      </c>
      <c r="B4" s="163"/>
      <c r="C4" s="163"/>
      <c r="D4" s="163"/>
      <c r="E4" s="163" t="s">
        <v>171</v>
      </c>
      <c r="F4" s="163"/>
      <c r="G4" s="163"/>
      <c r="H4" s="163"/>
    </row>
    <row r="5" spans="1:8" x14ac:dyDescent="0.35">
      <c r="A5" s="163" t="s">
        <v>3</v>
      </c>
      <c r="B5" s="163"/>
      <c r="C5" s="163"/>
      <c r="D5" s="163"/>
      <c r="E5" s="174">
        <v>45891</v>
      </c>
      <c r="F5" s="163"/>
      <c r="G5" s="163"/>
      <c r="H5" s="163"/>
    </row>
    <row r="6" spans="1:8" ht="16.5" customHeight="1" x14ac:dyDescent="0.35">
      <c r="A6" s="163" t="s">
        <v>4</v>
      </c>
      <c r="B6" s="163"/>
      <c r="C6" s="163"/>
      <c r="D6" s="163"/>
      <c r="E6" s="163" t="s">
        <v>175</v>
      </c>
      <c r="F6" s="163"/>
      <c r="G6" s="163"/>
      <c r="H6" s="163"/>
    </row>
    <row r="7" spans="1:8" ht="15" customHeight="1" x14ac:dyDescent="0.35">
      <c r="A7" s="163" t="s">
        <v>5</v>
      </c>
      <c r="B7" s="163"/>
      <c r="C7" s="163"/>
      <c r="D7" s="163"/>
      <c r="E7" s="163" t="str">
        <f>E6</f>
        <v>T Bhimjyani Realty Pvt.Ltd.</v>
      </c>
      <c r="F7" s="163"/>
      <c r="G7" s="163"/>
      <c r="H7" s="163"/>
    </row>
    <row r="8" spans="1:8" x14ac:dyDescent="0.35">
      <c r="A8" s="163" t="s">
        <v>6</v>
      </c>
      <c r="B8" s="163"/>
      <c r="C8" s="163"/>
      <c r="D8" s="163"/>
      <c r="E8" s="135" t="s">
        <v>174</v>
      </c>
      <c r="F8" s="135"/>
      <c r="G8" s="135"/>
      <c r="H8" s="135"/>
    </row>
    <row r="9" spans="1:8" x14ac:dyDescent="0.35">
      <c r="A9" s="163" t="s">
        <v>169</v>
      </c>
      <c r="B9" s="163"/>
      <c r="C9" s="163"/>
      <c r="D9" s="163"/>
      <c r="E9" s="163" t="s">
        <v>176</v>
      </c>
      <c r="F9" s="163"/>
      <c r="G9" s="163"/>
      <c r="H9" s="163"/>
    </row>
    <row r="10" spans="1:8" hidden="1" x14ac:dyDescent="0.35">
      <c r="A10" s="163" t="s">
        <v>170</v>
      </c>
      <c r="B10" s="163"/>
      <c r="C10" s="163"/>
      <c r="D10" s="163"/>
      <c r="E10" s="163" t="s">
        <v>181</v>
      </c>
      <c r="F10" s="163"/>
      <c r="G10" s="163"/>
      <c r="H10" s="163"/>
    </row>
    <row r="11" spans="1:8" ht="50.25" customHeight="1" x14ac:dyDescent="0.35">
      <c r="A11" s="163" t="s">
        <v>7</v>
      </c>
      <c r="B11" s="163"/>
      <c r="C11" s="163"/>
      <c r="D11" s="163"/>
      <c r="E11" s="126" t="s">
        <v>234</v>
      </c>
      <c r="F11" s="163"/>
      <c r="G11" s="163"/>
      <c r="H11" s="163"/>
    </row>
    <row r="12" spans="1:8" x14ac:dyDescent="0.35">
      <c r="A12" s="92" t="s">
        <v>8</v>
      </c>
      <c r="B12" s="92"/>
      <c r="C12" s="92"/>
      <c r="D12" s="92"/>
      <c r="E12" s="126" t="s">
        <v>235</v>
      </c>
      <c r="F12" s="126"/>
      <c r="G12" s="126"/>
      <c r="H12" s="126"/>
    </row>
    <row r="13" spans="1:8" x14ac:dyDescent="0.35">
      <c r="A13" s="92" t="s">
        <v>9</v>
      </c>
      <c r="B13" s="92"/>
      <c r="C13" s="92"/>
      <c r="D13" s="92"/>
      <c r="E13" s="126" t="s">
        <v>173</v>
      </c>
      <c r="F13" s="163"/>
      <c r="G13" s="163"/>
      <c r="H13" s="163"/>
    </row>
    <row r="14" spans="1:8" ht="82.5" customHeight="1" x14ac:dyDescent="0.35">
      <c r="A14" s="171" t="s">
        <v>10</v>
      </c>
      <c r="B14" s="171"/>
      <c r="C14" s="17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Infinity Towers, Survey No.312/1A, 312/1B, S.No.313, H.No.1 to 3, S.No.314, H.No.1 to 9, S.No.315, H.No.1 to 3, S.No. 316 (P), S.No.317, H.No.1 to 4, S.No.318/1A, 318/1B, 318/1C, 318/1D/1, 319/1B/2, 321/3/1, 321/3/2, near Neelkanth Woods, Internal Road, Patilpada, Majiwade, Thane West, Thane, Thane - 400610.</v>
      </c>
      <c r="D14" s="171"/>
      <c r="E14" s="171"/>
      <c r="F14" s="171"/>
      <c r="G14" s="171"/>
      <c r="H14" s="171"/>
    </row>
    <row r="15" spans="1:8" ht="48.75" customHeight="1" x14ac:dyDescent="0.35">
      <c r="A15" s="126" t="s">
        <v>179</v>
      </c>
      <c r="B15" s="126"/>
      <c r="C15" s="126" t="s">
        <v>180</v>
      </c>
      <c r="D15" s="126"/>
      <c r="E15" s="126"/>
      <c r="F15" s="126"/>
      <c r="G15" s="126"/>
      <c r="H15" s="126"/>
    </row>
    <row r="16" spans="1:8" ht="15.75" customHeight="1" x14ac:dyDescent="0.35">
      <c r="A16" s="126" t="s">
        <v>168</v>
      </c>
      <c r="B16" s="126"/>
      <c r="C16" s="126" t="s">
        <v>185</v>
      </c>
      <c r="D16" s="126"/>
      <c r="E16" s="126"/>
      <c r="F16" s="126"/>
      <c r="G16" s="126"/>
      <c r="H16" s="126"/>
    </row>
    <row r="17" spans="1:8" ht="15.75" customHeight="1" x14ac:dyDescent="0.35">
      <c r="A17" s="171" t="s">
        <v>11</v>
      </c>
      <c r="B17" s="171"/>
      <c r="C17" s="163" t="s">
        <v>187</v>
      </c>
      <c r="D17" s="163"/>
      <c r="E17" s="171" t="s">
        <v>74</v>
      </c>
      <c r="F17" s="171"/>
      <c r="G17" s="126" t="s">
        <v>178</v>
      </c>
      <c r="H17" s="126"/>
    </row>
    <row r="18" spans="1:8" x14ac:dyDescent="0.35">
      <c r="A18" s="92" t="s">
        <v>13</v>
      </c>
      <c r="B18" s="92"/>
      <c r="C18" s="126" t="s">
        <v>188</v>
      </c>
      <c r="D18" s="126"/>
      <c r="E18" s="171" t="s">
        <v>12</v>
      </c>
      <c r="F18" s="171"/>
      <c r="G18" s="172" t="s">
        <v>177</v>
      </c>
      <c r="H18" s="172"/>
    </row>
    <row r="19" spans="1:8" x14ac:dyDescent="0.35">
      <c r="A19" s="92" t="s">
        <v>75</v>
      </c>
      <c r="B19" s="92"/>
      <c r="C19" s="126" t="s">
        <v>177</v>
      </c>
      <c r="D19" s="126"/>
      <c r="E19" s="171" t="s">
        <v>14</v>
      </c>
      <c r="F19" s="171"/>
      <c r="G19" s="126">
        <v>400610</v>
      </c>
      <c r="H19" s="126"/>
    </row>
    <row r="20" spans="1:8" ht="32.25" customHeight="1" x14ac:dyDescent="0.35">
      <c r="A20" s="92" t="s">
        <v>127</v>
      </c>
      <c r="B20" s="92"/>
      <c r="C20" s="126" t="s">
        <v>186</v>
      </c>
      <c r="D20" s="126"/>
      <c r="E20" s="171" t="s">
        <v>15</v>
      </c>
      <c r="F20" s="171"/>
      <c r="G20" s="126" t="s">
        <v>184</v>
      </c>
      <c r="H20" s="126"/>
    </row>
    <row r="21" spans="1:8" ht="15" customHeight="1" x14ac:dyDescent="0.35">
      <c r="A21" s="171" t="s">
        <v>78</v>
      </c>
      <c r="B21" s="171"/>
      <c r="C21" s="171"/>
      <c r="D21" s="171"/>
      <c r="E21" s="163" t="s">
        <v>16</v>
      </c>
      <c r="F21" s="163"/>
      <c r="G21" s="163"/>
      <c r="H21" s="163"/>
    </row>
    <row r="22" spans="1:8" ht="18.75" customHeight="1" x14ac:dyDescent="0.35">
      <c r="A22" s="171"/>
      <c r="B22" s="171"/>
      <c r="C22" s="171"/>
      <c r="D22" s="171"/>
      <c r="E22" s="163"/>
      <c r="F22" s="163"/>
      <c r="G22" s="163"/>
      <c r="H22" s="163"/>
    </row>
    <row r="23" spans="1:8" ht="15" customHeight="1" x14ac:dyDescent="0.35">
      <c r="A23" s="171" t="s">
        <v>17</v>
      </c>
      <c r="B23" s="171"/>
      <c r="C23" s="171"/>
      <c r="D23" s="171"/>
      <c r="E23" s="126" t="s">
        <v>18</v>
      </c>
      <c r="F23" s="126"/>
      <c r="G23" s="126"/>
      <c r="H23" s="126"/>
    </row>
    <row r="24" spans="1:8" ht="15" customHeight="1" x14ac:dyDescent="0.35">
      <c r="A24" s="92" t="s">
        <v>19</v>
      </c>
      <c r="B24" s="92"/>
      <c r="C24" s="92"/>
      <c r="D24" s="92"/>
      <c r="E24" s="126" t="str">
        <f>IF(AND(G18="Mumbai"),"Upper Class","Middle Class")</f>
        <v>Middle Class</v>
      </c>
      <c r="F24" s="126"/>
      <c r="G24" s="126"/>
      <c r="H24" s="126"/>
    </row>
    <row r="25" spans="1:8" x14ac:dyDescent="0.35">
      <c r="A25" s="92" t="s">
        <v>20</v>
      </c>
      <c r="B25" s="92"/>
      <c r="C25" s="92"/>
      <c r="D25" s="92"/>
      <c r="E25" s="126" t="s">
        <v>21</v>
      </c>
      <c r="F25" s="126"/>
      <c r="G25" s="126"/>
      <c r="H25" s="126"/>
    </row>
    <row r="26" spans="1:8" ht="15.75" customHeight="1" x14ac:dyDescent="0.35">
      <c r="A26" s="92" t="s">
        <v>22</v>
      </c>
      <c r="B26" s="92"/>
      <c r="C26" s="92"/>
      <c r="D26" s="92"/>
      <c r="E26" s="126" t="str">
        <f>IF(AND(G18="Mumbai"),"Developed","Developing")</f>
        <v>Developing</v>
      </c>
      <c r="F26" s="126"/>
      <c r="G26" s="126"/>
      <c r="H26" s="126"/>
    </row>
    <row r="27" spans="1:8" x14ac:dyDescent="0.35">
      <c r="A27" s="92" t="s">
        <v>23</v>
      </c>
      <c r="B27" s="92"/>
      <c r="C27" s="92"/>
      <c r="D27" s="92"/>
      <c r="E27" s="126" t="s">
        <v>24</v>
      </c>
      <c r="F27" s="126"/>
      <c r="G27" s="126"/>
      <c r="H27" s="126"/>
    </row>
    <row r="28" spans="1:8" ht="15.75" customHeight="1" x14ac:dyDescent="0.35">
      <c r="A28" s="92" t="s">
        <v>83</v>
      </c>
      <c r="B28" s="92"/>
      <c r="C28" s="92"/>
      <c r="D28" s="92"/>
      <c r="E28" s="126" t="s">
        <v>84</v>
      </c>
      <c r="F28" s="126"/>
      <c r="G28" s="126"/>
      <c r="H28" s="126"/>
    </row>
    <row r="29" spans="1:8" ht="15" customHeight="1" x14ac:dyDescent="0.35">
      <c r="A29" s="92" t="s">
        <v>33</v>
      </c>
      <c r="B29" s="92"/>
      <c r="C29" s="92"/>
      <c r="D29" s="92"/>
      <c r="E29" s="126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26"/>
      <c r="G29" s="126"/>
      <c r="H29" s="126"/>
    </row>
    <row r="30" spans="1:8" ht="15.75" customHeight="1" x14ac:dyDescent="0.35">
      <c r="A30" s="92" t="s">
        <v>95</v>
      </c>
      <c r="B30" s="92"/>
      <c r="C30" s="92"/>
      <c r="D30" s="92"/>
      <c r="E30" s="126" t="s">
        <v>34</v>
      </c>
      <c r="F30" s="126"/>
      <c r="G30" s="126"/>
      <c r="H30" s="126"/>
    </row>
    <row r="31" spans="1:8" s="22" customFormat="1" x14ac:dyDescent="0.35">
      <c r="A31" s="170" t="s">
        <v>96</v>
      </c>
      <c r="B31" s="170"/>
      <c r="C31" s="169" t="s">
        <v>29</v>
      </c>
      <c r="D31" s="169"/>
      <c r="E31" s="169"/>
      <c r="F31" s="169" t="s">
        <v>31</v>
      </c>
      <c r="G31" s="169"/>
      <c r="H31" s="169"/>
    </row>
    <row r="32" spans="1:8" s="22" customFormat="1" x14ac:dyDescent="0.35">
      <c r="A32" s="158" t="s">
        <v>25</v>
      </c>
      <c r="B32" s="158" t="s">
        <v>30</v>
      </c>
      <c r="C32" s="159" t="s">
        <v>236</v>
      </c>
      <c r="D32" s="159"/>
      <c r="E32" s="159"/>
      <c r="F32" s="159" t="s">
        <v>189</v>
      </c>
      <c r="G32" s="159"/>
      <c r="H32" s="159"/>
    </row>
    <row r="33" spans="1:8" x14ac:dyDescent="0.35">
      <c r="A33" s="158" t="s">
        <v>26</v>
      </c>
      <c r="B33" s="158" t="s">
        <v>30</v>
      </c>
      <c r="C33" s="159" t="s">
        <v>236</v>
      </c>
      <c r="D33" s="159"/>
      <c r="E33" s="159"/>
      <c r="F33" s="159" t="s">
        <v>190</v>
      </c>
      <c r="G33" s="159"/>
      <c r="H33" s="159"/>
    </row>
    <row r="34" spans="1:8" s="22" customFormat="1" x14ac:dyDescent="0.35">
      <c r="A34" s="158" t="s">
        <v>28</v>
      </c>
      <c r="B34" s="158" t="s">
        <v>30</v>
      </c>
      <c r="C34" s="159" t="s">
        <v>191</v>
      </c>
      <c r="D34" s="159"/>
      <c r="E34" s="159"/>
      <c r="F34" s="159" t="s">
        <v>191</v>
      </c>
      <c r="G34" s="159"/>
      <c r="H34" s="159"/>
    </row>
    <row r="35" spans="1:8" x14ac:dyDescent="0.35">
      <c r="A35" s="158" t="s">
        <v>27</v>
      </c>
      <c r="B35" s="158" t="s">
        <v>30</v>
      </c>
      <c r="C35" s="159" t="s">
        <v>236</v>
      </c>
      <c r="D35" s="159"/>
      <c r="E35" s="159"/>
      <c r="F35" s="159" t="s">
        <v>186</v>
      </c>
      <c r="G35" s="159"/>
      <c r="H35" s="159"/>
    </row>
    <row r="36" spans="1:8" x14ac:dyDescent="0.35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5">
      <c r="A37" s="145" t="s">
        <v>172</v>
      </c>
      <c r="B37" s="146"/>
      <c r="C37" s="92" t="s">
        <v>221</v>
      </c>
      <c r="D37" s="92"/>
      <c r="E37" s="92"/>
      <c r="F37" s="92"/>
      <c r="G37" s="92"/>
      <c r="H37" s="92"/>
    </row>
    <row r="38" spans="1:8" x14ac:dyDescent="0.35">
      <c r="A38" s="124" t="s">
        <v>167</v>
      </c>
      <c r="B38" s="124"/>
      <c r="C38" s="125" t="s">
        <v>183</v>
      </c>
      <c r="D38" s="126"/>
      <c r="E38" s="126"/>
      <c r="F38" s="126"/>
      <c r="G38" s="126"/>
      <c r="H38" s="126"/>
    </row>
    <row r="39" spans="1:8" x14ac:dyDescent="0.35">
      <c r="A39" s="116" t="s">
        <v>35</v>
      </c>
      <c r="B39" s="116"/>
      <c r="C39" s="116"/>
      <c r="D39" s="116"/>
      <c r="E39" s="116"/>
      <c r="F39" s="116"/>
      <c r="G39" s="116"/>
      <c r="H39" s="116"/>
    </row>
    <row r="40" spans="1:8" x14ac:dyDescent="0.35">
      <c r="A40" s="92" t="s">
        <v>36</v>
      </c>
      <c r="B40" s="92"/>
      <c r="C40" s="92"/>
      <c r="D40" s="92"/>
      <c r="E40" s="160">
        <v>96219.89</v>
      </c>
      <c r="F40" s="160"/>
      <c r="G40" s="160"/>
      <c r="H40" s="160"/>
    </row>
    <row r="41" spans="1:8" x14ac:dyDescent="0.35">
      <c r="A41" s="92" t="s">
        <v>37</v>
      </c>
      <c r="B41" s="92"/>
      <c r="C41" s="92"/>
      <c r="D41" s="92"/>
      <c r="E41" s="161">
        <f>105841.88/E40</f>
        <v>1.1000000103928615</v>
      </c>
      <c r="F41" s="161"/>
      <c r="G41" s="161"/>
      <c r="H41" s="161"/>
    </row>
    <row r="42" spans="1:8" x14ac:dyDescent="0.35">
      <c r="A42" s="92" t="s">
        <v>38</v>
      </c>
      <c r="B42" s="92"/>
      <c r="C42" s="92"/>
      <c r="D42" s="92"/>
      <c r="E42" s="161">
        <f>E44/E40-E41</f>
        <v>0.10058679135883453</v>
      </c>
      <c r="F42" s="161"/>
      <c r="G42" s="161"/>
      <c r="H42" s="161"/>
    </row>
    <row r="43" spans="1:8" x14ac:dyDescent="0.35">
      <c r="A43" s="92" t="s">
        <v>39</v>
      </c>
      <c r="B43" s="92"/>
      <c r="C43" s="92"/>
      <c r="D43" s="92"/>
      <c r="E43" s="161">
        <f>E41+E42</f>
        <v>1.2005868017516961</v>
      </c>
      <c r="F43" s="161"/>
      <c r="G43" s="161"/>
      <c r="H43" s="161"/>
    </row>
    <row r="44" spans="1:8" x14ac:dyDescent="0.35">
      <c r="A44" s="92" t="s">
        <v>94</v>
      </c>
      <c r="B44" s="92"/>
      <c r="C44" s="92"/>
      <c r="D44" s="92"/>
      <c r="E44" s="162">
        <v>115520.33</v>
      </c>
      <c r="F44" s="162"/>
      <c r="G44" s="162"/>
      <c r="H44" s="162"/>
    </row>
    <row r="45" spans="1:8" x14ac:dyDescent="0.35">
      <c r="A45" s="163" t="s">
        <v>40</v>
      </c>
      <c r="B45" s="163"/>
      <c r="C45" s="163"/>
      <c r="D45" s="163"/>
      <c r="E45" s="163" t="s">
        <v>251</v>
      </c>
      <c r="F45" s="163"/>
      <c r="G45" s="163"/>
      <c r="H45" s="163"/>
    </row>
    <row r="46" spans="1:8" x14ac:dyDescent="0.35">
      <c r="A46" s="135" t="s">
        <v>41</v>
      </c>
      <c r="B46" s="135"/>
      <c r="C46" s="135"/>
      <c r="D46" s="135"/>
      <c r="E46" s="135"/>
      <c r="F46" s="135"/>
      <c r="G46" s="135"/>
      <c r="H46" s="135"/>
    </row>
    <row r="47" spans="1:8" ht="33.75" customHeight="1" x14ac:dyDescent="0.35">
      <c r="A47" s="130" t="s">
        <v>156</v>
      </c>
      <c r="B47" s="131"/>
      <c r="C47" s="132" t="s">
        <v>182</v>
      </c>
      <c r="D47" s="133"/>
      <c r="E47" s="133"/>
      <c r="F47" s="133"/>
      <c r="G47" s="133"/>
      <c r="H47" s="88"/>
    </row>
    <row r="48" spans="1:8" ht="33" customHeight="1" x14ac:dyDescent="0.35">
      <c r="A48" s="180" t="s">
        <v>42</v>
      </c>
      <c r="B48" s="182"/>
      <c r="C48" s="180" t="s">
        <v>232</v>
      </c>
      <c r="D48" s="181"/>
      <c r="E48" s="182"/>
      <c r="F48" s="18" t="s">
        <v>43</v>
      </c>
      <c r="G48" s="167">
        <v>45324</v>
      </c>
      <c r="H48" s="182"/>
    </row>
    <row r="49" spans="1:14" ht="33" customHeight="1" x14ac:dyDescent="0.35">
      <c r="A49" s="180" t="s">
        <v>245</v>
      </c>
      <c r="B49" s="182"/>
      <c r="C49" s="180" t="s">
        <v>232</v>
      </c>
      <c r="D49" s="181"/>
      <c r="E49" s="182"/>
      <c r="F49" s="18" t="s">
        <v>43</v>
      </c>
      <c r="G49" s="167">
        <v>45324</v>
      </c>
      <c r="H49" s="168"/>
    </row>
    <row r="50" spans="1:14" ht="33" customHeight="1" x14ac:dyDescent="0.35">
      <c r="A50" s="180" t="s">
        <v>230</v>
      </c>
      <c r="B50" s="182"/>
      <c r="C50" s="180" t="s">
        <v>232</v>
      </c>
      <c r="D50" s="181"/>
      <c r="E50" s="182"/>
      <c r="F50" s="18" t="s">
        <v>43</v>
      </c>
      <c r="G50" s="167">
        <v>45324</v>
      </c>
      <c r="H50" s="168"/>
    </row>
    <row r="51" spans="1:14" ht="33" customHeight="1" x14ac:dyDescent="0.35">
      <c r="A51" s="180" t="s">
        <v>231</v>
      </c>
      <c r="B51" s="182"/>
      <c r="C51" s="180" t="s">
        <v>192</v>
      </c>
      <c r="D51" s="181"/>
      <c r="E51" s="182"/>
      <c r="F51" s="18" t="s">
        <v>43</v>
      </c>
      <c r="G51" s="167">
        <v>43691</v>
      </c>
      <c r="H51" s="168"/>
    </row>
    <row r="52" spans="1:14" s="23" customFormat="1" ht="30.75" customHeight="1" x14ac:dyDescent="0.35">
      <c r="A52" s="154" t="s">
        <v>246</v>
      </c>
      <c r="B52" s="155"/>
      <c r="C52" s="180" t="s">
        <v>247</v>
      </c>
      <c r="D52" s="181"/>
      <c r="E52" s="182"/>
      <c r="F52" s="18" t="s">
        <v>43</v>
      </c>
      <c r="G52" s="167">
        <v>45324</v>
      </c>
      <c r="H52" s="168"/>
    </row>
    <row r="53" spans="1:14" s="23" customFormat="1" x14ac:dyDescent="0.35">
      <c r="A53" s="156"/>
      <c r="B53" s="157"/>
      <c r="C53" s="180" t="s">
        <v>248</v>
      </c>
      <c r="D53" s="181"/>
      <c r="E53" s="181"/>
      <c r="F53" s="181"/>
      <c r="G53" s="181"/>
      <c r="H53" s="182"/>
    </row>
    <row r="54" spans="1:14" x14ac:dyDescent="0.35">
      <c r="A54" s="191" t="s">
        <v>44</v>
      </c>
      <c r="B54" s="192"/>
      <c r="C54" s="191" t="s">
        <v>108</v>
      </c>
      <c r="D54" s="193"/>
      <c r="E54" s="192"/>
      <c r="F54" s="46" t="s">
        <v>43</v>
      </c>
      <c r="G54" s="194" t="s">
        <v>30</v>
      </c>
      <c r="H54" s="195"/>
    </row>
    <row r="55" spans="1:14" x14ac:dyDescent="0.35">
      <c r="A55" s="177" t="s">
        <v>46</v>
      </c>
      <c r="B55" s="177"/>
      <c r="C55" s="177"/>
      <c r="D55" s="177"/>
      <c r="E55" s="177"/>
      <c r="F55" s="177"/>
      <c r="G55" s="177"/>
      <c r="H55" s="177"/>
    </row>
    <row r="56" spans="1:14" x14ac:dyDescent="0.35">
      <c r="A56" s="171" t="s">
        <v>93</v>
      </c>
      <c r="B56" s="171"/>
      <c r="C56" s="171"/>
      <c r="D56" s="92">
        <f>E44</f>
        <v>115520.33</v>
      </c>
      <c r="E56" s="92"/>
      <c r="F56" s="92"/>
      <c r="G56" s="92"/>
      <c r="H56" s="92"/>
    </row>
    <row r="57" spans="1:14" x14ac:dyDescent="0.35">
      <c r="A57" s="126" t="s">
        <v>47</v>
      </c>
      <c r="B57" s="163"/>
      <c r="C57" s="163"/>
      <c r="D57" s="163" t="s">
        <v>261</v>
      </c>
      <c r="E57" s="163"/>
      <c r="F57" s="163"/>
      <c r="G57" s="163"/>
      <c r="H57" s="163"/>
      <c r="I57" s="24"/>
    </row>
    <row r="58" spans="1:14" ht="48" customHeight="1" x14ac:dyDescent="0.35">
      <c r="A58" s="164" t="s">
        <v>48</v>
      </c>
      <c r="B58" s="165"/>
      <c r="C58" s="166"/>
      <c r="D58" s="126" t="s">
        <v>237</v>
      </c>
      <c r="E58" s="163"/>
      <c r="F58" s="163"/>
      <c r="G58" s="163"/>
      <c r="H58" s="163"/>
      <c r="I58" s="21" t="s">
        <v>214</v>
      </c>
    </row>
    <row r="59" spans="1:14" ht="15.75" customHeight="1" x14ac:dyDescent="0.35">
      <c r="A59" s="126" t="s">
        <v>91</v>
      </c>
      <c r="B59" s="126"/>
      <c r="C59" s="126"/>
      <c r="D59" s="163" t="s">
        <v>238</v>
      </c>
      <c r="E59" s="163"/>
      <c r="F59" s="163"/>
      <c r="G59" s="163"/>
      <c r="H59" s="163"/>
    </row>
    <row r="60" spans="1:14" ht="15.75" customHeight="1" x14ac:dyDescent="0.35">
      <c r="A60" s="126"/>
      <c r="B60" s="126"/>
      <c r="C60" s="126"/>
      <c r="D60" s="163" t="s">
        <v>228</v>
      </c>
      <c r="E60" s="163"/>
      <c r="F60" s="163"/>
      <c r="G60" s="163"/>
      <c r="H60" s="163"/>
    </row>
    <row r="61" spans="1:14" ht="15.75" customHeight="1" x14ac:dyDescent="0.35">
      <c r="A61" s="126"/>
      <c r="B61" s="126"/>
      <c r="C61" s="126"/>
      <c r="D61" s="163" t="s">
        <v>229</v>
      </c>
      <c r="E61" s="163"/>
      <c r="F61" s="163"/>
      <c r="G61" s="163"/>
      <c r="H61" s="163"/>
    </row>
    <row r="62" spans="1:14" ht="15.75" customHeight="1" x14ac:dyDescent="0.35">
      <c r="A62" s="92" t="s">
        <v>45</v>
      </c>
      <c r="B62" s="92"/>
      <c r="C62" s="92"/>
      <c r="D62" s="171" t="s">
        <v>250</v>
      </c>
      <c r="E62" s="171"/>
      <c r="F62" s="171"/>
      <c r="G62" s="171"/>
      <c r="H62" s="171"/>
      <c r="J62" s="25"/>
      <c r="K62" s="24"/>
      <c r="N62" s="24"/>
    </row>
    <row r="63" spans="1:14" ht="15.75" customHeight="1" x14ac:dyDescent="0.35">
      <c r="A63" s="92" t="s">
        <v>89</v>
      </c>
      <c r="B63" s="92"/>
      <c r="C63" s="92"/>
      <c r="D63" s="153" t="str">
        <f>(IF(G54="NA","60 Years After Completion",IF(G54&lt;&gt;"NA",""&amp;60-ROUNDDOWN((E3-G54)/360,0)&amp;" Years"," ")))</f>
        <v>60 Years After Completion</v>
      </c>
      <c r="E63" s="153"/>
      <c r="F63" s="153"/>
      <c r="G63" s="153"/>
      <c r="H63" s="153"/>
      <c r="N63" s="24"/>
    </row>
    <row r="64" spans="1:14" ht="15.75" customHeight="1" x14ac:dyDescent="0.35">
      <c r="A64" s="92" t="s">
        <v>90</v>
      </c>
      <c r="B64" s="92"/>
      <c r="C64" s="92"/>
      <c r="D64" s="171" t="s">
        <v>24</v>
      </c>
      <c r="E64" s="171"/>
      <c r="F64" s="171"/>
      <c r="G64" s="171"/>
      <c r="H64" s="171"/>
      <c r="J64" s="26"/>
      <c r="K64" s="26"/>
    </row>
    <row r="65" spans="1:14" ht="129.75" customHeight="1" x14ac:dyDescent="0.35">
      <c r="A65" s="92" t="s">
        <v>76</v>
      </c>
      <c r="B65" s="92"/>
      <c r="C65" s="92"/>
      <c r="D65" s="126" t="s">
        <v>213</v>
      </c>
      <c r="E65" s="171"/>
      <c r="F65" s="171"/>
      <c r="G65" s="171"/>
      <c r="H65" s="171"/>
      <c r="I65" s="21" t="s">
        <v>205</v>
      </c>
    </row>
    <row r="66" spans="1:14" x14ac:dyDescent="0.35">
      <c r="A66" s="171" t="s">
        <v>153</v>
      </c>
      <c r="B66" s="171"/>
      <c r="C66" s="171"/>
      <c r="D66" s="171" t="s">
        <v>30</v>
      </c>
      <c r="E66" s="171"/>
      <c r="F66" s="171"/>
      <c r="G66" s="171"/>
      <c r="H66" s="171"/>
      <c r="I66" s="27"/>
      <c r="J66" s="27"/>
      <c r="K66" s="27">
        <v>0</v>
      </c>
      <c r="L66" s="27"/>
      <c r="M66" s="27"/>
      <c r="N66" s="27"/>
    </row>
    <row r="67" spans="1:14" ht="15.75" customHeight="1" x14ac:dyDescent="0.35">
      <c r="A67" s="185" t="s">
        <v>88</v>
      </c>
      <c r="B67" s="185"/>
      <c r="C67" s="185"/>
      <c r="D67" s="184" t="str">
        <f ca="1">(IF(G87&gt;95%,"Nothing",IF(G87&gt;0%,"Cement, Aggregate, Steel, etc",IF(G87=0%,"Work not yet Started"))))</f>
        <v>Cement, Aggregate, Steel, etc</v>
      </c>
      <c r="E67" s="184"/>
      <c r="F67" s="184"/>
      <c r="G67" s="184"/>
      <c r="H67" s="184"/>
      <c r="J67" s="26"/>
    </row>
    <row r="68" spans="1:14" ht="33.75" customHeight="1" thickBot="1" x14ac:dyDescent="0.4">
      <c r="A68" s="183" t="s">
        <v>121</v>
      </c>
      <c r="B68" s="183"/>
      <c r="C68" s="183"/>
      <c r="D68" s="184" t="str">
        <f ca="1">(IF(D67="Nothing","Yes",IF(D67="Cement, Aggregate, Steel, etc","Under Construction",IF(D67="Work not yet Started","Work not yet Started"))))</f>
        <v>Under Construction</v>
      </c>
      <c r="E68" s="184"/>
      <c r="F68" s="184" t="str">
        <f ca="1">(IF(D67="Nothing","Yes",IF(D67="Cement, Aggregate, Steel, etc","Under Construction",IF(D67="Work not yet Started","Work not yet Started"))))</f>
        <v>Under Construction</v>
      </c>
      <c r="G68" s="184"/>
      <c r="H68" s="184"/>
    </row>
    <row r="69" spans="1:14" ht="15.75" customHeight="1" x14ac:dyDescent="0.35">
      <c r="A69" s="68" t="s">
        <v>145</v>
      </c>
      <c r="B69" s="69"/>
      <c r="C69" s="65" t="str">
        <f>D59</f>
        <v>A Wing (D 119) = Gr + 2P + St + 1st to 41st Floor</v>
      </c>
      <c r="D69" s="66"/>
      <c r="E69" s="66"/>
      <c r="F69" s="66"/>
      <c r="G69" s="66"/>
      <c r="H69" s="67"/>
      <c r="I69" s="48" t="str">
        <f ca="1">IF(D82=100%,"All work Completed. Possession granted to the Building.",IF(D81=100%,"All work Completed, Waiting for OC",I70&amp;""&amp;I71&amp;""&amp;J70&amp;""&amp;J69&amp;" "&amp;J71))</f>
        <v>Excavation, Plinth Completed, RCC upto 29 Slab, Brickwork upto 28 Floor, Internal Plaster upto 21 Floor, External Plaster upto 19.6 Floor Completed</v>
      </c>
      <c r="J69" s="4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29 Slab, Brickwork upto 28 Floor, Internal Plaster upto 21 Floor, External Plaster upto 19.6 Floor</v>
      </c>
    </row>
    <row r="70" spans="1:14" x14ac:dyDescent="0.35">
      <c r="A70" s="16" t="s">
        <v>147</v>
      </c>
      <c r="B70" s="53">
        <v>0</v>
      </c>
      <c r="C70" s="53" t="s">
        <v>73</v>
      </c>
      <c r="D70" s="53">
        <v>1</v>
      </c>
      <c r="E70" s="53" t="s">
        <v>72</v>
      </c>
      <c r="F70" s="53">
        <v>3</v>
      </c>
      <c r="G70" s="53" t="s">
        <v>82</v>
      </c>
      <c r="H70" s="17">
        <f ca="1">--TRIM(RIGHT(SUBSTITUTE(LEFT(C69,_xlfn.AGGREGATE(16,6,FIND({0,1,2,3,4,5,6,7,8,9},C69,ROW(INDIRECT("1:"&amp;LEN(C69)))),1))," ",REPT(" ",LEN(C69))),LEN(C69)))</f>
        <v>41</v>
      </c>
      <c r="I70" s="5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5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6" customHeight="1" x14ac:dyDescent="0.35">
      <c r="A71" s="87" t="s">
        <v>92</v>
      </c>
      <c r="B71" s="88"/>
      <c r="C71" s="84" t="str">
        <f ca="1">I69</f>
        <v>Excavation, Plinth Completed, RCC upto 29 Slab, Brickwork upto 28 Floor, Internal Plaster upto 21 Floor, External Plaster upto 19.6 Floor Completed</v>
      </c>
      <c r="D71" s="85"/>
      <c r="E71" s="85"/>
      <c r="F71" s="85"/>
      <c r="G71" s="85"/>
      <c r="H71" s="86"/>
      <c r="I71" s="50" t="str">
        <f ca="1">IF(I70&lt;&gt;""," Completed","")</f>
        <v xml:space="preserve"> Completed</v>
      </c>
      <c r="J71" s="51" t="str">
        <f ca="1">IF(J69&lt;&gt;"","Completed","")</f>
        <v>Completed</v>
      </c>
    </row>
    <row r="72" spans="1:14" ht="15.75" customHeight="1" x14ac:dyDescent="0.35">
      <c r="A72" s="72" t="s">
        <v>49</v>
      </c>
      <c r="B72" s="73"/>
      <c r="C72" s="44" t="s">
        <v>144</v>
      </c>
      <c r="D72" s="44" t="s">
        <v>85</v>
      </c>
      <c r="E72" s="83" t="s">
        <v>87</v>
      </c>
      <c r="F72" s="73"/>
      <c r="G72" s="83" t="s">
        <v>86</v>
      </c>
      <c r="H72" s="112"/>
      <c r="I72" s="14" t="s">
        <v>146</v>
      </c>
      <c r="J72" s="28">
        <f ca="1">H70*25%</f>
        <v>10.25</v>
      </c>
    </row>
    <row r="73" spans="1:14" x14ac:dyDescent="0.35">
      <c r="A73" s="72" t="s">
        <v>133</v>
      </c>
      <c r="B73" s="73"/>
      <c r="C73" s="44">
        <f ca="1">J74</f>
        <v>41</v>
      </c>
      <c r="D73" s="19">
        <f ca="1">((100/H70)*C73)/100</f>
        <v>1</v>
      </c>
      <c r="E73" s="74">
        <f ca="1">(((C74/H70*10)+(40/(D70+F70+H70)*C75)+(7.5/(H70)*C76)+(7.5/(H70)*C77)+(10/H70*C78)+(10/H70*C79)+(5/H70*C80)+(5/H70*C81)+(5/H70*C82))/100)</f>
        <v>0.49521680216802166</v>
      </c>
      <c r="F73" s="80"/>
      <c r="G73" s="74">
        <f ca="1">((((C73/H70)*20)+((C74/H70)*25)+(30/(H70+F70+D70)*C75)+(5/H70*C76)+(5/H70*C77)+(5/H70*C78)+(5/H70*C79)+(0/H70*C80)+(0/H70*C81)+(5/H70*C82))/100)</f>
        <v>0.72699186991869924</v>
      </c>
      <c r="H73" s="75"/>
      <c r="I73" s="14" t="s">
        <v>103</v>
      </c>
      <c r="J73" s="29">
        <f ca="1">H70*50%</f>
        <v>20.5</v>
      </c>
    </row>
    <row r="74" spans="1:14" x14ac:dyDescent="0.35">
      <c r="A74" s="72" t="s">
        <v>50</v>
      </c>
      <c r="B74" s="73"/>
      <c r="C74" s="54">
        <f ca="1">J82</f>
        <v>41</v>
      </c>
      <c r="D74" s="19">
        <f ca="1">((100/H70)*C74)/100</f>
        <v>1</v>
      </c>
      <c r="E74" s="76"/>
      <c r="F74" s="81"/>
      <c r="G74" s="76"/>
      <c r="H74" s="77"/>
      <c r="I74" s="14" t="s">
        <v>104</v>
      </c>
      <c r="J74" s="29">
        <f ca="1">H70</f>
        <v>41</v>
      </c>
    </row>
    <row r="75" spans="1:14" ht="15.75" customHeight="1" x14ac:dyDescent="0.35">
      <c r="A75" s="72" t="s">
        <v>134</v>
      </c>
      <c r="B75" s="73"/>
      <c r="C75" s="44">
        <f>F70+26</f>
        <v>29</v>
      </c>
      <c r="D75" s="19">
        <f ca="1">((100/(D70+F70+H70))*C75)/100</f>
        <v>0.64444444444444438</v>
      </c>
      <c r="E75" s="76"/>
      <c r="F75" s="81"/>
      <c r="G75" s="76"/>
      <c r="H75" s="77"/>
      <c r="I75" s="14" t="s">
        <v>105</v>
      </c>
      <c r="J75" s="30">
        <f ca="1">(IF(B70&gt;1,(H70/(B70+2)),H70/4))</f>
        <v>10.25</v>
      </c>
    </row>
    <row r="76" spans="1:14" ht="15.75" customHeight="1" x14ac:dyDescent="0.35">
      <c r="A76" s="72" t="s">
        <v>141</v>
      </c>
      <c r="B76" s="73" t="s">
        <v>135</v>
      </c>
      <c r="C76" s="44">
        <f>C75-1</f>
        <v>28</v>
      </c>
      <c r="D76" s="19">
        <f ca="1">((100/H70)*C76)/100</f>
        <v>0.68292682926829273</v>
      </c>
      <c r="E76" s="76"/>
      <c r="F76" s="81"/>
      <c r="G76" s="76"/>
      <c r="H76" s="77"/>
      <c r="I76" s="14" t="s">
        <v>106</v>
      </c>
      <c r="J76" s="30">
        <f ca="1">(IF(B70&gt;1,(H70/(B70+2)+J75),H70/4+J75))</f>
        <v>20.5</v>
      </c>
    </row>
    <row r="77" spans="1:14" ht="15.75" customHeight="1" x14ac:dyDescent="0.35">
      <c r="A77" s="72" t="s">
        <v>142</v>
      </c>
      <c r="B77" s="73" t="s">
        <v>135</v>
      </c>
      <c r="C77" s="54">
        <f>C76*0.75</f>
        <v>21</v>
      </c>
      <c r="D77" s="19">
        <f ca="1">((100/H70)*C77)/100</f>
        <v>0.51219512195121952</v>
      </c>
      <c r="E77" s="76"/>
      <c r="F77" s="81"/>
      <c r="G77" s="76"/>
      <c r="H77" s="77"/>
      <c r="I77" s="14" t="s">
        <v>151</v>
      </c>
      <c r="J77" s="30">
        <f>(IF(B70&gt;1,(H70/(B70+2)+J76),0))</f>
        <v>0</v>
      </c>
    </row>
    <row r="78" spans="1:14" ht="15" customHeight="1" x14ac:dyDescent="0.35">
      <c r="A78" s="72" t="s">
        <v>140</v>
      </c>
      <c r="B78" s="73" t="s">
        <v>137</v>
      </c>
      <c r="C78" s="54">
        <f>C76*0.7</f>
        <v>19.599999999999998</v>
      </c>
      <c r="D78" s="19">
        <f ca="1">((100/(H70))*C78)/100</f>
        <v>0.4780487804878048</v>
      </c>
      <c r="E78" s="76"/>
      <c r="F78" s="81"/>
      <c r="G78" s="76"/>
      <c r="H78" s="77"/>
      <c r="I78" s="14" t="s">
        <v>148</v>
      </c>
      <c r="J78" s="30">
        <f>(IF(B70&gt;2,(H70/(B70+2)+J77),0))</f>
        <v>0</v>
      </c>
    </row>
    <row r="79" spans="1:14" ht="15.75" customHeight="1" x14ac:dyDescent="0.35">
      <c r="A79" s="72" t="s">
        <v>136</v>
      </c>
      <c r="B79" s="73" t="s">
        <v>136</v>
      </c>
      <c r="C79" s="44">
        <v>0</v>
      </c>
      <c r="D79" s="19">
        <f ca="1">((100/H70)*C79)/100</f>
        <v>0</v>
      </c>
      <c r="E79" s="76"/>
      <c r="F79" s="81"/>
      <c r="G79" s="76"/>
      <c r="H79" s="77"/>
      <c r="I79" s="14" t="s">
        <v>149</v>
      </c>
      <c r="J79" s="31">
        <f>(IF(B70&gt;3,(H70/(B70+2)+J78),0))</f>
        <v>0</v>
      </c>
    </row>
    <row r="80" spans="1:14" ht="15.75" customHeight="1" x14ac:dyDescent="0.35">
      <c r="A80" s="72" t="s">
        <v>143</v>
      </c>
      <c r="B80" s="73"/>
      <c r="C80" s="44">
        <v>0</v>
      </c>
      <c r="D80" s="19">
        <f ca="1">((100/H70)*C80)/100</f>
        <v>0</v>
      </c>
      <c r="E80" s="76"/>
      <c r="F80" s="81"/>
      <c r="G80" s="76"/>
      <c r="H80" s="77"/>
      <c r="I80" s="14" t="s">
        <v>150</v>
      </c>
      <c r="J80" s="30">
        <f>(IF(B70&gt;4,(H70/(B70+2)+J79),0))</f>
        <v>0</v>
      </c>
    </row>
    <row r="81" spans="1:10" ht="15.75" customHeight="1" x14ac:dyDescent="0.35">
      <c r="A81" s="72" t="s">
        <v>138</v>
      </c>
      <c r="B81" s="73"/>
      <c r="C81" s="44">
        <v>0</v>
      </c>
      <c r="D81" s="19">
        <f ca="1">((100/(H70))*C81)/100</f>
        <v>0</v>
      </c>
      <c r="E81" s="76"/>
      <c r="F81" s="81"/>
      <c r="G81" s="76"/>
      <c r="H81" s="77"/>
      <c r="I81" s="14" t="s">
        <v>152</v>
      </c>
      <c r="J81" s="30">
        <f ca="1">(IF(B70=1,(H70/(B70+3)+J76),IF(B70=0,(H70/4+J76),IF(B70&gt;1,0))))</f>
        <v>30.75</v>
      </c>
    </row>
    <row r="82" spans="1:10" ht="16" thickBot="1" x14ac:dyDescent="0.4">
      <c r="A82" s="70" t="s">
        <v>139</v>
      </c>
      <c r="B82" s="71"/>
      <c r="C82" s="45">
        <v>0</v>
      </c>
      <c r="D82" s="20">
        <f ca="1">((100/(H70))*C82)/100</f>
        <v>0</v>
      </c>
      <c r="E82" s="78"/>
      <c r="F82" s="82"/>
      <c r="G82" s="78"/>
      <c r="H82" s="79"/>
      <c r="I82" s="15" t="s">
        <v>107</v>
      </c>
      <c r="J82" s="32">
        <f ca="1">(IF(B70&gt;1.5,(H70/(B70+2)+J76+MAX(0,J77-J76)+MAX(0,J78-J77)+MAX(0,J79-J78)+MAX(0,J80-J79)+MAX(0,J81-J80)),IF(B70=1,(H70/(B70+3)+J81),IF(B70=0,H70/4+J81))))</f>
        <v>41</v>
      </c>
    </row>
    <row r="83" spans="1:10" ht="15.75" customHeight="1" x14ac:dyDescent="0.35">
      <c r="A83" s="68" t="s">
        <v>145</v>
      </c>
      <c r="B83" s="69"/>
      <c r="C83" s="65" t="str">
        <f>D60</f>
        <v>B Wing (E 120) = Gr + 2P + St + 1st to 41st Floor</v>
      </c>
      <c r="D83" s="66"/>
      <c r="E83" s="66"/>
      <c r="F83" s="66"/>
      <c r="G83" s="66"/>
      <c r="H83" s="67"/>
      <c r="I83" s="48" t="str">
        <f ca="1">IF(D96=100%,"All work Completed. Possession granted to the Building.",IF(D95=100%,"All work Completed, Waiting for OC",I84&amp;""&amp;I85&amp;""&amp;J84&amp;""&amp;J83&amp;" "&amp;J85))</f>
        <v>Excavation, Plinth Completed, RCC upto 39 Slab, Brickwork upto 38 Floor, Internal Plaster upto 28.5 Floor, External Plaster upto 28.5 Floor Completed</v>
      </c>
      <c r="J83" s="4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39 Slab, Brickwork upto 38 Floor, Internal Plaster upto 28.5 Floor, External Plaster upto 28.5 Floor</v>
      </c>
    </row>
    <row r="84" spans="1:10" x14ac:dyDescent="0.35">
      <c r="A84" s="16" t="s">
        <v>147</v>
      </c>
      <c r="B84" s="53">
        <v>0</v>
      </c>
      <c r="C84" s="53" t="s">
        <v>73</v>
      </c>
      <c r="D84" s="53">
        <v>1</v>
      </c>
      <c r="E84" s="53" t="s">
        <v>72</v>
      </c>
      <c r="F84" s="53">
        <v>3</v>
      </c>
      <c r="G84" s="53" t="s">
        <v>82</v>
      </c>
      <c r="H84" s="17">
        <f ca="1">--TRIM(RIGHT(SUBSTITUTE(LEFT(C83,_xlfn.AGGREGATE(16,6,FIND({0,1,2,3,4,5,6,7,8,9},C83,ROW(INDIRECT("1:"&amp;LEN(C83)))),1))," ",REPT(" ",LEN(C83))),LEN(C83)))</f>
        <v>41</v>
      </c>
      <c r="I84" s="5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1.5" customHeight="1" x14ac:dyDescent="0.35">
      <c r="A85" s="87" t="s">
        <v>92</v>
      </c>
      <c r="B85" s="88"/>
      <c r="C85" s="84" t="str">
        <f ca="1">I83</f>
        <v>Excavation, Plinth Completed, RCC upto 39 Slab, Brickwork upto 38 Floor, Internal Plaster upto 28.5 Floor, External Plaster upto 28.5 Floor Completed</v>
      </c>
      <c r="D85" s="85"/>
      <c r="E85" s="85"/>
      <c r="F85" s="85"/>
      <c r="G85" s="85"/>
      <c r="H85" s="86"/>
      <c r="I85" s="50" t="str">
        <f ca="1">IF(I84&lt;&gt;""," Completed","")</f>
        <v xml:space="preserve"> Completed</v>
      </c>
      <c r="J85" s="51" t="str">
        <f ca="1">IF(J83&lt;&gt;"","Completed","")</f>
        <v>Completed</v>
      </c>
    </row>
    <row r="86" spans="1:10" ht="15.75" customHeight="1" x14ac:dyDescent="0.35">
      <c r="A86" s="72" t="s">
        <v>49</v>
      </c>
      <c r="B86" s="73"/>
      <c r="C86" s="44" t="s">
        <v>144</v>
      </c>
      <c r="D86" s="44" t="s">
        <v>85</v>
      </c>
      <c r="E86" s="83" t="s">
        <v>87</v>
      </c>
      <c r="F86" s="73"/>
      <c r="G86" s="83" t="s">
        <v>86</v>
      </c>
      <c r="H86" s="112"/>
      <c r="I86" s="14" t="s">
        <v>146</v>
      </c>
      <c r="J86" s="28">
        <f ca="1">H84*25%</f>
        <v>10.25</v>
      </c>
    </row>
    <row r="87" spans="1:10" x14ac:dyDescent="0.35">
      <c r="A87" s="72" t="s">
        <v>133</v>
      </c>
      <c r="B87" s="73"/>
      <c r="C87" s="44">
        <f ca="1">J88</f>
        <v>41</v>
      </c>
      <c r="D87" s="19">
        <f ca="1">((100/H84)*C87)/100</f>
        <v>1</v>
      </c>
      <c r="E87" s="74">
        <f ca="1">(((C88/H84*10)+(40/(D84+F84+H84)*C89)+(7.5/(H84)*C90)+(7.5/(H84)*C91)+(10/H84*C92)+(10/H84*C93)+(5/H84*C94)+(5/H84*C95)+(5/H84*C96))/100)</f>
        <v>0.63782520325203251</v>
      </c>
      <c r="F87" s="80"/>
      <c r="G87" s="74">
        <f ca="1">((((C87/H84)*20)+((C88/H84)*25)+(30/(H84+F84+D84)*C89)+(5/H84*C90)+(5/H84*C91)+(5/H84*C92)+(5/H84*C93)+(0/H84*C94)+(0/H84*C95)+(5/H84*C96))/100)</f>
        <v>0.82585365853658532</v>
      </c>
      <c r="H87" s="75"/>
      <c r="I87" s="14" t="s">
        <v>103</v>
      </c>
      <c r="J87" s="29">
        <f ca="1">H84*50%</f>
        <v>20.5</v>
      </c>
    </row>
    <row r="88" spans="1:10" x14ac:dyDescent="0.35">
      <c r="A88" s="72" t="s">
        <v>50</v>
      </c>
      <c r="B88" s="73"/>
      <c r="C88" s="54">
        <f ca="1">J96</f>
        <v>41</v>
      </c>
      <c r="D88" s="19">
        <f ca="1">((100/H84)*C88)/100</f>
        <v>1</v>
      </c>
      <c r="E88" s="76"/>
      <c r="F88" s="81"/>
      <c r="G88" s="76"/>
      <c r="H88" s="77"/>
      <c r="I88" s="14" t="s">
        <v>104</v>
      </c>
      <c r="J88" s="29">
        <f ca="1">H84</f>
        <v>41</v>
      </c>
    </row>
    <row r="89" spans="1:10" ht="15.75" customHeight="1" x14ac:dyDescent="0.35">
      <c r="A89" s="72" t="s">
        <v>134</v>
      </c>
      <c r="B89" s="73"/>
      <c r="C89" s="44">
        <f>F84+36</f>
        <v>39</v>
      </c>
      <c r="D89" s="19">
        <f ca="1">((100/(D84+F84+H84))*C89)/100</f>
        <v>0.8666666666666667</v>
      </c>
      <c r="E89" s="76"/>
      <c r="F89" s="81"/>
      <c r="G89" s="76"/>
      <c r="H89" s="77"/>
      <c r="I89" s="14" t="s">
        <v>105</v>
      </c>
      <c r="J89" s="30">
        <f ca="1">(IF(B84&gt;1,(H84/(B84+2)),H84/4))</f>
        <v>10.25</v>
      </c>
    </row>
    <row r="90" spans="1:10" ht="15.75" customHeight="1" x14ac:dyDescent="0.35">
      <c r="A90" s="72" t="s">
        <v>141</v>
      </c>
      <c r="B90" s="73" t="s">
        <v>135</v>
      </c>
      <c r="C90" s="44">
        <f>C89-1</f>
        <v>38</v>
      </c>
      <c r="D90" s="19">
        <f ca="1">((100/H84)*C90)/100</f>
        <v>0.92682926829268297</v>
      </c>
      <c r="E90" s="76"/>
      <c r="F90" s="81"/>
      <c r="G90" s="76"/>
      <c r="H90" s="77"/>
      <c r="I90" s="14" t="s">
        <v>106</v>
      </c>
      <c r="J90" s="30">
        <f ca="1">(IF(B84&gt;1,(H84/(B84+2)+J89),H84/4+J89))</f>
        <v>20.5</v>
      </c>
    </row>
    <row r="91" spans="1:10" ht="15.75" customHeight="1" x14ac:dyDescent="0.35">
      <c r="A91" s="72" t="s">
        <v>142</v>
      </c>
      <c r="B91" s="73" t="s">
        <v>135</v>
      </c>
      <c r="C91" s="54">
        <f>C90*0.75</f>
        <v>28.5</v>
      </c>
      <c r="D91" s="19">
        <f ca="1">((100/H84)*C91)/100</f>
        <v>0.69512195121951226</v>
      </c>
      <c r="E91" s="76"/>
      <c r="F91" s="81"/>
      <c r="G91" s="76"/>
      <c r="H91" s="77"/>
      <c r="I91" s="14" t="s">
        <v>151</v>
      </c>
      <c r="J91" s="30">
        <f>(IF(B84&gt;1,(H84/(B84+2)+J90),0))</f>
        <v>0</v>
      </c>
    </row>
    <row r="92" spans="1:10" ht="15" customHeight="1" x14ac:dyDescent="0.35">
      <c r="A92" s="72" t="s">
        <v>140</v>
      </c>
      <c r="B92" s="73" t="s">
        <v>137</v>
      </c>
      <c r="C92" s="54">
        <f>C91</f>
        <v>28.5</v>
      </c>
      <c r="D92" s="19">
        <f ca="1">((100/(H84))*C92)/100</f>
        <v>0.69512195121951226</v>
      </c>
      <c r="E92" s="76"/>
      <c r="F92" s="81"/>
      <c r="G92" s="76"/>
      <c r="H92" s="77"/>
      <c r="I92" s="14" t="s">
        <v>148</v>
      </c>
      <c r="J92" s="30">
        <f>(IF(B84&gt;2,(H84/(B84+2)+J91),0))</f>
        <v>0</v>
      </c>
    </row>
    <row r="93" spans="1:10" ht="15.75" customHeight="1" x14ac:dyDescent="0.35">
      <c r="A93" s="72" t="s">
        <v>136</v>
      </c>
      <c r="B93" s="73" t="s">
        <v>136</v>
      </c>
      <c r="C93" s="44">
        <v>0</v>
      </c>
      <c r="D93" s="19">
        <f ca="1">((100/H84)*C93)/100</f>
        <v>0</v>
      </c>
      <c r="E93" s="76"/>
      <c r="F93" s="81"/>
      <c r="G93" s="76"/>
      <c r="H93" s="77"/>
      <c r="I93" s="14" t="s">
        <v>149</v>
      </c>
      <c r="J93" s="31">
        <f>(IF(B84&gt;3,(H84/(B84+2)+J92),0))</f>
        <v>0</v>
      </c>
    </row>
    <row r="94" spans="1:10" ht="15.75" customHeight="1" x14ac:dyDescent="0.35">
      <c r="A94" s="72" t="s">
        <v>143</v>
      </c>
      <c r="B94" s="73"/>
      <c r="C94" s="44">
        <v>0</v>
      </c>
      <c r="D94" s="19">
        <f ca="1">((100/H84)*C94)/100</f>
        <v>0</v>
      </c>
      <c r="E94" s="76"/>
      <c r="F94" s="81"/>
      <c r="G94" s="76"/>
      <c r="H94" s="77"/>
      <c r="I94" s="14" t="s">
        <v>150</v>
      </c>
      <c r="J94" s="30">
        <f>(IF(B84&gt;4,(H84/(B84+2)+J93),0))</f>
        <v>0</v>
      </c>
    </row>
    <row r="95" spans="1:10" ht="15.75" customHeight="1" x14ac:dyDescent="0.35">
      <c r="A95" s="72" t="s">
        <v>138</v>
      </c>
      <c r="B95" s="73"/>
      <c r="C95" s="44">
        <v>0</v>
      </c>
      <c r="D95" s="19">
        <f ca="1">((100/(H84))*C95)/100</f>
        <v>0</v>
      </c>
      <c r="E95" s="76"/>
      <c r="F95" s="81"/>
      <c r="G95" s="76"/>
      <c r="H95" s="77"/>
      <c r="I95" s="14" t="s">
        <v>152</v>
      </c>
      <c r="J95" s="30">
        <f ca="1">(IF(B84=1,(H84/(B84+3)+J90),IF(B84=0,(H84/4+J90),IF(B84&gt;1,0))))</f>
        <v>30.75</v>
      </c>
    </row>
    <row r="96" spans="1:10" ht="16" thickBot="1" x14ac:dyDescent="0.4">
      <c r="A96" s="70" t="s">
        <v>139</v>
      </c>
      <c r="B96" s="71"/>
      <c r="C96" s="45">
        <v>0</v>
      </c>
      <c r="D96" s="20">
        <f ca="1">((100/(H84))*C96)/100</f>
        <v>0</v>
      </c>
      <c r="E96" s="78"/>
      <c r="F96" s="82"/>
      <c r="G96" s="78"/>
      <c r="H96" s="79"/>
      <c r="I96" s="15" t="s">
        <v>107</v>
      </c>
      <c r="J96" s="32">
        <f ca="1">(IF(B84&gt;1.5,(H84/(B84+2)+J90+MAX(0,J91-J90)+MAX(0,J92-J91)+MAX(0,J93-J92)+MAX(0,J94-J93)+MAX(0,J95-J94)),IF(B84=1,(H84/(B84+3)+J95),IF(B84=0,H84/4+J95))))</f>
        <v>41</v>
      </c>
    </row>
    <row r="97" spans="1:12" ht="15.75" customHeight="1" x14ac:dyDescent="0.35">
      <c r="A97" s="68" t="s">
        <v>145</v>
      </c>
      <c r="B97" s="69"/>
      <c r="C97" s="65" t="str">
        <f>D61</f>
        <v>C Wing (F 122) = Gr + 2P + St + 1st to 41st Floor</v>
      </c>
      <c r="D97" s="66"/>
      <c r="E97" s="66"/>
      <c r="F97" s="66"/>
      <c r="G97" s="66"/>
      <c r="H97" s="67"/>
      <c r="I97" s="48" t="str">
        <f ca="1">IF(D110=100%,"All work Completed. Possession granted to the Building.",IF(D109=100%,"All work Completed, Waiting for OC",I98&amp;""&amp;I99&amp;""&amp;J98&amp;""&amp;J97&amp;" "&amp;J99))</f>
        <v>Excavation, Plinth Completed, RCC upto 39 Slab, Brickwork upto 38 Floor, Internal Plaster upto 28.5 Floor, External Plaster upto 28.5 Floor Completed</v>
      </c>
      <c r="J97" s="49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39 Slab, Brickwork upto 38 Floor, Internal Plaster upto 28.5 Floor, External Plaster upto 28.5 Floor</v>
      </c>
    </row>
    <row r="98" spans="1:12" x14ac:dyDescent="0.35">
      <c r="A98" s="16" t="s">
        <v>147</v>
      </c>
      <c r="B98" s="53">
        <v>0</v>
      </c>
      <c r="C98" s="53" t="s">
        <v>73</v>
      </c>
      <c r="D98" s="53">
        <v>1</v>
      </c>
      <c r="E98" s="53" t="s">
        <v>72</v>
      </c>
      <c r="F98" s="53">
        <v>3</v>
      </c>
      <c r="G98" s="53" t="s">
        <v>82</v>
      </c>
      <c r="H98" s="17">
        <f ca="1">--TRIM(RIGHT(SUBSTITUTE(LEFT(C97,_xlfn.AGGREGATE(16,6,FIND({0,1,2,3,4,5,6,7,8,9},C97,ROW(INDIRECT("1:"&amp;LEN(C97)))),1))," ",REPT(" ",LEN(C97))),LEN(C97)))</f>
        <v>41</v>
      </c>
      <c r="I98" s="50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51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2" ht="31.15" customHeight="1" x14ac:dyDescent="0.35">
      <c r="A99" s="134" t="s">
        <v>92</v>
      </c>
      <c r="B99" s="135"/>
      <c r="C99" s="110" t="str">
        <f ca="1">(IF($G$54="NA",I97,"All work Completed. OC Received."))</f>
        <v>Excavation, Plinth Completed, RCC upto 39 Slab, Brickwork upto 38 Floor, Internal Plaster upto 28.5 Floor, External Plaster upto 28.5 Floor Completed</v>
      </c>
      <c r="D99" s="110"/>
      <c r="E99" s="110"/>
      <c r="F99" s="110"/>
      <c r="G99" s="110"/>
      <c r="H99" s="111"/>
      <c r="I99" s="50" t="str">
        <f ca="1">IF(I98&lt;&gt;""," Completed","")</f>
        <v xml:space="preserve"> Completed</v>
      </c>
      <c r="J99" s="51" t="str">
        <f ca="1">IF(J97&lt;&gt;"","Completed","")</f>
        <v>Completed</v>
      </c>
    </row>
    <row r="100" spans="1:12" ht="15.75" customHeight="1" x14ac:dyDescent="0.35">
      <c r="A100" s="114" t="s">
        <v>49</v>
      </c>
      <c r="B100" s="115"/>
      <c r="C100" s="44" t="s">
        <v>144</v>
      </c>
      <c r="D100" s="44" t="s">
        <v>85</v>
      </c>
      <c r="E100" s="115" t="s">
        <v>87</v>
      </c>
      <c r="F100" s="115"/>
      <c r="G100" s="115" t="s">
        <v>86</v>
      </c>
      <c r="H100" s="186"/>
      <c r="I100" s="14" t="s">
        <v>146</v>
      </c>
      <c r="J100" s="28">
        <f ca="1">H98*25%</f>
        <v>10.25</v>
      </c>
    </row>
    <row r="101" spans="1:12" x14ac:dyDescent="0.35">
      <c r="A101" s="114" t="s">
        <v>133</v>
      </c>
      <c r="B101" s="115"/>
      <c r="C101" s="44">
        <f ca="1">J102</f>
        <v>41</v>
      </c>
      <c r="D101" s="19">
        <f ca="1">((100/H98)*C101)/100</f>
        <v>1</v>
      </c>
      <c r="E101" s="74">
        <f ca="1">(((C102/H98*10)+(40/(D98+F98+H98)*C103)+(7.5/(H98)*C104)+(7.5/(H98)*C105)+(10/H98*C106)+(10/H98*C107)+(5/H98*C108)+(5/H98*C109)+(5/H98*C110))/100)</f>
        <v>0.63782520325203251</v>
      </c>
      <c r="F101" s="80"/>
      <c r="G101" s="74">
        <f ca="1">((((C101/H98)*20)+((C102/H98)*25)+(30/(H98+F98+D98)*C103)+(5/H98*C104)+(5/H98*C105)+(5/H98*C106)+(5/H98*C107)+(0/H98*C108)+(0/H98*C109)+(5/H98*C110))/100)</f>
        <v>0.82585365853658532</v>
      </c>
      <c r="H101" s="75"/>
      <c r="I101" s="14" t="s">
        <v>103</v>
      </c>
      <c r="J101" s="29">
        <f ca="1">H98*50%</f>
        <v>20.5</v>
      </c>
    </row>
    <row r="102" spans="1:12" x14ac:dyDescent="0.35">
      <c r="A102" s="114" t="s">
        <v>50</v>
      </c>
      <c r="B102" s="115"/>
      <c r="C102" s="54">
        <f ca="1">J110</f>
        <v>41</v>
      </c>
      <c r="D102" s="19">
        <f ca="1">((100/H98)*C102)/100</f>
        <v>1</v>
      </c>
      <c r="E102" s="76"/>
      <c r="F102" s="81"/>
      <c r="G102" s="76"/>
      <c r="H102" s="77"/>
      <c r="I102" s="14" t="s">
        <v>104</v>
      </c>
      <c r="J102" s="29">
        <f ca="1">H98</f>
        <v>41</v>
      </c>
    </row>
    <row r="103" spans="1:12" ht="15.75" customHeight="1" x14ac:dyDescent="0.35">
      <c r="A103" s="114" t="s">
        <v>134</v>
      </c>
      <c r="B103" s="115"/>
      <c r="C103" s="44">
        <f>F98+36</f>
        <v>39</v>
      </c>
      <c r="D103" s="19">
        <f ca="1">((100/(D98+F98+H98))*C103)/100</f>
        <v>0.8666666666666667</v>
      </c>
      <c r="E103" s="76"/>
      <c r="F103" s="81"/>
      <c r="G103" s="76"/>
      <c r="H103" s="77"/>
      <c r="I103" s="14" t="s">
        <v>105</v>
      </c>
      <c r="J103" s="30">
        <f ca="1">(IF(B98&gt;1,(H98/(B98+2)),H98/4))</f>
        <v>10.25</v>
      </c>
    </row>
    <row r="104" spans="1:12" ht="15.75" customHeight="1" x14ac:dyDescent="0.35">
      <c r="A104" s="114" t="s">
        <v>141</v>
      </c>
      <c r="B104" s="115" t="s">
        <v>135</v>
      </c>
      <c r="C104" s="44">
        <f>C103-1</f>
        <v>38</v>
      </c>
      <c r="D104" s="19">
        <f ca="1">((100/H98)*C104)/100</f>
        <v>0.92682926829268297</v>
      </c>
      <c r="E104" s="76"/>
      <c r="F104" s="81"/>
      <c r="G104" s="76"/>
      <c r="H104" s="77"/>
      <c r="I104" s="14" t="s">
        <v>106</v>
      </c>
      <c r="J104" s="30">
        <f ca="1">(IF(B98&gt;1,(H98/(B98+2)+J103),H98/4+J103))</f>
        <v>20.5</v>
      </c>
    </row>
    <row r="105" spans="1:12" ht="15.75" customHeight="1" x14ac:dyDescent="0.35">
      <c r="A105" s="114" t="s">
        <v>142</v>
      </c>
      <c r="B105" s="115" t="s">
        <v>135</v>
      </c>
      <c r="C105" s="54">
        <f>C104*0.75</f>
        <v>28.5</v>
      </c>
      <c r="D105" s="19">
        <f ca="1">((100/H98)*C105)/100</f>
        <v>0.69512195121951226</v>
      </c>
      <c r="E105" s="76"/>
      <c r="F105" s="81"/>
      <c r="G105" s="76"/>
      <c r="H105" s="77"/>
      <c r="I105" s="14" t="s">
        <v>151</v>
      </c>
      <c r="J105" s="30">
        <f>(IF(B98&gt;1,(H98/(B98+2)+J104),0))</f>
        <v>0</v>
      </c>
    </row>
    <row r="106" spans="1:12" ht="15" customHeight="1" x14ac:dyDescent="0.35">
      <c r="A106" s="114" t="s">
        <v>140</v>
      </c>
      <c r="B106" s="115" t="s">
        <v>137</v>
      </c>
      <c r="C106" s="54">
        <f>C105</f>
        <v>28.5</v>
      </c>
      <c r="D106" s="19">
        <f ca="1">((100/(H98))*C106)/100</f>
        <v>0.69512195121951226</v>
      </c>
      <c r="E106" s="76"/>
      <c r="F106" s="81"/>
      <c r="G106" s="76"/>
      <c r="H106" s="77"/>
      <c r="I106" s="14" t="s">
        <v>148</v>
      </c>
      <c r="J106" s="30">
        <f>(IF(B98&gt;2,(H98/(B98+2)+J105),0))</f>
        <v>0</v>
      </c>
    </row>
    <row r="107" spans="1:12" ht="15.75" customHeight="1" x14ac:dyDescent="0.35">
      <c r="A107" s="114" t="s">
        <v>136</v>
      </c>
      <c r="B107" s="115" t="s">
        <v>136</v>
      </c>
      <c r="C107" s="44">
        <v>0</v>
      </c>
      <c r="D107" s="19">
        <f ca="1">((100/H98)*C107)/100</f>
        <v>0</v>
      </c>
      <c r="E107" s="76"/>
      <c r="F107" s="81"/>
      <c r="G107" s="76"/>
      <c r="H107" s="77"/>
      <c r="I107" s="14" t="s">
        <v>149</v>
      </c>
      <c r="J107" s="31">
        <f>(IF(B98&gt;3,(H98/(B98+2)+J106),0))</f>
        <v>0</v>
      </c>
    </row>
    <row r="108" spans="1:12" ht="15.75" customHeight="1" x14ac:dyDescent="0.35">
      <c r="A108" s="114" t="s">
        <v>143</v>
      </c>
      <c r="B108" s="115"/>
      <c r="C108" s="44">
        <v>0</v>
      </c>
      <c r="D108" s="19">
        <f ca="1">((100/H98)*C108)/100</f>
        <v>0</v>
      </c>
      <c r="E108" s="76"/>
      <c r="F108" s="81"/>
      <c r="G108" s="76"/>
      <c r="H108" s="77"/>
      <c r="I108" s="14" t="s">
        <v>150</v>
      </c>
      <c r="J108" s="30">
        <f>(IF(B98&gt;4,(H98/(B98+2)+J107),0))</f>
        <v>0</v>
      </c>
    </row>
    <row r="109" spans="1:12" ht="15.75" customHeight="1" x14ac:dyDescent="0.35">
      <c r="A109" s="114" t="s">
        <v>138</v>
      </c>
      <c r="B109" s="115" t="s">
        <v>138</v>
      </c>
      <c r="C109" s="44">
        <v>0</v>
      </c>
      <c r="D109" s="19">
        <f ca="1">((100/(H98))*C109)/100</f>
        <v>0</v>
      </c>
      <c r="E109" s="76"/>
      <c r="F109" s="81"/>
      <c r="G109" s="76"/>
      <c r="H109" s="77"/>
      <c r="I109" s="14" t="s">
        <v>152</v>
      </c>
      <c r="J109" s="30">
        <f ca="1">(IF(B98=1,(H98/(B98+3)+J104),IF(B98=0,(H98/4+J104),IF(B98&gt;1,0))))</f>
        <v>30.75</v>
      </c>
    </row>
    <row r="110" spans="1:12" ht="16" thickBot="1" x14ac:dyDescent="0.4">
      <c r="A110" s="151" t="s">
        <v>139</v>
      </c>
      <c r="B110" s="152"/>
      <c r="C110" s="45">
        <v>0</v>
      </c>
      <c r="D110" s="20">
        <f ca="1">((100/(H98))*C110)/100</f>
        <v>0</v>
      </c>
      <c r="E110" s="78"/>
      <c r="F110" s="82"/>
      <c r="G110" s="78"/>
      <c r="H110" s="79"/>
      <c r="I110" s="15" t="s">
        <v>107</v>
      </c>
      <c r="J110" s="32">
        <f ca="1">(IF(B98&gt;1.5,(H98/(B98+2)+J104+MAX(0,J105-J104)+MAX(0,J106-J105)+MAX(0,J107-J106)+MAX(0,J108-J107)+MAX(0,J109-J108)),IF(B98=1,(H98/(B98+3)+J109),IF(B98=0,H98/4+J109))))</f>
        <v>41</v>
      </c>
    </row>
    <row r="111" spans="1:12" x14ac:dyDescent="0.35">
      <c r="A111" s="178" t="s">
        <v>161</v>
      </c>
      <c r="B111" s="178"/>
      <c r="C111" s="178"/>
      <c r="D111" s="178"/>
      <c r="E111" s="178"/>
      <c r="F111" s="179" t="s">
        <v>165</v>
      </c>
      <c r="G111" s="179"/>
      <c r="H111" s="179"/>
      <c r="I111" s="21" t="s">
        <v>254</v>
      </c>
      <c r="J111" s="21" t="s">
        <v>255</v>
      </c>
      <c r="K111" s="25">
        <v>45525</v>
      </c>
      <c r="L111" s="21" t="s">
        <v>256</v>
      </c>
    </row>
    <row r="112" spans="1:12" x14ac:dyDescent="0.35">
      <c r="A112" s="92" t="s">
        <v>163</v>
      </c>
      <c r="B112" s="92"/>
      <c r="C112" s="92"/>
      <c r="D112" s="92"/>
      <c r="E112" s="92"/>
      <c r="F112" s="91">
        <v>13200</v>
      </c>
      <c r="G112" s="91"/>
      <c r="H112" s="91"/>
      <c r="I112" s="21" t="s">
        <v>265</v>
      </c>
    </row>
    <row r="113" spans="1:13" hidden="1" x14ac:dyDescent="0.35">
      <c r="A113" s="92" t="s">
        <v>162</v>
      </c>
      <c r="B113" s="92"/>
      <c r="C113" s="92"/>
      <c r="D113" s="92"/>
      <c r="E113" s="92"/>
      <c r="F113" s="91"/>
      <c r="G113" s="91"/>
      <c r="H113" s="91"/>
      <c r="J113" s="21" t="s">
        <v>211</v>
      </c>
      <c r="L113" s="21" t="s">
        <v>212</v>
      </c>
      <c r="M113" s="21">
        <v>11900</v>
      </c>
    </row>
    <row r="114" spans="1:13" hidden="1" x14ac:dyDescent="0.35">
      <c r="A114" s="92" t="s">
        <v>164</v>
      </c>
      <c r="B114" s="92"/>
      <c r="C114" s="92"/>
      <c r="D114" s="92"/>
      <c r="E114" s="92"/>
      <c r="F114" s="91"/>
      <c r="G114" s="91"/>
      <c r="H114" s="91"/>
    </row>
    <row r="115" spans="1:13" s="33" customFormat="1" x14ac:dyDescent="0.3">
      <c r="A115" s="92" t="s">
        <v>263</v>
      </c>
      <c r="B115" s="92"/>
      <c r="C115" s="92"/>
      <c r="D115" s="92"/>
      <c r="E115" s="92"/>
      <c r="F115" s="91">
        <v>35</v>
      </c>
      <c r="G115" s="91"/>
      <c r="H115" s="91"/>
      <c r="I115" s="33" t="s">
        <v>262</v>
      </c>
      <c r="J115" s="33">
        <v>11600</v>
      </c>
      <c r="L115" s="33">
        <v>9500</v>
      </c>
    </row>
    <row r="116" spans="1:13" s="33" customFormat="1" x14ac:dyDescent="0.3">
      <c r="A116" s="92" t="s">
        <v>97</v>
      </c>
      <c r="B116" s="92"/>
      <c r="C116" s="92"/>
      <c r="D116" s="92"/>
      <c r="E116" s="92"/>
      <c r="F116" s="91">
        <v>500000</v>
      </c>
      <c r="G116" s="91"/>
      <c r="H116" s="91"/>
      <c r="I116" s="117" t="s">
        <v>218</v>
      </c>
      <c r="J116" s="118"/>
      <c r="K116" s="58">
        <v>45045</v>
      </c>
      <c r="L116" s="33" t="s">
        <v>219</v>
      </c>
    </row>
    <row r="117" spans="1:13" s="33" customFormat="1" x14ac:dyDescent="0.3">
      <c r="A117" s="92" t="s">
        <v>98</v>
      </c>
      <c r="B117" s="92"/>
      <c r="C117" s="92"/>
      <c r="D117" s="92"/>
      <c r="E117" s="92"/>
      <c r="F117" s="91">
        <v>250000</v>
      </c>
      <c r="G117" s="91"/>
      <c r="H117" s="91"/>
    </row>
    <row r="118" spans="1:13" s="33" customFormat="1" hidden="1" x14ac:dyDescent="0.3">
      <c r="A118" s="92" t="s">
        <v>166</v>
      </c>
      <c r="B118" s="92"/>
      <c r="C118" s="92"/>
      <c r="D118" s="92"/>
      <c r="E118" s="92"/>
      <c r="F118" s="91">
        <v>20000</v>
      </c>
      <c r="G118" s="91"/>
      <c r="H118" s="91"/>
      <c r="J118" s="33">
        <f>21504286-1400000</f>
        <v>20104286</v>
      </c>
      <c r="K118" s="57">
        <f>J118/1885</f>
        <v>10665.403713527852</v>
      </c>
      <c r="L118" s="33">
        <f>22453699+435704</f>
        <v>22889403</v>
      </c>
    </row>
    <row r="119" spans="1:13" s="33" customFormat="1" hidden="1" x14ac:dyDescent="0.3">
      <c r="A119" s="92" t="s">
        <v>99</v>
      </c>
      <c r="B119" s="92"/>
      <c r="C119" s="92"/>
      <c r="D119" s="92"/>
      <c r="E119" s="92"/>
      <c r="F119" s="91"/>
      <c r="G119" s="91"/>
      <c r="H119" s="91"/>
    </row>
    <row r="120" spans="1:13" s="33" customFormat="1" x14ac:dyDescent="0.3">
      <c r="A120" s="92" t="s">
        <v>208</v>
      </c>
      <c r="B120" s="92"/>
      <c r="C120" s="92"/>
      <c r="D120" s="92"/>
      <c r="E120" s="92"/>
      <c r="F120" s="91">
        <v>100000</v>
      </c>
      <c r="G120" s="91"/>
      <c r="H120" s="91"/>
      <c r="K120" s="55"/>
    </row>
    <row r="121" spans="1:13" s="33" customFormat="1" x14ac:dyDescent="0.3">
      <c r="A121" s="92" t="s">
        <v>100</v>
      </c>
      <c r="B121" s="92"/>
      <c r="C121" s="92"/>
      <c r="D121" s="92"/>
      <c r="E121" s="92"/>
      <c r="F121" s="91">
        <v>20000</v>
      </c>
      <c r="G121" s="91"/>
      <c r="H121" s="91"/>
      <c r="K121" s="55"/>
    </row>
    <row r="122" spans="1:13" s="33" customFormat="1" hidden="1" x14ac:dyDescent="0.3">
      <c r="A122" s="92" t="s">
        <v>101</v>
      </c>
      <c r="B122" s="92"/>
      <c r="C122" s="92"/>
      <c r="D122" s="92"/>
      <c r="E122" s="92"/>
      <c r="F122" s="91"/>
      <c r="G122" s="91"/>
      <c r="H122" s="91"/>
    </row>
    <row r="123" spans="1:13" s="33" customFormat="1" x14ac:dyDescent="0.3">
      <c r="A123" s="92" t="s">
        <v>207</v>
      </c>
      <c r="B123" s="92"/>
      <c r="C123" s="92"/>
      <c r="D123" s="92"/>
      <c r="E123" s="92"/>
      <c r="F123" s="91">
        <v>120000</v>
      </c>
      <c r="G123" s="91"/>
      <c r="H123" s="91"/>
      <c r="I123" s="33">
        <f>25*31</f>
        <v>775</v>
      </c>
      <c r="J123" s="56"/>
    </row>
    <row r="124" spans="1:13" s="33" customFormat="1" x14ac:dyDescent="0.3">
      <c r="A124" s="92" t="s">
        <v>102</v>
      </c>
      <c r="B124" s="92"/>
      <c r="C124" s="92"/>
      <c r="D124" s="92"/>
      <c r="E124" s="92"/>
      <c r="F124" s="91">
        <v>120000</v>
      </c>
      <c r="G124" s="91"/>
      <c r="H124" s="91"/>
    </row>
    <row r="125" spans="1:13" s="33" customFormat="1" x14ac:dyDescent="0.3">
      <c r="A125" s="92" t="s">
        <v>209</v>
      </c>
      <c r="B125" s="92"/>
      <c r="C125" s="92"/>
      <c r="D125" s="92"/>
      <c r="E125" s="92"/>
      <c r="F125" s="91">
        <v>120000</v>
      </c>
      <c r="G125" s="91"/>
      <c r="H125" s="91"/>
    </row>
    <row r="126" spans="1:13" x14ac:dyDescent="0.35">
      <c r="A126" s="92" t="s">
        <v>51</v>
      </c>
      <c r="B126" s="92"/>
      <c r="C126" s="92"/>
      <c r="D126" s="92"/>
      <c r="E126" s="92"/>
      <c r="F126" s="91">
        <v>700000</v>
      </c>
      <c r="G126" s="91"/>
      <c r="H126" s="91"/>
      <c r="L126" s="24"/>
    </row>
    <row r="127" spans="1:13" s="34" customFormat="1" x14ac:dyDescent="0.35">
      <c r="A127" s="116" t="s">
        <v>52</v>
      </c>
      <c r="B127" s="116"/>
      <c r="C127" s="116"/>
      <c r="D127" s="116"/>
      <c r="E127" s="116"/>
      <c r="F127" s="91">
        <f>F112*0.8</f>
        <v>10560</v>
      </c>
      <c r="G127" s="91"/>
      <c r="H127" s="91"/>
    </row>
    <row r="128" spans="1:13" s="35" customFormat="1" ht="15.75" hidden="1" customHeight="1" x14ac:dyDescent="0.35">
      <c r="A128" s="141" t="s">
        <v>77</v>
      </c>
      <c r="B128" s="141"/>
      <c r="C128" s="141"/>
      <c r="D128" s="141"/>
      <c r="E128" s="141"/>
      <c r="F128" s="141"/>
      <c r="G128" s="141"/>
      <c r="H128" s="141"/>
    </row>
    <row r="129" spans="1:14" s="35" customFormat="1" ht="15.75" hidden="1" customHeight="1" x14ac:dyDescent="0.35">
      <c r="A129" s="105" t="s">
        <v>53</v>
      </c>
      <c r="B129" s="105"/>
      <c r="C129" s="142" t="s">
        <v>80</v>
      </c>
      <c r="D129" s="142"/>
      <c r="E129" s="104" t="s">
        <v>54</v>
      </c>
      <c r="F129" s="104"/>
      <c r="G129" s="105" t="s">
        <v>55</v>
      </c>
      <c r="H129" s="105"/>
    </row>
    <row r="130" spans="1:14" s="35" customFormat="1" hidden="1" x14ac:dyDescent="0.35">
      <c r="A130" s="106"/>
      <c r="B130" s="106"/>
      <c r="C130" s="138"/>
      <c r="D130" s="138"/>
      <c r="E130" s="139"/>
      <c r="F130" s="139"/>
      <c r="G130" s="140"/>
      <c r="H130" s="140"/>
    </row>
    <row r="131" spans="1:14" s="35" customFormat="1" hidden="1" x14ac:dyDescent="0.35">
      <c r="A131" s="106"/>
      <c r="B131" s="106"/>
      <c r="C131" s="138"/>
      <c r="D131" s="138"/>
      <c r="E131" s="139"/>
      <c r="F131" s="139"/>
      <c r="G131" s="140"/>
      <c r="H131" s="140"/>
    </row>
    <row r="132" spans="1:14" s="35" customFormat="1" hidden="1" x14ac:dyDescent="0.35">
      <c r="A132" s="141" t="s">
        <v>155</v>
      </c>
      <c r="B132" s="141"/>
      <c r="C132" s="142"/>
      <c r="D132" s="142"/>
      <c r="E132" s="104"/>
      <c r="F132" s="104"/>
      <c r="G132" s="105"/>
      <c r="H132" s="105"/>
    </row>
    <row r="133" spans="1:14" s="35" customFormat="1" x14ac:dyDescent="0.35">
      <c r="A133" s="141" t="s">
        <v>71</v>
      </c>
      <c r="B133" s="141"/>
      <c r="C133" s="141"/>
      <c r="D133" s="141"/>
      <c r="E133" s="141"/>
      <c r="F133" s="141"/>
      <c r="G133" s="141"/>
      <c r="H133" s="141"/>
    </row>
    <row r="134" spans="1:14" s="35" customFormat="1" ht="15.75" customHeight="1" x14ac:dyDescent="0.35">
      <c r="A134" s="105" t="s">
        <v>53</v>
      </c>
      <c r="B134" s="105"/>
      <c r="C134" s="142" t="s">
        <v>80</v>
      </c>
      <c r="D134" s="142"/>
      <c r="E134" s="104" t="s">
        <v>54</v>
      </c>
      <c r="F134" s="104"/>
      <c r="G134" s="105" t="s">
        <v>55</v>
      </c>
      <c r="H134" s="105"/>
    </row>
    <row r="135" spans="1:14" s="35" customFormat="1" x14ac:dyDescent="0.35">
      <c r="A135" s="106" t="s">
        <v>244</v>
      </c>
      <c r="B135" s="106"/>
      <c r="C135" s="143">
        <f>COUNT(D154:D157)+COUNT(D159:D162)*30+COUNT(D169:D170,D172:D173)*8+COUNT(D175:D176)*2</f>
        <v>160</v>
      </c>
      <c r="D135" s="143"/>
      <c r="E135" s="143">
        <f>SUM(D154:D157)+SUM(D159:D162)*30+SUM(D169:D170,D172:D173)*8+SUM(D175:D176)*2</f>
        <v>124237.65205799998</v>
      </c>
      <c r="F135" s="143"/>
      <c r="G135" s="143">
        <f>SUM(F154:F157)+SUM(F159:F162)*30+SUM(F169:F170,F172:F173)*8+SUM(F175:F176)*2</f>
        <v>192568.3606899</v>
      </c>
      <c r="H135" s="143"/>
    </row>
    <row r="136" spans="1:14" s="35" customFormat="1" x14ac:dyDescent="0.35">
      <c r="A136" s="106" t="s">
        <v>201</v>
      </c>
      <c r="B136" s="106"/>
      <c r="C136" s="143">
        <f>COUNT(D180:D183)+COUNT(D185:D188)*30+COUNT(D190:D192)*7</f>
        <v>145</v>
      </c>
      <c r="D136" s="143"/>
      <c r="E136" s="143">
        <f>SUM(D180:D183)+SUM(D185:D188)*30+SUM(D190:D192)*7</f>
        <v>106749.73108799999</v>
      </c>
      <c r="F136" s="143"/>
      <c r="G136" s="143">
        <f>SUM(F180:F183)+SUM(F185:F188)*30+SUM(F190:F192)*7</f>
        <v>165462.08318639998</v>
      </c>
      <c r="H136" s="143"/>
    </row>
    <row r="137" spans="1:14" s="35" customFormat="1" x14ac:dyDescent="0.35">
      <c r="A137" s="106" t="s">
        <v>202</v>
      </c>
      <c r="B137" s="106"/>
      <c r="C137" s="143">
        <f>COUNT(D199:D201)+COUNT(D203:D205)*27+COUNT(D207:D209)*4+COUNT(D211:D212)*7+COUNT(D215:D216)</f>
        <v>112</v>
      </c>
      <c r="D137" s="143"/>
      <c r="E137" s="144">
        <f>SUM(D199:D201)+SUM(D203:D205)*27+SUM(D207:D209)*4+SUM(D211:D212)*7+SUM(D215:D216)</f>
        <v>106657.84958399998</v>
      </c>
      <c r="F137" s="144"/>
      <c r="G137" s="144">
        <f>SUM(F199:F201)+SUM(F203:F205)*27+SUM(F207:F209)*4+SUM(F211:F212)*7+SUM(F215:F216)</f>
        <v>165319.66685519996</v>
      </c>
      <c r="H137" s="144"/>
    </row>
    <row r="138" spans="1:14" s="35" customFormat="1" x14ac:dyDescent="0.35">
      <c r="A138" s="141" t="s">
        <v>155</v>
      </c>
      <c r="B138" s="141"/>
      <c r="C138" s="137">
        <f>C135+C136+C137</f>
        <v>417</v>
      </c>
      <c r="D138" s="137"/>
      <c r="E138" s="137">
        <f t="shared" ref="E138" si="0">E135+E136+E137</f>
        <v>337645.23272999993</v>
      </c>
      <c r="F138" s="137"/>
      <c r="G138" s="137">
        <f t="shared" ref="G138" si="1">G135+G136+G137</f>
        <v>523350.11073149997</v>
      </c>
      <c r="H138" s="137"/>
    </row>
    <row r="139" spans="1:14" s="34" customFormat="1" x14ac:dyDescent="0.35">
      <c r="A139" s="124" t="s">
        <v>56</v>
      </c>
      <c r="B139" s="124"/>
      <c r="C139" s="124"/>
      <c r="D139" s="124"/>
      <c r="E139" s="124"/>
      <c r="F139" s="124"/>
      <c r="G139" s="124"/>
      <c r="H139" s="124"/>
    </row>
    <row r="140" spans="1:14" x14ac:dyDescent="0.35">
      <c r="A140" s="124" t="s">
        <v>57</v>
      </c>
      <c r="B140" s="124"/>
      <c r="C140" s="124"/>
      <c r="D140" s="124"/>
      <c r="E140" s="124"/>
      <c r="F140" s="124"/>
      <c r="G140" s="124"/>
      <c r="H140" s="124"/>
    </row>
    <row r="141" spans="1:14" ht="47.25" hidden="1" customHeight="1" x14ac:dyDescent="0.35">
      <c r="A141" s="120" t="s">
        <v>124</v>
      </c>
      <c r="B141" s="120" t="s">
        <v>123</v>
      </c>
      <c r="C141" s="120" t="s">
        <v>58</v>
      </c>
      <c r="D141" s="120" t="s">
        <v>59</v>
      </c>
      <c r="E141" s="147" t="s">
        <v>160</v>
      </c>
      <c r="F141" s="43" t="s">
        <v>154</v>
      </c>
      <c r="G141" s="122" t="s">
        <v>61</v>
      </c>
      <c r="H141" s="149"/>
    </row>
    <row r="142" spans="1:14" s="37" customFormat="1" hidden="1" x14ac:dyDescent="0.35">
      <c r="A142" s="121"/>
      <c r="B142" s="121"/>
      <c r="C142" s="121"/>
      <c r="D142" s="121"/>
      <c r="E142" s="148"/>
      <c r="F142" s="13">
        <v>0.6</v>
      </c>
      <c r="G142" s="123"/>
      <c r="H142" s="150"/>
    </row>
    <row r="143" spans="1:14" s="37" customFormat="1" hidden="1" x14ac:dyDescent="0.35">
      <c r="A143" s="101" t="s">
        <v>122</v>
      </c>
      <c r="B143" s="102"/>
      <c r="C143" s="102"/>
      <c r="D143" s="102"/>
      <c r="E143" s="102"/>
      <c r="F143" s="102"/>
      <c r="G143" s="102"/>
      <c r="H143" s="103"/>
      <c r="J143" s="36"/>
    </row>
    <row r="144" spans="1:14" s="37" customFormat="1" hidden="1" x14ac:dyDescent="0.35">
      <c r="A144" s="93">
        <v>1</v>
      </c>
      <c r="B144" s="94"/>
      <c r="C144" s="42"/>
      <c r="D144" s="42"/>
      <c r="E144" s="42">
        <v>0</v>
      </c>
      <c r="F144" s="42">
        <f>(D144+E144)*(($F$142)+1)</f>
        <v>0</v>
      </c>
      <c r="G144" s="93" t="str">
        <f>A143</f>
        <v>Ground Floor</v>
      </c>
      <c r="H144" s="94"/>
      <c r="I144" s="36"/>
      <c r="L144" s="89"/>
      <c r="M144" s="89"/>
      <c r="N144" s="36"/>
    </row>
    <row r="145" spans="1:14" s="37" customFormat="1" hidden="1" x14ac:dyDescent="0.35">
      <c r="A145" s="93">
        <f t="shared" ref="A145:A147" si="2">A144+1</f>
        <v>2</v>
      </c>
      <c r="B145" s="94"/>
      <c r="C145" s="42"/>
      <c r="D145" s="42"/>
      <c r="E145" s="42">
        <v>0</v>
      </c>
      <c r="F145" s="42">
        <f t="shared" ref="F145:F147" si="3">(D145+E145)*(($F$142)+1)</f>
        <v>0</v>
      </c>
      <c r="G145" s="93" t="str">
        <f t="shared" ref="G145:G147" si="4">G144</f>
        <v>Ground Floor</v>
      </c>
      <c r="H145" s="94"/>
      <c r="I145" s="36"/>
      <c r="L145" s="89"/>
      <c r="M145" s="89"/>
      <c r="N145" s="36"/>
    </row>
    <row r="146" spans="1:14" s="37" customFormat="1" hidden="1" x14ac:dyDescent="0.35">
      <c r="A146" s="93">
        <f t="shared" si="2"/>
        <v>3</v>
      </c>
      <c r="B146" s="94"/>
      <c r="C146" s="42"/>
      <c r="D146" s="42"/>
      <c r="E146" s="42">
        <v>0</v>
      </c>
      <c r="F146" s="42">
        <f t="shared" si="3"/>
        <v>0</v>
      </c>
      <c r="G146" s="93" t="str">
        <f t="shared" si="4"/>
        <v>Ground Floor</v>
      </c>
      <c r="H146" s="94"/>
      <c r="I146" s="36"/>
      <c r="L146" s="89"/>
      <c r="M146" s="89"/>
      <c r="N146" s="36"/>
    </row>
    <row r="147" spans="1:14" s="37" customFormat="1" hidden="1" x14ac:dyDescent="0.35">
      <c r="A147" s="93">
        <f t="shared" si="2"/>
        <v>4</v>
      </c>
      <c r="B147" s="94"/>
      <c r="C147" s="42"/>
      <c r="D147" s="42"/>
      <c r="E147" s="42">
        <v>0</v>
      </c>
      <c r="F147" s="42">
        <f t="shared" si="3"/>
        <v>0</v>
      </c>
      <c r="G147" s="93" t="str">
        <f t="shared" si="4"/>
        <v>Ground Floor</v>
      </c>
      <c r="H147" s="94"/>
      <c r="I147" s="36"/>
      <c r="L147" s="89"/>
      <c r="M147" s="89"/>
      <c r="N147" s="36"/>
    </row>
    <row r="148" spans="1:14" s="37" customFormat="1" hidden="1" x14ac:dyDescent="0.35">
      <c r="A148" s="93"/>
      <c r="B148" s="136"/>
      <c r="C148" s="136"/>
      <c r="D148" s="136"/>
      <c r="E148" s="136"/>
      <c r="F148" s="136"/>
      <c r="G148" s="136"/>
      <c r="H148" s="94"/>
      <c r="I148" s="36"/>
      <c r="N148" s="36"/>
    </row>
    <row r="149" spans="1:14" ht="47.25" customHeight="1" x14ac:dyDescent="0.35">
      <c r="A149" s="122" t="s">
        <v>125</v>
      </c>
      <c r="B149" s="122" t="s">
        <v>126</v>
      </c>
      <c r="C149" s="120" t="s">
        <v>58</v>
      </c>
      <c r="D149" s="120" t="s">
        <v>59</v>
      </c>
      <c r="E149" s="147" t="s">
        <v>60</v>
      </c>
      <c r="F149" s="43" t="s">
        <v>154</v>
      </c>
      <c r="G149" s="122" t="s">
        <v>61</v>
      </c>
      <c r="H149" s="149"/>
      <c r="I149" s="36"/>
    </row>
    <row r="150" spans="1:14" s="37" customFormat="1" x14ac:dyDescent="0.35">
      <c r="A150" s="123"/>
      <c r="B150" s="123"/>
      <c r="C150" s="121"/>
      <c r="D150" s="121"/>
      <c r="E150" s="148"/>
      <c r="F150" s="13">
        <v>0.55000000000000004</v>
      </c>
      <c r="G150" s="123"/>
      <c r="H150" s="150"/>
      <c r="I150" s="36"/>
    </row>
    <row r="151" spans="1:14" s="37" customFormat="1" ht="15.75" customHeight="1" x14ac:dyDescent="0.35">
      <c r="A151" s="101" t="s">
        <v>239</v>
      </c>
      <c r="B151" s="102"/>
      <c r="C151" s="102"/>
      <c r="D151" s="102"/>
      <c r="E151" s="102"/>
      <c r="F151" s="102"/>
      <c r="G151" s="102"/>
      <c r="H151" s="103"/>
      <c r="J151" s="36"/>
    </row>
    <row r="152" spans="1:14" s="37" customFormat="1" ht="15.75" customHeight="1" x14ac:dyDescent="0.35">
      <c r="A152" s="101" t="s">
        <v>240</v>
      </c>
      <c r="B152" s="102"/>
      <c r="C152" s="102"/>
      <c r="D152" s="102"/>
      <c r="E152" s="102"/>
      <c r="F152" s="102"/>
      <c r="G152" s="102"/>
      <c r="H152" s="103"/>
      <c r="J152" s="52">
        <f>10.764</f>
        <v>10.763999999999999</v>
      </c>
    </row>
    <row r="153" spans="1:14" s="37" customFormat="1" x14ac:dyDescent="0.35">
      <c r="A153" s="113" t="s">
        <v>199</v>
      </c>
      <c r="B153" s="113"/>
      <c r="C153" s="113"/>
      <c r="D153" s="113"/>
      <c r="E153" s="113"/>
      <c r="F153" s="113"/>
      <c r="G153" s="113"/>
      <c r="H153" s="113"/>
      <c r="I153" s="36"/>
      <c r="L153" s="89"/>
      <c r="M153" s="89"/>
    </row>
    <row r="154" spans="1:14" s="37" customFormat="1" x14ac:dyDescent="0.35">
      <c r="A154" s="90">
        <v>1</v>
      </c>
      <c r="B154" s="90"/>
      <c r="C154" s="42" t="s">
        <v>194</v>
      </c>
      <c r="D154" s="52">
        <f>(6.43*2.89+2.2*3.02+4.18*2.76+5.33*2.99+1.2*2.71+1.35*2.4+1*1+1*2.5+1.03*2.2+1.57*0.9+1.14*3.19)*(10.764)</f>
        <v>753.5639592</v>
      </c>
      <c r="E154" s="42">
        <v>0</v>
      </c>
      <c r="F154" s="42">
        <f t="shared" ref="F154:F155" si="5">D154*(($F$150)+1)+(IF(E154&lt;101,E154,IF(E154&lt;201,E154/2,IF(E154&lt;=301,E154/3,E154/4))))</f>
        <v>1168.0241367599999</v>
      </c>
      <c r="G154" s="95" t="str">
        <f>A153</f>
        <v>1st Floor For Residential</v>
      </c>
      <c r="H154" s="96"/>
      <c r="I154" s="36"/>
      <c r="N154" s="36"/>
    </row>
    <row r="155" spans="1:14" s="37" customFormat="1" x14ac:dyDescent="0.35">
      <c r="A155" s="90">
        <f>A154+1</f>
        <v>2</v>
      </c>
      <c r="B155" s="90"/>
      <c r="C155" s="42" t="s">
        <v>194</v>
      </c>
      <c r="D155" s="52">
        <f>(6.43*2.89+2.2*3+4.18*2.76+5.33*2.99+1.35*2.71+1.35*2.4+1*1+1*2.5+1.03*2.2+1.69*0.9+1.14*3.14)*(10.764)</f>
        <v>758.01487320000001</v>
      </c>
      <c r="E155" s="42">
        <v>0</v>
      </c>
      <c r="F155" s="42">
        <f t="shared" si="5"/>
        <v>1174.9230534600001</v>
      </c>
      <c r="G155" s="97"/>
      <c r="H155" s="98"/>
      <c r="I155" s="36"/>
      <c r="N155" s="36"/>
    </row>
    <row r="156" spans="1:14" s="37" customFormat="1" x14ac:dyDescent="0.35">
      <c r="A156" s="90">
        <f>A155+1</f>
        <v>3</v>
      </c>
      <c r="B156" s="90"/>
      <c r="C156" s="42" t="s">
        <v>194</v>
      </c>
      <c r="D156" s="52">
        <f>(6.43*2.89+2.2*3.02+4.18*2.76+5.33*2.99+1.35*2.71+1.35*2.4+1*1+1*2.5+1.03*2.2+1.67*0.9+1.14*3.14)*(10.764)</f>
        <v>758.29473719999999</v>
      </c>
      <c r="E156" s="42">
        <v>0</v>
      </c>
      <c r="F156" s="42">
        <f>D156*(($F$150)+1)+(IF(E156&lt;101,E156,IF(E156&lt;201,E156/2,IF(E156&lt;=301,E156/3,E156/4))))</f>
        <v>1175.35684266</v>
      </c>
      <c r="G156" s="97"/>
      <c r="H156" s="98"/>
      <c r="I156" s="36"/>
      <c r="N156" s="36"/>
    </row>
    <row r="157" spans="1:14" s="37" customFormat="1" x14ac:dyDescent="0.35">
      <c r="A157" s="90">
        <f>A156+1</f>
        <v>4</v>
      </c>
      <c r="B157" s="90"/>
      <c r="C157" s="42" t="s">
        <v>194</v>
      </c>
      <c r="D157" s="52">
        <f>(6.43*2.89+2.1*3+4.18*2.76+5.33*2.99+1.2*2.71+1.35*2.4+1*1+1*2.5+1.03*2.1+1.565*0.9+1.14*3.14)*(10.764)</f>
        <v>748.09046520000004</v>
      </c>
      <c r="E157" s="42">
        <v>0</v>
      </c>
      <c r="F157" s="42">
        <f>D157*(($F$150)+1)+(IF(E157&lt;101,E157,IF(E157&lt;201,E157/2,IF(E157&lt;=301,E157/3,E157/4))))</f>
        <v>1159.54022106</v>
      </c>
      <c r="G157" s="97"/>
      <c r="H157" s="98"/>
      <c r="I157" s="36"/>
      <c r="N157" s="36"/>
    </row>
    <row r="158" spans="1:14" s="37" customFormat="1" ht="30.75" customHeight="1" x14ac:dyDescent="0.35">
      <c r="A158" s="101" t="s">
        <v>241</v>
      </c>
      <c r="B158" s="102"/>
      <c r="C158" s="102"/>
      <c r="D158" s="102"/>
      <c r="E158" s="102"/>
      <c r="F158" s="102"/>
      <c r="G158" s="102"/>
      <c r="H158" s="103"/>
      <c r="I158" s="36"/>
      <c r="J158" s="36">
        <f>14500000/0.75</f>
        <v>19333333.333333332</v>
      </c>
    </row>
    <row r="159" spans="1:14" s="37" customFormat="1" x14ac:dyDescent="0.35">
      <c r="A159" s="93">
        <v>1</v>
      </c>
      <c r="B159" s="94"/>
      <c r="C159" s="42" t="s">
        <v>194</v>
      </c>
      <c r="D159" s="52">
        <f>(6.43*2.89+2.2*3.02+4.18*2.76+5.33*2.99+1.2*2.71+1.35*2.4+1*1+1*2.5+1.03*2.2+1.57*0.9+1.14*3.19)*(10.764)</f>
        <v>753.5639592</v>
      </c>
      <c r="E159" s="42">
        <v>0</v>
      </c>
      <c r="F159" s="42">
        <f>D159*(($F$150)+1)+(IF(E159&lt;101,E159,IF(E159&lt;201,E159/2,IF(E159&lt;=301,E159/3,E159/4))))</f>
        <v>1168.0241367599999</v>
      </c>
      <c r="G159" s="95" t="str">
        <f>A158</f>
        <v>2nd to 3rd, 5th to 8th, 10th to 13th, 15th to 18th, 20th to 23rd, 25th to 28th, 30th to 33rd, 35th to 38th Floor For Residential</v>
      </c>
      <c r="H159" s="96"/>
      <c r="I159" s="36">
        <f>F162*13200</f>
        <v>15305930.917992</v>
      </c>
      <c r="J159" s="36"/>
    </row>
    <row r="160" spans="1:14" s="37" customFormat="1" x14ac:dyDescent="0.35">
      <c r="A160" s="93">
        <v>2</v>
      </c>
      <c r="B160" s="94"/>
      <c r="C160" s="42" t="s">
        <v>194</v>
      </c>
      <c r="D160" s="52">
        <f>(6.43*2.89+2.2*3+4.18*2.76+5.33*2.99+1.35*2.71+1.35*2.4+1*1+1*2.5+1.03*2.2+1.69*0.9+1.14*3.14)*(10.764)</f>
        <v>758.01487320000001</v>
      </c>
      <c r="E160" s="42">
        <v>0</v>
      </c>
      <c r="F160" s="42">
        <f>D160*(($F$150)+1)+(IF(E160&lt;101,E160,IF(E160&lt;201,E160/2,IF(E160&lt;=301,E160/3,E160/4))))</f>
        <v>1174.9230534600001</v>
      </c>
      <c r="G160" s="97"/>
      <c r="H160" s="98"/>
      <c r="I160" s="36">
        <f>13200*F162+SUM(F116:H126)+1085*F162</f>
        <v>18514032.057842098</v>
      </c>
      <c r="J160" s="64">
        <f>(13200+31*35)*F162+SUM(F116:H126)</f>
        <v>18514032.057842098</v>
      </c>
      <c r="K160" s="60">
        <f>J160+800000</f>
        <v>19314032.057842098</v>
      </c>
      <c r="L160" s="60">
        <f>J160-14500000</f>
        <v>4014032.0578420982</v>
      </c>
    </row>
    <row r="161" spans="1:14" s="37" customFormat="1" ht="15.75" customHeight="1" x14ac:dyDescent="0.35">
      <c r="A161" s="93">
        <v>3</v>
      </c>
      <c r="B161" s="94"/>
      <c r="C161" s="42" t="s">
        <v>194</v>
      </c>
      <c r="D161" s="52">
        <f>(6.43*2.89+2.2*3.02+4.18*2.76+5.33*2.99+1.35*2.71+1.35*2.4+1*1+1*2.5+1.03*2.2+1.67*0.9+1.14*3.14)*(10.764)</f>
        <v>758.29473719999999</v>
      </c>
      <c r="E161" s="42">
        <v>0</v>
      </c>
      <c r="F161" s="42">
        <f>D161*(($F$150)+1)+(IF(E161&lt;101,E161,IF(E161&lt;201,E161/2,IF(E161&lt;=301,E161/3,E161/4))))</f>
        <v>1175.35684266</v>
      </c>
      <c r="G161" s="97"/>
      <c r="H161" s="98"/>
      <c r="I161" s="62">
        <f>31*35</f>
        <v>1085</v>
      </c>
      <c r="J161" s="62">
        <f>I161*F162</f>
        <v>1258101.1398501</v>
      </c>
      <c r="K161" s="63">
        <v>14300</v>
      </c>
      <c r="L161" s="63">
        <f>K161-930</f>
        <v>13370</v>
      </c>
    </row>
    <row r="162" spans="1:14" s="37" customFormat="1" ht="15.75" customHeight="1" x14ac:dyDescent="0.35">
      <c r="A162" s="93">
        <v>4</v>
      </c>
      <c r="B162" s="94"/>
      <c r="C162" s="42" t="s">
        <v>194</v>
      </c>
      <c r="D162" s="52">
        <f>(6.43*2.89+2.1*3+4.18*2.76+5.33*2.99+1.2*2.71+1.35*2.4+1*1+1*2.5+1.03*2.1+1.565*0.9+1.14*3.14)*(10.764)</f>
        <v>748.09046520000004</v>
      </c>
      <c r="E162" s="42">
        <v>0</v>
      </c>
      <c r="F162" s="42">
        <f>D162*(($F$150)+1)+(IF(E162&lt;101,E162,IF(E162&lt;201,E162/2,IF(E162&lt;=301,E162/3,E162/4))))</f>
        <v>1159.54022106</v>
      </c>
      <c r="G162" s="99"/>
      <c r="H162" s="100"/>
      <c r="I162" s="62">
        <f>F162*F112+SUM(F116:H126)+1085+800000</f>
        <v>18057015.917992</v>
      </c>
      <c r="J162" s="62">
        <f>18500000-700000-1230000</f>
        <v>16570000</v>
      </c>
      <c r="K162" s="62">
        <f>J162/1160</f>
        <v>14284.48275862069</v>
      </c>
      <c r="L162" s="62">
        <f>K162-1085</f>
        <v>13199.48275862069</v>
      </c>
      <c r="M162" s="37">
        <f>17800000/F162</f>
        <v>15350.912091456416</v>
      </c>
    </row>
    <row r="163" spans="1:14" s="37" customFormat="1" hidden="1" x14ac:dyDescent="0.35">
      <c r="A163" s="107" t="s">
        <v>242</v>
      </c>
      <c r="B163" s="108"/>
      <c r="C163" s="108"/>
      <c r="D163" s="108"/>
      <c r="E163" s="108"/>
      <c r="F163" s="108"/>
      <c r="G163" s="108"/>
      <c r="H163" s="109"/>
      <c r="I163" s="36"/>
    </row>
    <row r="164" spans="1:14" s="37" customFormat="1" hidden="1" x14ac:dyDescent="0.35">
      <c r="A164" s="93">
        <v>1</v>
      </c>
      <c r="B164" s="94"/>
      <c r="C164" s="42" t="s">
        <v>194</v>
      </c>
      <c r="D164" s="52">
        <f>(6.43*2.89+2.2*3.02+4.18*2.76+5.33*2.99+1.2*2.71+1.35*2.4+1*1+1*2.5+1.03*2.2+1.57*0.9+1.14*3.19)*(10.764)</f>
        <v>753.5639592</v>
      </c>
      <c r="E164" s="42">
        <v>0</v>
      </c>
      <c r="F164" s="42">
        <f>D164*(($F$150)+1)+(IF(E164&lt;101,E164,IF(E164&lt;201,E164/2,IF(E164&lt;=301,E164/3,E164/4))))</f>
        <v>1168.0241367599999</v>
      </c>
      <c r="G164" s="95" t="str">
        <f>A163</f>
        <v>4th, 9th, 14th, 19th, 24th, 29th &amp; 34th Floor For Residential (Part Refuge Area)</v>
      </c>
      <c r="H164" s="96"/>
      <c r="I164" s="36"/>
    </row>
    <row r="165" spans="1:14" s="37" customFormat="1" hidden="1" x14ac:dyDescent="0.35">
      <c r="A165" s="93">
        <v>2</v>
      </c>
      <c r="B165" s="94"/>
      <c r="C165" s="42" t="s">
        <v>194</v>
      </c>
      <c r="D165" s="52">
        <f>(6.43*2.89+2.2*3+4.18*2.76+5.33*2.99+1.35*2.71+1.35*2.4+1*1+1*2.5+1.03*2.2+1.69*0.9+1.14*3.14)*(10.764)</f>
        <v>758.01487320000001</v>
      </c>
      <c r="E165" s="42">
        <v>0</v>
      </c>
      <c r="F165" s="42">
        <f>D165*(($F$150)+1)+(IF(E165&lt;101,E165,IF(E165&lt;201,E165/2,IF(E165&lt;=301,E165/3,E165/4))))</f>
        <v>1174.9230534600001</v>
      </c>
      <c r="G165" s="97"/>
      <c r="H165" s="98"/>
      <c r="I165" s="36"/>
    </row>
    <row r="166" spans="1:14" s="37" customFormat="1" ht="15.75" hidden="1" customHeight="1" x14ac:dyDescent="0.35">
      <c r="A166" s="93">
        <v>3</v>
      </c>
      <c r="B166" s="94"/>
      <c r="C166" s="42" t="s">
        <v>194</v>
      </c>
      <c r="D166" s="52">
        <f>(6.43*2.89+2.2*3.02+4.18*2.76+5.33*2.99+1.35*2.71+1.35*2.4+1*1+1*2.5+1.03*2.2+1.67*0.9+1.14*3.14)*(10.764)</f>
        <v>758.29473719999999</v>
      </c>
      <c r="E166" s="42">
        <v>0</v>
      </c>
      <c r="F166" s="42">
        <f>D166*(($F$150)+1)+(IF(E166&lt;101,E166,IF(E166&lt;201,E166/2,IF(E166&lt;=301,E166/3,E166/4))))</f>
        <v>1175.35684266</v>
      </c>
      <c r="G166" s="97"/>
      <c r="H166" s="98"/>
      <c r="I166" s="36"/>
    </row>
    <row r="167" spans="1:14" s="37" customFormat="1" ht="15.75" hidden="1" customHeight="1" x14ac:dyDescent="0.35">
      <c r="A167" s="93">
        <v>4</v>
      </c>
      <c r="B167" s="94"/>
      <c r="C167" s="42" t="s">
        <v>194</v>
      </c>
      <c r="D167" s="52">
        <f>(6.43*2.89+2.1*3+4.18*2.76+5.33*2.99+1.2*2.71+1.35*2.4+1*1+1*2.5+1.03*2.1+1.565*0.9+1.14*3.14)*(10.764)</f>
        <v>748.09046520000004</v>
      </c>
      <c r="E167" s="42">
        <v>0</v>
      </c>
      <c r="F167" s="42">
        <f>D167*(($F$150)+1)+(IF(E167&lt;101,E167,IF(E167&lt;201,E167/2,IF(E167&lt;=301,E167/3,E167/4))))</f>
        <v>1159.54022106</v>
      </c>
      <c r="G167" s="99"/>
      <c r="H167" s="100"/>
      <c r="I167" s="36"/>
    </row>
    <row r="168" spans="1:14" s="37" customFormat="1" x14ac:dyDescent="0.35">
      <c r="A168" s="101" t="s">
        <v>259</v>
      </c>
      <c r="B168" s="102"/>
      <c r="C168" s="102"/>
      <c r="D168" s="102"/>
      <c r="E168" s="102"/>
      <c r="F168" s="102"/>
      <c r="G168" s="102"/>
      <c r="H168" s="103"/>
      <c r="J168" s="36"/>
    </row>
    <row r="169" spans="1:14" s="37" customFormat="1" x14ac:dyDescent="0.35">
      <c r="A169" s="93">
        <v>1</v>
      </c>
      <c r="B169" s="94"/>
      <c r="C169" s="42" t="s">
        <v>194</v>
      </c>
      <c r="D169" s="52">
        <f>(6.43*2.89+2.2*3.02+4.18*2.76+5.33*2.99+1.2*2.71+1.35*2.4+1*1+1*2.5+1.03*2.2+1.57*0.9+1.14*3.19)*(10.764)</f>
        <v>753.5639592</v>
      </c>
      <c r="E169" s="42">
        <v>0</v>
      </c>
      <c r="F169" s="42">
        <f>D169*(($F$150)+1)+(IF(E169&lt;101,E169,IF(E169&lt;201,E169/2,IF(E169&lt;=301,E169/3,E169/4))))</f>
        <v>1168.0241367599999</v>
      </c>
      <c r="G169" s="95" t="str">
        <f>A168</f>
        <v>4th, 9th, 14th, 19th, 24th, 29th, 34th &amp; 39th Floor For (Part Refuge Area)</v>
      </c>
      <c r="H169" s="96"/>
      <c r="J169" s="36"/>
    </row>
    <row r="170" spans="1:14" s="37" customFormat="1" x14ac:dyDescent="0.35">
      <c r="A170" s="93">
        <v>2</v>
      </c>
      <c r="B170" s="94"/>
      <c r="C170" s="42" t="s">
        <v>194</v>
      </c>
      <c r="D170" s="52">
        <f>(6.43*2.89+2.2*3+4.18*2.76+5.33*2.99+1.35*2.71+1.35*2.4+1*1+1*2.5+1.03*2.2+1.69*0.9+1.14*3.14)*(10.764)</f>
        <v>758.01487320000001</v>
      </c>
      <c r="E170" s="42">
        <v>0</v>
      </c>
      <c r="F170" s="42">
        <f>D170*(($F$150)+1)+(IF(E170&lt;101,E170,IF(E170&lt;201,E170/2,IF(E170&lt;=301,E170/3,E170/4))))</f>
        <v>1174.9230534600001</v>
      </c>
      <c r="G170" s="97"/>
      <c r="H170" s="98"/>
      <c r="J170" s="36"/>
    </row>
    <row r="171" spans="1:14" s="37" customFormat="1" x14ac:dyDescent="0.35">
      <c r="A171" s="93" t="s">
        <v>257</v>
      </c>
      <c r="B171" s="94"/>
      <c r="C171" s="93" t="s">
        <v>196</v>
      </c>
      <c r="D171" s="136"/>
      <c r="E171" s="136"/>
      <c r="F171" s="94"/>
      <c r="G171" s="97"/>
      <c r="H171" s="98"/>
      <c r="J171" s="36"/>
    </row>
    <row r="172" spans="1:14" s="37" customFormat="1" x14ac:dyDescent="0.35">
      <c r="A172" s="93">
        <v>3</v>
      </c>
      <c r="B172" s="94"/>
      <c r="C172" s="42" t="s">
        <v>194</v>
      </c>
      <c r="D172" s="52">
        <f>(6.43*2.89+2.2*3.02+4.18*2.76+5.33*2.99+1.35*2.71+1.35*2.4+1*1+1*2.5+1.03*2.2+1.67*0.9+1.14*3.14)*(10.764)</f>
        <v>758.29473719999999</v>
      </c>
      <c r="E172" s="42">
        <v>0</v>
      </c>
      <c r="F172" s="42">
        <f>D172*(($F$150)+1)+(IF(E172&lt;101,E172,IF(E172&lt;201,E172/2,IF(E172&lt;=301,E172/3,E172/4))))</f>
        <v>1175.35684266</v>
      </c>
      <c r="G172" s="97"/>
      <c r="H172" s="98"/>
      <c r="J172" s="52">
        <f>10.764</f>
        <v>10.763999999999999</v>
      </c>
    </row>
    <row r="173" spans="1:14" s="37" customFormat="1" x14ac:dyDescent="0.35">
      <c r="A173" s="93">
        <v>4</v>
      </c>
      <c r="B173" s="94"/>
      <c r="C173" s="42" t="s">
        <v>194</v>
      </c>
      <c r="D173" s="52">
        <f>(6.43*2.89+2.1*3+4.18*2.76+5.33*2.99+1.2*2.71+1.35*2.4+1*1+1*2.5+1.03*2.1+1.565*0.9+1.14*3.14)*(10.764)</f>
        <v>748.09046520000004</v>
      </c>
      <c r="E173" s="42">
        <v>0</v>
      </c>
      <c r="F173" s="42">
        <f>D173*(($F$150)+1)+(IF(E173&lt;101,E173,IF(E173&lt;201,E173/2,IF(E173&lt;=301,E173/3,E173/4))))</f>
        <v>1159.54022106</v>
      </c>
      <c r="G173" s="99"/>
      <c r="H173" s="100"/>
      <c r="J173" s="36"/>
    </row>
    <row r="174" spans="1:14" s="37" customFormat="1" ht="15.75" customHeight="1" x14ac:dyDescent="0.35">
      <c r="A174" s="101" t="s">
        <v>258</v>
      </c>
      <c r="B174" s="102"/>
      <c r="C174" s="102"/>
      <c r="D174" s="102"/>
      <c r="E174" s="102"/>
      <c r="F174" s="102"/>
      <c r="G174" s="102"/>
      <c r="H174" s="103"/>
      <c r="I174" s="36"/>
      <c r="J174" s="37">
        <f>2.3*1.05+2.72*3.25+2.3*3+3.32*2.9+3.83*3.1+1.5*2.42+1.5*2.62+3.6*0.95+0.6*(3.25+2.9+3.1)+1.8*1.05</f>
        <v>58.076000000000001</v>
      </c>
      <c r="K174" s="37">
        <f>9500000/F180</f>
        <v>8313.4548105728954</v>
      </c>
      <c r="L174" s="89"/>
      <c r="M174" s="89"/>
      <c r="N174" s="36"/>
    </row>
    <row r="175" spans="1:14" s="37" customFormat="1" ht="15.75" customHeight="1" x14ac:dyDescent="0.35">
      <c r="A175" s="93">
        <v>1</v>
      </c>
      <c r="B175" s="94"/>
      <c r="C175" s="42" t="s">
        <v>197</v>
      </c>
      <c r="D175" s="52">
        <f>(6.43*5.98+2.45*2.3+2.2*2.95+2.2*3+5.33*6.3+4.18*2.86+5.33*3.29+1.35*2.4+1.4*2.71+1.4*2.71+1.4*2.4+2*2.49+1*0.82+(2.29*0.9)+(1.53*6.23))*(10.764)</f>
        <v>1634.2636752000001</v>
      </c>
      <c r="E175" s="42">
        <v>0</v>
      </c>
      <c r="F175" s="42">
        <f>D175*(($F$150)+1)+(IF(E175&lt;101,E175,IF(E175&lt;201,E175/2,IF(E175&lt;=301,E175/3,E175/4))))</f>
        <v>2533.1086965600002</v>
      </c>
      <c r="G175" s="95" t="str">
        <f>A174</f>
        <v>40th &amp; 41st Floor</v>
      </c>
      <c r="H175" s="96"/>
      <c r="I175" s="36"/>
      <c r="L175" s="89"/>
      <c r="M175" s="89"/>
      <c r="N175" s="36"/>
    </row>
    <row r="176" spans="1:14" s="37" customFormat="1" ht="15.75" customHeight="1" x14ac:dyDescent="0.35">
      <c r="A176" s="93">
        <v>2</v>
      </c>
      <c r="B176" s="94"/>
      <c r="C176" s="42" t="s">
        <v>197</v>
      </c>
      <c r="D176" s="52">
        <f>(6.43*5.98+2.45*2.3+2.2*2.95+2.2*3+5.33*6.3+4.18*2.86+5.33*3.29+1.35*2.4+1.4*2.71+1.4*2.71+1.4*2.4+2*2.49+1*0.82+(2.29*0.9)+(1.53*6.23))*(10.764)</f>
        <v>1634.2636752000001</v>
      </c>
      <c r="E176" s="42">
        <v>0</v>
      </c>
      <c r="F176" s="42">
        <f>D176*(($F$150)+1)+(IF(E176&lt;101,E176,IF(E176&lt;201,E176/2,IF(E176&lt;=301,E176/3,E176/4))))</f>
        <v>2533.1086965600002</v>
      </c>
      <c r="G176" s="97"/>
      <c r="H176" s="98"/>
      <c r="I176" s="36"/>
      <c r="L176" s="89"/>
      <c r="M176" s="89"/>
      <c r="N176" s="36"/>
    </row>
    <row r="177" spans="1:14" s="37" customFormat="1" ht="15.75" customHeight="1" x14ac:dyDescent="0.35">
      <c r="A177" s="101" t="s">
        <v>223</v>
      </c>
      <c r="B177" s="102"/>
      <c r="C177" s="102"/>
      <c r="D177" s="102"/>
      <c r="E177" s="102"/>
      <c r="F177" s="102"/>
      <c r="G177" s="102"/>
      <c r="H177" s="103"/>
      <c r="I177" s="36"/>
      <c r="L177" s="89"/>
      <c r="M177" s="89"/>
      <c r="N177" s="36"/>
    </row>
    <row r="178" spans="1:14" s="37" customFormat="1" x14ac:dyDescent="0.35">
      <c r="A178" s="101" t="s">
        <v>225</v>
      </c>
      <c r="B178" s="102"/>
      <c r="C178" s="102"/>
      <c r="D178" s="102"/>
      <c r="E178" s="102"/>
      <c r="F178" s="102"/>
      <c r="G178" s="102"/>
      <c r="H178" s="103"/>
      <c r="I178" s="36"/>
      <c r="L178" s="89"/>
      <c r="M178" s="89"/>
      <c r="N178" s="36"/>
    </row>
    <row r="179" spans="1:14" s="37" customFormat="1" x14ac:dyDescent="0.35">
      <c r="A179" s="101" t="s">
        <v>199</v>
      </c>
      <c r="B179" s="102"/>
      <c r="C179" s="102"/>
      <c r="D179" s="102"/>
      <c r="E179" s="102"/>
      <c r="F179" s="102"/>
      <c r="G179" s="102"/>
      <c r="H179" s="103"/>
      <c r="J179" s="36"/>
    </row>
    <row r="180" spans="1:14" s="37" customFormat="1" ht="15.75" customHeight="1" x14ac:dyDescent="0.35">
      <c r="A180" s="93">
        <v>1</v>
      </c>
      <c r="B180" s="94"/>
      <c r="C180" s="42" t="s">
        <v>194</v>
      </c>
      <c r="D180" s="52">
        <f>(2.3*1.05+5.72*3.25+2.4*3+3.32*2.95+3.83*3.1+1.5*2.42+1.5*2.62+3.6*0.95+0.6*(3.25+2.9+3.1)+1.99*1.05)*(10.764)</f>
        <v>737.24250599999993</v>
      </c>
      <c r="E180" s="42">
        <v>0</v>
      </c>
      <c r="F180" s="42">
        <f>D180*(($F$150)+1)+(IF(E180&lt;101,E180,IF(E180&lt;201,E180/2,IF(E180&lt;=301,E180/3,E180/4))))</f>
        <v>1142.7258843</v>
      </c>
      <c r="G180" s="95" t="str">
        <f>A179</f>
        <v>1st Floor For Residential</v>
      </c>
      <c r="H180" s="96"/>
      <c r="I180" s="36"/>
      <c r="L180" s="89"/>
      <c r="M180" s="89"/>
      <c r="N180" s="36"/>
    </row>
    <row r="181" spans="1:14" s="37" customFormat="1" ht="15.75" customHeight="1" x14ac:dyDescent="0.35">
      <c r="A181" s="93">
        <f t="shared" ref="A181:A183" si="6">A180+1</f>
        <v>2</v>
      </c>
      <c r="B181" s="94"/>
      <c r="C181" s="42" t="s">
        <v>194</v>
      </c>
      <c r="D181" s="52">
        <f t="shared" ref="D181:D183" si="7">(2.3*1.05+5.72*3.25+2.4*3+3.32*2.95+3.83*3.1+1.5*2.42+1.5*2.62+3.6*0.95+0.6*(3.25+2.9+3.1)+1.99*1.05)*(10.764)</f>
        <v>737.24250599999993</v>
      </c>
      <c r="E181" s="42">
        <v>0</v>
      </c>
      <c r="F181" s="42">
        <f>D181*(($F$150)+1)+(IF(E181&lt;101,E181,IF(E181&lt;201,E181/2,IF(E181&lt;=301,E181/3,E181/4))))</f>
        <v>1142.7258843</v>
      </c>
      <c r="G181" s="97"/>
      <c r="H181" s="98"/>
      <c r="I181" s="36"/>
      <c r="L181" s="89"/>
      <c r="M181" s="89"/>
      <c r="N181" s="36"/>
    </row>
    <row r="182" spans="1:14" s="37" customFormat="1" ht="15.75" customHeight="1" x14ac:dyDescent="0.35">
      <c r="A182" s="93">
        <f t="shared" si="6"/>
        <v>3</v>
      </c>
      <c r="B182" s="94"/>
      <c r="C182" s="42" t="s">
        <v>194</v>
      </c>
      <c r="D182" s="52">
        <f t="shared" si="7"/>
        <v>737.24250599999993</v>
      </c>
      <c r="E182" s="42">
        <v>0</v>
      </c>
      <c r="F182" s="42">
        <f>D182*(($F$150)+1)+(IF(E182&lt;101,E182,IF(E182&lt;201,E182/2,IF(E182&lt;=301,E182/3,E182/4))))</f>
        <v>1142.7258843</v>
      </c>
      <c r="G182" s="97"/>
      <c r="H182" s="98"/>
      <c r="I182" s="36"/>
      <c r="L182" s="89"/>
      <c r="M182" s="89"/>
      <c r="N182" s="36"/>
    </row>
    <row r="183" spans="1:14" s="37" customFormat="1" ht="15.75" customHeight="1" x14ac:dyDescent="0.35">
      <c r="A183" s="93">
        <f t="shared" si="6"/>
        <v>4</v>
      </c>
      <c r="B183" s="94"/>
      <c r="C183" s="42" t="s">
        <v>194</v>
      </c>
      <c r="D183" s="52">
        <f t="shared" si="7"/>
        <v>737.24250599999993</v>
      </c>
      <c r="E183" s="42">
        <v>0</v>
      </c>
      <c r="F183" s="42">
        <f>D183*(($F$150)+1)+(IF(E183&lt;101,E183,IF(E183&lt;201,E183/2,IF(E183&lt;=301,E183/3,E183/4))))</f>
        <v>1142.7258843</v>
      </c>
      <c r="G183" s="99"/>
      <c r="H183" s="100"/>
      <c r="I183" s="36"/>
      <c r="L183" s="89"/>
      <c r="M183" s="89"/>
      <c r="N183" s="36"/>
    </row>
    <row r="184" spans="1:14" s="37" customFormat="1" ht="32.5" customHeight="1" x14ac:dyDescent="0.35">
      <c r="A184" s="101" t="s">
        <v>226</v>
      </c>
      <c r="B184" s="102"/>
      <c r="C184" s="102"/>
      <c r="D184" s="102"/>
      <c r="E184" s="102"/>
      <c r="F184" s="102"/>
      <c r="G184" s="102"/>
      <c r="H184" s="103"/>
      <c r="J184" s="36"/>
    </row>
    <row r="185" spans="1:14" s="37" customFormat="1" x14ac:dyDescent="0.35">
      <c r="A185" s="93">
        <v>1</v>
      </c>
      <c r="B185" s="94"/>
      <c r="C185" s="42" t="s">
        <v>194</v>
      </c>
      <c r="D185" s="52">
        <f>(2.3*1.05+5.72*3.25+2.4*3+3.32*2.95+3.83*3.1+1.5*2.42+1.5*2.62+3.6*0.95+0.6*(3.25+2.9+3.1)+1.99*1.05)*(10.764)</f>
        <v>737.24250599999993</v>
      </c>
      <c r="E185" s="42">
        <v>0</v>
      </c>
      <c r="F185" s="42">
        <f>D185*(($F$150)+1)+(IF(E185&lt;101,E185,IF(E185&lt;201,E185/2,IF(E185&lt;=301,E185/3,E185/4))))</f>
        <v>1142.7258843</v>
      </c>
      <c r="G185" s="95" t="str">
        <f>A184</f>
        <v>2nd, 3rd, 5th to 8th, 10th to 13th, 15th to 18th, 20th to 23rd, 25th to 28th, 
30th to 33rd, 35th to 38th Floor For Residential</v>
      </c>
      <c r="H185" s="96"/>
      <c r="J185" s="36"/>
    </row>
    <row r="186" spans="1:14" s="37" customFormat="1" x14ac:dyDescent="0.35">
      <c r="A186" s="93">
        <f t="shared" ref="A186:A188" si="8">A185+1</f>
        <v>2</v>
      </c>
      <c r="B186" s="94"/>
      <c r="C186" s="42" t="s">
        <v>194</v>
      </c>
      <c r="D186" s="52">
        <f t="shared" ref="D186:D188" si="9">(2.3*1.05+5.72*3.25+2.4*3+3.32*2.95+3.83*3.1+1.5*2.42+1.5*2.62+3.6*0.95+0.6*(3.25+2.9+3.1)+1.99*1.05)*(10.764)</f>
        <v>737.24250599999993</v>
      </c>
      <c r="E186" s="42">
        <v>0</v>
      </c>
      <c r="F186" s="42">
        <f>D186*(($F$150)+1)+(IF(E186&lt;101,E186,IF(E186&lt;201,E186/2,IF(E186&lt;=301,E186/3,E186/4))))</f>
        <v>1142.7258843</v>
      </c>
      <c r="G186" s="97"/>
      <c r="H186" s="98"/>
      <c r="J186" s="36">
        <f>36-5</f>
        <v>31</v>
      </c>
    </row>
    <row r="187" spans="1:14" s="37" customFormat="1" x14ac:dyDescent="0.35">
      <c r="A187" s="93">
        <f t="shared" si="8"/>
        <v>3</v>
      </c>
      <c r="B187" s="94"/>
      <c r="C187" s="42" t="s">
        <v>194</v>
      </c>
      <c r="D187" s="52">
        <f t="shared" si="9"/>
        <v>737.24250599999993</v>
      </c>
      <c r="E187" s="42">
        <v>0</v>
      </c>
      <c r="F187" s="42">
        <f>D187*(($F$150)+1)+(IF(E187&lt;101,E187,IF(E187&lt;201,E187/2,IF(E187&lt;=301,E187/3,E187/4))))</f>
        <v>1142.7258843</v>
      </c>
      <c r="G187" s="97"/>
      <c r="H187" s="98"/>
      <c r="I187" s="37">
        <f>30*25</f>
        <v>750</v>
      </c>
      <c r="J187" s="36"/>
    </row>
    <row r="188" spans="1:14" s="37" customFormat="1" x14ac:dyDescent="0.35">
      <c r="A188" s="93">
        <f t="shared" si="8"/>
        <v>4</v>
      </c>
      <c r="B188" s="94"/>
      <c r="C188" s="42" t="s">
        <v>194</v>
      </c>
      <c r="D188" s="52">
        <f t="shared" si="9"/>
        <v>737.24250599999993</v>
      </c>
      <c r="E188" s="42">
        <v>0</v>
      </c>
      <c r="F188" s="42">
        <f>D188*(($F$150)+1)+(IF(E188&lt;101,E188,IF(E188&lt;201,E188/2,IF(E188&lt;=301,E188/3,E188/4))))</f>
        <v>1142.7258843</v>
      </c>
      <c r="G188" s="99"/>
      <c r="H188" s="100"/>
      <c r="I188" s="60">
        <f>F188*F112+SUM(F116:H125)+F188*750</f>
        <v>17191026.085984997</v>
      </c>
      <c r="J188" s="36">
        <f>I188+700000</f>
        <v>17891026.085984997</v>
      </c>
    </row>
    <row r="189" spans="1:14" s="37" customFormat="1" ht="15.75" customHeight="1" x14ac:dyDescent="0.35">
      <c r="A189" s="101" t="s">
        <v>227</v>
      </c>
      <c r="B189" s="102"/>
      <c r="C189" s="102"/>
      <c r="D189" s="102"/>
      <c r="E189" s="102"/>
      <c r="F189" s="102"/>
      <c r="G189" s="102"/>
      <c r="H189" s="103"/>
      <c r="I189" s="61"/>
      <c r="J189" s="37">
        <f>17900000/F199</f>
        <v>10039.454635509148</v>
      </c>
      <c r="L189" s="89"/>
      <c r="M189" s="89"/>
      <c r="N189" s="36"/>
    </row>
    <row r="190" spans="1:14" s="37" customFormat="1" ht="15.75" customHeight="1" x14ac:dyDescent="0.35">
      <c r="A190" s="93">
        <v>1</v>
      </c>
      <c r="B190" s="94"/>
      <c r="C190" s="42" t="s">
        <v>194</v>
      </c>
      <c r="D190" s="52">
        <f t="shared" ref="D190:D192" si="10">(2.3*1.05+5.72*3.25+2.3*3+3.32*2.9+3.83*3.1+1.5*2.42+1.5*2.62+3.6*0.95+0.6*(3.25+2.9+3.1)+1.8*1.05)*(10.764)</f>
        <v>730.07906400000002</v>
      </c>
      <c r="E190" s="42">
        <v>0</v>
      </c>
      <c r="F190" s="42">
        <f>D190*(($F$150)+1)+(IF(E190&lt;101,E190,IF(E190&lt;201,E190/2,IF(E190&lt;=301,E190/3,E190/4))))</f>
        <v>1131.6225492000001</v>
      </c>
      <c r="G190" s="95" t="str">
        <f>A189</f>
        <v>4th, 9th, 14th, 19th, 24th, 29th &amp; 34th Floor (Part Refuge Area)</v>
      </c>
      <c r="H190" s="96"/>
      <c r="I190" s="36"/>
      <c r="L190" s="89"/>
      <c r="M190" s="89"/>
      <c r="N190" s="36"/>
    </row>
    <row r="191" spans="1:14" s="37" customFormat="1" ht="15.75" customHeight="1" x14ac:dyDescent="0.35">
      <c r="A191" s="93">
        <f t="shared" ref="A191:A193" si="11">A190+1</f>
        <v>2</v>
      </c>
      <c r="B191" s="94"/>
      <c r="C191" s="42" t="s">
        <v>194</v>
      </c>
      <c r="D191" s="52">
        <f t="shared" si="10"/>
        <v>730.07906400000002</v>
      </c>
      <c r="E191" s="42">
        <v>0</v>
      </c>
      <c r="F191" s="42">
        <f>D191*(($F$150)+1)+(IF(E191&lt;101,E191,IF(E191&lt;201,E191/2,IF(E191&lt;=301,E191/3,E191/4))))</f>
        <v>1131.6225492000001</v>
      </c>
      <c r="G191" s="97" t="str">
        <f t="shared" ref="G191:G193" si="12">G190</f>
        <v>4th, 9th, 14th, 19th, 24th, 29th &amp; 34th Floor (Part Refuge Area)</v>
      </c>
      <c r="H191" s="98"/>
      <c r="I191" s="36"/>
      <c r="L191" s="89"/>
      <c r="M191" s="89"/>
      <c r="N191" s="36"/>
    </row>
    <row r="192" spans="1:14" s="37" customFormat="1" ht="32.25" customHeight="1" x14ac:dyDescent="0.35">
      <c r="A192" s="93">
        <f t="shared" si="11"/>
        <v>3</v>
      </c>
      <c r="B192" s="94"/>
      <c r="C192" s="42" t="s">
        <v>194</v>
      </c>
      <c r="D192" s="52">
        <f t="shared" si="10"/>
        <v>730.07906400000002</v>
      </c>
      <c r="E192" s="42">
        <v>0</v>
      </c>
      <c r="F192" s="42">
        <f>D192*(($F$150)+1)+(IF(E192&lt;101,E192,IF(E192&lt;201,E192/2,IF(E192&lt;=301,E192/3,E192/4))))</f>
        <v>1131.6225492000001</v>
      </c>
      <c r="G192" s="97" t="str">
        <f t="shared" si="12"/>
        <v>4th, 9th, 14th, 19th, 24th, 29th &amp; 34th Floor (Part Refuge Area)</v>
      </c>
      <c r="H192" s="98"/>
      <c r="J192" s="36"/>
    </row>
    <row r="193" spans="1:14" s="37" customFormat="1" ht="15.75" customHeight="1" x14ac:dyDescent="0.35">
      <c r="A193" s="93">
        <f t="shared" si="11"/>
        <v>4</v>
      </c>
      <c r="B193" s="94"/>
      <c r="C193" s="93" t="s">
        <v>196</v>
      </c>
      <c r="D193" s="136"/>
      <c r="E193" s="136"/>
      <c r="F193" s="94"/>
      <c r="G193" s="99" t="str">
        <f t="shared" si="12"/>
        <v>4th, 9th, 14th, 19th, 24th, 29th &amp; 34th Floor (Part Refuge Area)</v>
      </c>
      <c r="H193" s="100"/>
      <c r="I193" s="36"/>
      <c r="J193" s="37">
        <f>11000*F203</f>
        <v>20735799.470100001</v>
      </c>
      <c r="K193" s="37">
        <f>21600000/F203</f>
        <v>11458.444143550263</v>
      </c>
      <c r="L193" s="89"/>
      <c r="M193" s="89"/>
      <c r="N193" s="36"/>
    </row>
    <row r="194" spans="1:14" s="37" customFormat="1" ht="15.75" customHeight="1" x14ac:dyDescent="0.35">
      <c r="A194" s="101" t="s">
        <v>215</v>
      </c>
      <c r="B194" s="102"/>
      <c r="C194" s="102"/>
      <c r="D194" s="102"/>
      <c r="E194" s="102"/>
      <c r="F194" s="102"/>
      <c r="G194" s="102"/>
      <c r="H194" s="103"/>
      <c r="I194" s="36"/>
      <c r="L194" s="89"/>
      <c r="M194" s="89"/>
      <c r="N194" s="36"/>
    </row>
    <row r="195" spans="1:14" s="37" customFormat="1" ht="15.75" customHeight="1" x14ac:dyDescent="0.35">
      <c r="A195" s="101" t="s">
        <v>217</v>
      </c>
      <c r="B195" s="102"/>
      <c r="C195" s="102"/>
      <c r="D195" s="102"/>
      <c r="E195" s="102"/>
      <c r="F195" s="102"/>
      <c r="G195" s="102"/>
      <c r="H195" s="103"/>
      <c r="I195" s="36"/>
      <c r="L195" s="89"/>
      <c r="M195" s="89"/>
      <c r="N195" s="36"/>
    </row>
    <row r="196" spans="1:14" s="37" customFormat="1" x14ac:dyDescent="0.35">
      <c r="A196" s="101" t="s">
        <v>224</v>
      </c>
      <c r="B196" s="102"/>
      <c r="C196" s="102"/>
      <c r="D196" s="102"/>
      <c r="E196" s="102"/>
      <c r="F196" s="102"/>
      <c r="G196" s="102"/>
      <c r="H196" s="103"/>
      <c r="I196" s="37" t="s">
        <v>206</v>
      </c>
      <c r="J196" s="36"/>
    </row>
    <row r="197" spans="1:14" s="37" customFormat="1" ht="15.75" customHeight="1" x14ac:dyDescent="0.35">
      <c r="A197" s="101" t="s">
        <v>193</v>
      </c>
      <c r="B197" s="102"/>
      <c r="C197" s="102"/>
      <c r="D197" s="102"/>
      <c r="E197" s="102"/>
      <c r="F197" s="102"/>
      <c r="G197" s="102"/>
      <c r="H197" s="103"/>
      <c r="I197" s="36"/>
      <c r="J197" s="37">
        <f>21700000/F207</f>
        <v>11511.492496066699</v>
      </c>
      <c r="L197" s="89"/>
      <c r="M197" s="89"/>
      <c r="N197" s="36"/>
    </row>
    <row r="198" spans="1:14" s="37" customFormat="1" ht="15.75" customHeight="1" x14ac:dyDescent="0.35">
      <c r="A198" s="101" t="s">
        <v>199</v>
      </c>
      <c r="B198" s="102"/>
      <c r="C198" s="102"/>
      <c r="D198" s="102"/>
      <c r="E198" s="102"/>
      <c r="F198" s="102"/>
      <c r="G198" s="102"/>
      <c r="H198" s="103"/>
      <c r="I198" s="36"/>
      <c r="J198" s="37">
        <f>12100000/F208</f>
        <v>10498.813668935767</v>
      </c>
      <c r="L198" s="89"/>
      <c r="M198" s="89"/>
      <c r="N198" s="36"/>
    </row>
    <row r="199" spans="1:14" s="37" customFormat="1" ht="15.75" customHeight="1" x14ac:dyDescent="0.35">
      <c r="A199" s="93">
        <v>1</v>
      </c>
      <c r="B199" s="94"/>
      <c r="C199" s="42" t="s">
        <v>197</v>
      </c>
      <c r="D199" s="52">
        <f>(2.7*1.59+4.98*4.75+2*0.6+2.5*3.6+3.88*2.75+2.68*1.25+3.88*2.85+1.25*0.9+3.6*3.2+1.5*1.1+2.55*1.39+2.65*1.75+1.075*1.1+2.45*1.5+8.4*0.9+0.6*(2.8+2.75+2.85+3.2)+1.7*1.05)*(10.764)</f>
        <v>1150.3002419999998</v>
      </c>
      <c r="E199" s="42">
        <v>0</v>
      </c>
      <c r="F199" s="42">
        <f>D199*(($F$150)+1)+(IF(E199&lt;101,E199,IF(E199&lt;201,E199/2,IF(E199&lt;=301,E199/3,E199/4))))</f>
        <v>1782.9653750999998</v>
      </c>
      <c r="G199" s="95" t="str">
        <f>A198</f>
        <v>1st Floor For Residential</v>
      </c>
      <c r="H199" s="96"/>
      <c r="I199" s="36"/>
      <c r="J199" s="37">
        <f>14900000/F209</f>
        <v>10856.492488541015</v>
      </c>
      <c r="L199" s="89"/>
      <c r="M199" s="89"/>
      <c r="N199" s="36"/>
    </row>
    <row r="200" spans="1:14" s="37" customFormat="1" x14ac:dyDescent="0.35">
      <c r="A200" s="93">
        <f t="shared" ref="A200:A201" si="13">A199+1</f>
        <v>2</v>
      </c>
      <c r="B200" s="94"/>
      <c r="C200" s="42" t="s">
        <v>194</v>
      </c>
      <c r="D200" s="52">
        <f>(2.3*1.05+6.29*3.05+2.3*3.05+3.32*3.05+3.78*3.2+1.35*2.5+1.35*2.79+3.8*0.9+0.6*(3.05+3.05+3.2)+2*1.05)*(10.764)</f>
        <v>743.55559199999993</v>
      </c>
      <c r="E200" s="42">
        <v>0</v>
      </c>
      <c r="F200" s="42">
        <f>D200*(($F$150)+1)+(IF(E200&lt;101,E200,IF(E200&lt;201,E200/2,IF(E200&lt;=301,E200/3,E200/4))))</f>
        <v>1152.5111675999999</v>
      </c>
      <c r="G200" s="97" t="str">
        <f t="shared" ref="G200:G201" si="14">G199</f>
        <v>1st Floor For Residential</v>
      </c>
      <c r="H200" s="98"/>
      <c r="J200" s="36"/>
    </row>
    <row r="201" spans="1:14" s="37" customFormat="1" ht="15.75" customHeight="1" x14ac:dyDescent="0.35">
      <c r="A201" s="93">
        <f t="shared" si="13"/>
        <v>3</v>
      </c>
      <c r="B201" s="94"/>
      <c r="C201" s="42" t="s">
        <v>216</v>
      </c>
      <c r="D201" s="52">
        <f>(2.3*1.05+6.29*3.05+2.3*3.1+2.78*1.9+1.9*0.82+3.6*2.83+4.75*3.05+1.35*3.55+0.8*0.9+1.35*2.7+6*0.9+0.6*(3.05+2.83+3.05)+2*1.05)*(10.764)</f>
        <v>885.45202199999983</v>
      </c>
      <c r="E201" s="42">
        <v>0</v>
      </c>
      <c r="F201" s="42">
        <f>D201*(($F$150)+1)+(IF(E201&lt;101,E201,IF(E201&lt;201,E201/2,IF(E201&lt;=301,E201/3,E201/4))))</f>
        <v>1372.4506340999997</v>
      </c>
      <c r="G201" s="97" t="str">
        <f t="shared" si="14"/>
        <v>1st Floor For Residential</v>
      </c>
      <c r="H201" s="98"/>
      <c r="I201" s="36"/>
      <c r="L201" s="89"/>
      <c r="M201" s="89"/>
      <c r="N201" s="36"/>
    </row>
    <row r="202" spans="1:14" s="37" customFormat="1" ht="32.5" customHeight="1" x14ac:dyDescent="0.35">
      <c r="A202" s="101" t="s">
        <v>200</v>
      </c>
      <c r="B202" s="102"/>
      <c r="C202" s="102"/>
      <c r="D202" s="102"/>
      <c r="E202" s="102"/>
      <c r="F202" s="102"/>
      <c r="G202" s="102"/>
      <c r="H202" s="103"/>
      <c r="I202" s="36"/>
      <c r="L202" s="89"/>
      <c r="M202" s="89"/>
      <c r="N202" s="36"/>
    </row>
    <row r="203" spans="1:14" s="37" customFormat="1" ht="15.75" customHeight="1" x14ac:dyDescent="0.35">
      <c r="A203" s="93">
        <v>1</v>
      </c>
      <c r="B203" s="94"/>
      <c r="C203" s="42" t="s">
        <v>197</v>
      </c>
      <c r="D203" s="52">
        <f>(2.7*1.59+4.98*4.75+2*0.6+2.5*3.6+3.88*2.75+2.68*1.25+3.88*2.85+1.25*0.9+3.6*3.2+1.5*1.1+2.55*1.39+2.65*1.75+1.075*1.1+2.45*1.5+8.4*0.9+0.6*(2.8+2.75+2.85+3.2)+1.7*1.05+5.1*1.2)*(10.764)</f>
        <v>1216.1759219999999</v>
      </c>
      <c r="E203" s="42">
        <v>0</v>
      </c>
      <c r="F203" s="42">
        <f>D203*(($F$150)+1)+(IF(E203&lt;101,E203,IF(E203&lt;201,E203/2,IF(E203&lt;=301,E203/3,E203/4))))</f>
        <v>1885.0726791</v>
      </c>
      <c r="G203" s="95" t="str">
        <f>A202</f>
        <v>2nd to 3rd, 5th, 6th, 9th to 12th, 15th to 17th, 19th, 20th, 22nd, 24th to 27th, 
29th to 32nd, 34th, 36th, 37th, 39th &amp; 40th Floor</v>
      </c>
      <c r="H203" s="96"/>
      <c r="I203" s="36"/>
      <c r="L203" s="89"/>
      <c r="M203" s="89"/>
      <c r="N203" s="36"/>
    </row>
    <row r="204" spans="1:14" s="37" customFormat="1" x14ac:dyDescent="0.35">
      <c r="A204" s="93">
        <f t="shared" ref="A204:A205" si="15">A203+1</f>
        <v>2</v>
      </c>
      <c r="B204" s="94"/>
      <c r="C204" s="42" t="s">
        <v>194</v>
      </c>
      <c r="D204" s="52">
        <f>(2.3*1.05+6.29*3.05+2.3*3.05+3.32*3.05+3.78*3.2+1.35*2.5+1.35*2.79+3.8*0.9+0.6*(3.05+3.05+3.2)+2*1.05)*(10.764)</f>
        <v>743.55559199999993</v>
      </c>
      <c r="E204" s="42">
        <v>0</v>
      </c>
      <c r="F204" s="42">
        <f>D204*(($F$150)+1)+(IF(E204&lt;101,E204,IF(E204&lt;201,E204/2,IF(E204&lt;=301,E204/3,E204/4))))</f>
        <v>1152.5111675999999</v>
      </c>
      <c r="G204" s="97" t="str">
        <f t="shared" ref="G204:G205" si="16">G203</f>
        <v>2nd to 3rd, 5th, 6th, 9th to 12th, 15th to 17th, 19th, 20th, 22nd, 24th to 27th, 
29th to 32nd, 34th, 36th, 37th, 39th &amp; 40th Floor</v>
      </c>
      <c r="H204" s="98"/>
      <c r="J204" s="36"/>
    </row>
    <row r="205" spans="1:14" s="37" customFormat="1" ht="15.75" customHeight="1" x14ac:dyDescent="0.35">
      <c r="A205" s="93">
        <f t="shared" si="15"/>
        <v>3</v>
      </c>
      <c r="B205" s="94"/>
      <c r="C205" s="42" t="s">
        <v>216</v>
      </c>
      <c r="D205" s="52">
        <f>(2.3*1.05+6.29*3.05+2.3*3.1+2.78*1.9+1.9*0.82+3.6*2.83+4.75*3.05+1.35*3.55+0.8*0.9+1.35*2.7+6*0.9+0.6*(3.05+2.83+3.05)+2*1.05)*(10.764)</f>
        <v>885.45202199999983</v>
      </c>
      <c r="E205" s="42">
        <v>0</v>
      </c>
      <c r="F205" s="42">
        <f>D205*(($F$150)+1)+(IF(E205&lt;101,E205,IF(E205&lt;201,E205/2,IF(E205&lt;=301,E205/3,E205/4))))</f>
        <v>1372.4506340999997</v>
      </c>
      <c r="G205" s="97" t="str">
        <f t="shared" si="16"/>
        <v>2nd to 3rd, 5th, 6th, 9th to 12th, 15th to 17th, 19th, 20th, 22nd, 24th to 27th, 
29th to 32nd, 34th, 36th, 37th, 39th &amp; 40th Floor</v>
      </c>
      <c r="H205" s="98"/>
      <c r="I205" s="36"/>
      <c r="L205" s="89"/>
      <c r="M205" s="89"/>
      <c r="N205" s="36"/>
    </row>
    <row r="206" spans="1:14" s="37" customFormat="1" ht="15.75" customHeight="1" x14ac:dyDescent="0.35">
      <c r="A206" s="101" t="s">
        <v>203</v>
      </c>
      <c r="B206" s="102"/>
      <c r="C206" s="102"/>
      <c r="D206" s="102"/>
      <c r="E206" s="102"/>
      <c r="F206" s="102"/>
      <c r="G206" s="102"/>
      <c r="H206" s="103"/>
      <c r="I206" s="36"/>
      <c r="J206" s="37" t="s">
        <v>210</v>
      </c>
      <c r="L206" s="89"/>
      <c r="M206" s="89"/>
      <c r="N206" s="36"/>
    </row>
    <row r="207" spans="1:14" s="37" customFormat="1" ht="15.75" customHeight="1" x14ac:dyDescent="0.35">
      <c r="A207" s="93">
        <v>1</v>
      </c>
      <c r="B207" s="94"/>
      <c r="C207" s="42" t="s">
        <v>197</v>
      </c>
      <c r="D207" s="52">
        <f>(2.7*1.59+4.98*4.75+2*0.6+2.5*3.6+3.88*2.75+2.68*1.25+3.88*2.85+1.25*0.9+3.6*3.2+1.5*1.1+2.55*1.39+2.65*1.75+1.075*1.1+2.45*1.5+8.4*0.9+0.6*(2.8+2.75+2.85+3.2)+1.7*1.05+5.1*1.2)*(10.764)</f>
        <v>1216.1759219999999</v>
      </c>
      <c r="E207" s="42">
        <v>0</v>
      </c>
      <c r="F207" s="42">
        <f>D207*(($F$150)+1)+(IF(E207&lt;101,E207,IF(E207&lt;201,E207/2,IF(E207&lt;=301,E207/3,E207/4))))</f>
        <v>1885.0726791</v>
      </c>
      <c r="G207" s="95" t="str">
        <f>A206</f>
        <v>7th, 14th, 21st &amp; 35th Floor</v>
      </c>
      <c r="H207" s="96"/>
      <c r="I207" s="36"/>
      <c r="L207" s="89"/>
      <c r="M207" s="89"/>
      <c r="N207" s="36"/>
    </row>
    <row r="208" spans="1:14" s="37" customFormat="1" ht="20.5" customHeight="1" x14ac:dyDescent="0.35">
      <c r="A208" s="93">
        <f t="shared" ref="A208:A209" si="17">A207+1</f>
        <v>2</v>
      </c>
      <c r="B208" s="94"/>
      <c r="C208" s="42" t="s">
        <v>194</v>
      </c>
      <c r="D208" s="52">
        <f>(2.3*1.05+6.29*3.05+2.3*3.05+3.32*3.05+3.78*3.2+1.35*2.5+1.35*2.79+3.8*0.9+0.6*(3.05+3.05+3.2)+2*1.05)*(10.764)</f>
        <v>743.55559199999993</v>
      </c>
      <c r="E208" s="42">
        <v>0</v>
      </c>
      <c r="F208" s="42">
        <f>D208*(($F$150)+1)+(IF(E208&lt;101,E208,IF(E208&lt;201,E208/2,IF(E208&lt;=301,E208/3,E208/4))))</f>
        <v>1152.5111675999999</v>
      </c>
      <c r="G208" s="97" t="str">
        <f t="shared" ref="G208:G209" si="18">G207</f>
        <v>7th, 14th, 21st &amp; 35th Floor</v>
      </c>
      <c r="H208" s="98"/>
      <c r="J208" s="36"/>
    </row>
    <row r="209" spans="1:14" s="37" customFormat="1" x14ac:dyDescent="0.35">
      <c r="A209" s="93">
        <f t="shared" si="17"/>
        <v>3</v>
      </c>
      <c r="B209" s="94"/>
      <c r="C209" s="42" t="s">
        <v>216</v>
      </c>
      <c r="D209" s="52">
        <f>(2.3*1.05+6.29*3.05+2.3*3.1+2.78*1.9+1.9*0.82+3.6*2.83+4.75*3.05+1.35*3.55+0.8*0.9+1.35*2.7+6*0.9+0.6*(3.05+2.83+3.05)+2*1.05)*(10.764)</f>
        <v>885.45202199999983</v>
      </c>
      <c r="E209" s="42">
        <v>0</v>
      </c>
      <c r="F209" s="42">
        <f>D209*(($F$150)+1)+(IF(E209&lt;101,E209,IF(E209&lt;201,E209/2,IF(E209&lt;=301,E209/3,E209/4))))</f>
        <v>1372.4506340999997</v>
      </c>
      <c r="G209" s="97" t="str">
        <f t="shared" si="18"/>
        <v>7th, 14th, 21st &amp; 35th Floor</v>
      </c>
      <c r="H209" s="98"/>
      <c r="J209" s="36"/>
    </row>
    <row r="210" spans="1:14" s="37" customFormat="1" x14ac:dyDescent="0.35">
      <c r="A210" s="101" t="s">
        <v>195</v>
      </c>
      <c r="B210" s="102"/>
      <c r="C210" s="102"/>
      <c r="D210" s="102"/>
      <c r="E210" s="102"/>
      <c r="F210" s="102"/>
      <c r="G210" s="102"/>
      <c r="H210" s="103"/>
      <c r="J210" s="36"/>
    </row>
    <row r="211" spans="1:14" s="37" customFormat="1" x14ac:dyDescent="0.35">
      <c r="A211" s="93">
        <v>1</v>
      </c>
      <c r="B211" s="94"/>
      <c r="C211" s="42" t="s">
        <v>197</v>
      </c>
      <c r="D211" s="52">
        <f>(2.7*1.59+4.98*4.75+2*0.6+2.5*3.6+3.88*2.75+2.68*1.25+3.88*2.85+1.25*0.9+3.6*3.2+1.5*1.1+2.55*1.39+2.65*1.75+1.075*1.1+2.45*1.5+8.4*0.9+0.6*(2.8+2.75+2.85+3.2)+1.7*1.05+5.1*1.2)*(10.764)</f>
        <v>1216.1759219999999</v>
      </c>
      <c r="E211" s="42">
        <v>0</v>
      </c>
      <c r="F211" s="42">
        <f>D211*(($F$150)+1)+(IF(E211&lt;101,E211,IF(E211&lt;201,E211/2,IF(E211&lt;=301,E211/3,E211/4))))</f>
        <v>1885.0726791</v>
      </c>
      <c r="G211" s="95" t="str">
        <f>A210</f>
        <v>4th, 8th, 13th, 18th, 23rd, 33rd &amp; 38th Floor (Part Refuge Area)</v>
      </c>
      <c r="H211" s="96"/>
      <c r="I211" s="36"/>
      <c r="L211" s="89"/>
      <c r="M211" s="89"/>
      <c r="N211" s="36"/>
    </row>
    <row r="212" spans="1:14" s="37" customFormat="1" x14ac:dyDescent="0.35">
      <c r="A212" s="93">
        <f t="shared" ref="A212:A213" si="19">A211+1</f>
        <v>2</v>
      </c>
      <c r="B212" s="94"/>
      <c r="C212" s="42" t="s">
        <v>194</v>
      </c>
      <c r="D212" s="52">
        <f>(2.3*1.05+6.29*3.05+2.3*3.05+3.32*3.05+3.78*3.2+1.35*2.5+1.35*2.79+3.8*0.9+0.6*(3.05+3.05+3.2)+2*1.05)*(10.764)</f>
        <v>743.55559199999993</v>
      </c>
      <c r="E212" s="42">
        <v>0</v>
      </c>
      <c r="F212" s="42">
        <f>D212*(($F$150)+1)+(IF(E212&lt;101,E212,IF(E212&lt;201,E212/2,IF(E212&lt;=301,E212/3,E212/4))))</f>
        <v>1152.5111675999999</v>
      </c>
      <c r="G212" s="97" t="str">
        <f t="shared" ref="G212:G213" si="20">G211</f>
        <v>4th, 8th, 13th, 18th, 23rd, 33rd &amp; 38th Floor (Part Refuge Area)</v>
      </c>
      <c r="H212" s="98"/>
      <c r="I212" s="36"/>
      <c r="L212" s="89"/>
      <c r="M212" s="89"/>
      <c r="N212" s="36"/>
    </row>
    <row r="213" spans="1:14" s="37" customFormat="1" x14ac:dyDescent="0.35">
      <c r="A213" s="93">
        <f t="shared" si="19"/>
        <v>3</v>
      </c>
      <c r="B213" s="94"/>
      <c r="C213" s="93" t="s">
        <v>196</v>
      </c>
      <c r="D213" s="136"/>
      <c r="E213" s="136"/>
      <c r="F213" s="94"/>
      <c r="G213" s="97" t="str">
        <f t="shared" si="20"/>
        <v>4th, 8th, 13th, 18th, 23rd, 33rd &amp; 38th Floor (Part Refuge Area)</v>
      </c>
      <c r="H213" s="98"/>
      <c r="I213" s="36"/>
      <c r="L213" s="89"/>
      <c r="M213" s="89"/>
      <c r="N213" s="36"/>
    </row>
    <row r="214" spans="1:14" s="37" customFormat="1" x14ac:dyDescent="0.35">
      <c r="A214" s="101" t="s">
        <v>204</v>
      </c>
      <c r="B214" s="102"/>
      <c r="C214" s="102"/>
      <c r="D214" s="102"/>
      <c r="E214" s="102"/>
      <c r="F214" s="102"/>
      <c r="G214" s="102"/>
      <c r="H214" s="103"/>
      <c r="I214" s="36"/>
      <c r="L214" s="89"/>
      <c r="M214" s="89"/>
      <c r="N214" s="36"/>
    </row>
    <row r="215" spans="1:14" s="37" customFormat="1" x14ac:dyDescent="0.35">
      <c r="A215" s="93">
        <v>1</v>
      </c>
      <c r="B215" s="94"/>
      <c r="C215" s="42" t="s">
        <v>197</v>
      </c>
      <c r="D215" s="52">
        <f>(2.7*1.59+4.98*4.75+2*0.6+2.5*3.6+3.88*2.75+2.68*1.25+3.88*2.85+1.25*0.9+3.6*3.2+1.5*1.1+2.55*1.39+2.65*1.75+1.075*1.1+2.45*1.5+8.4*0.9+0.6*(2.8+2.75+2.85+3.2)+1.7*1.05+5.1*1.2)*(10.764)</f>
        <v>1216.1759219999999</v>
      </c>
      <c r="E215" s="42">
        <v>0</v>
      </c>
      <c r="F215" s="42">
        <f>D215*(($F$150)+1)+(IF(E215&lt;101,E215,IF(E215&lt;201,E215/2,IF(E215&lt;=301,E215/3,E215/4))))</f>
        <v>1885.0726791</v>
      </c>
      <c r="G215" s="95" t="str">
        <f>A214</f>
        <v>28th Floor (Part Refuge Area)</v>
      </c>
      <c r="H215" s="96"/>
      <c r="I215" s="36"/>
      <c r="L215" s="89"/>
      <c r="M215" s="89"/>
    </row>
    <row r="216" spans="1:14" s="37" customFormat="1" x14ac:dyDescent="0.35">
      <c r="A216" s="93">
        <f t="shared" ref="A216:A217" si="21">A215+1</f>
        <v>2</v>
      </c>
      <c r="B216" s="94"/>
      <c r="C216" s="42" t="s">
        <v>194</v>
      </c>
      <c r="D216" s="52">
        <f>(2.3*1.05+6.29*3.05+2.3*3.05+3.32*3.05+3.78*3.2+1.35*2.5+1.35*2.79+3.8*0.9+0.6*(3.05+3.05+3.2)+2*1.05)*(10.764)</f>
        <v>743.55559199999993</v>
      </c>
      <c r="E216" s="42">
        <v>0</v>
      </c>
      <c r="F216" s="42">
        <f>D216*(($F$150)+1)+(IF(E216&lt;101,E216,IF(E216&lt;201,E216/2,IF(E216&lt;=301,E216/3,E216/4))))</f>
        <v>1152.5111675999999</v>
      </c>
      <c r="G216" s="97" t="str">
        <f t="shared" ref="G216:G217" si="22">G215</f>
        <v>28th Floor (Part Refuge Area)</v>
      </c>
      <c r="H216" s="98"/>
      <c r="I216" s="36"/>
      <c r="N216" s="36"/>
    </row>
    <row r="217" spans="1:14" s="37" customFormat="1" x14ac:dyDescent="0.35">
      <c r="A217" s="93">
        <f t="shared" si="21"/>
        <v>3</v>
      </c>
      <c r="B217" s="94"/>
      <c r="C217" s="93" t="s">
        <v>196</v>
      </c>
      <c r="D217" s="136"/>
      <c r="E217" s="136"/>
      <c r="F217" s="94"/>
      <c r="G217" s="97" t="str">
        <f t="shared" si="22"/>
        <v>28th Floor (Part Refuge Area)</v>
      </c>
      <c r="H217" s="98"/>
      <c r="I217" s="36"/>
      <c r="N217" s="36"/>
    </row>
    <row r="218" spans="1:14" s="37" customFormat="1" x14ac:dyDescent="0.35">
      <c r="A218" s="101" t="s">
        <v>215</v>
      </c>
      <c r="B218" s="102"/>
      <c r="C218" s="102"/>
      <c r="D218" s="102"/>
      <c r="E218" s="102"/>
      <c r="F218" s="102"/>
      <c r="G218" s="102"/>
      <c r="H218" s="103"/>
      <c r="I218" s="36"/>
      <c r="N218" s="36"/>
    </row>
    <row r="219" spans="1:14" s="37" customFormat="1" x14ac:dyDescent="0.35">
      <c r="A219" s="101" t="s">
        <v>217</v>
      </c>
      <c r="B219" s="102"/>
      <c r="C219" s="102"/>
      <c r="D219" s="102"/>
      <c r="E219" s="102"/>
      <c r="F219" s="102"/>
      <c r="G219" s="102"/>
      <c r="H219" s="103"/>
      <c r="I219" s="36"/>
      <c r="N219" s="36"/>
    </row>
    <row r="220" spans="1:14" s="35" customFormat="1" x14ac:dyDescent="0.35">
      <c r="A220" s="119" t="s">
        <v>69</v>
      </c>
      <c r="B220" s="119"/>
      <c r="C220" s="119"/>
      <c r="D220" s="119"/>
      <c r="E220" s="119"/>
      <c r="F220" s="119"/>
      <c r="G220" s="119"/>
      <c r="H220" s="119"/>
    </row>
    <row r="221" spans="1:14" s="35" customFormat="1" x14ac:dyDescent="0.35">
      <c r="A221" s="47" t="s">
        <v>158</v>
      </c>
      <c r="B221" s="188" t="s">
        <v>253</v>
      </c>
      <c r="C221" s="189"/>
      <c r="D221" s="189"/>
      <c r="E221" s="189"/>
      <c r="F221" s="189"/>
      <c r="G221" s="189"/>
      <c r="H221" s="190"/>
    </row>
    <row r="222" spans="1:14" s="35" customFormat="1" x14ac:dyDescent="0.35">
      <c r="A222" s="47" t="s">
        <v>158</v>
      </c>
      <c r="B222" s="188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222" s="189"/>
      <c r="D222" s="189"/>
      <c r="E222" s="189"/>
      <c r="F222" s="189"/>
      <c r="G222" s="189"/>
      <c r="H222" s="190"/>
    </row>
    <row r="223" spans="1:14" s="35" customFormat="1" hidden="1" x14ac:dyDescent="0.35">
      <c r="A223" s="47" t="s">
        <v>158</v>
      </c>
      <c r="B223" s="188" t="str">
        <f>(IF(F141="Saleable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3" s="189"/>
      <c r="D223" s="189"/>
      <c r="E223" s="189"/>
      <c r="F223" s="189"/>
      <c r="G223" s="189"/>
      <c r="H223" s="190"/>
    </row>
    <row r="224" spans="1:14" x14ac:dyDescent="0.35">
      <c r="A224" s="47" t="s">
        <v>158</v>
      </c>
      <c r="B224" s="127" t="s">
        <v>128</v>
      </c>
      <c r="C224" s="128"/>
      <c r="D224" s="128"/>
      <c r="E224" s="128"/>
      <c r="F224" s="128"/>
      <c r="G224" s="128"/>
      <c r="H224" s="129"/>
    </row>
    <row r="225" spans="1:11" ht="33" customHeight="1" x14ac:dyDescent="0.35">
      <c r="A225" s="47" t="s">
        <v>158</v>
      </c>
      <c r="B225" s="127" t="s">
        <v>198</v>
      </c>
      <c r="C225" s="128"/>
      <c r="D225" s="128"/>
      <c r="E225" s="128"/>
      <c r="F225" s="128"/>
      <c r="G225" s="128"/>
      <c r="H225" s="129"/>
    </row>
    <row r="226" spans="1:11" ht="15.75" customHeight="1" x14ac:dyDescent="0.35">
      <c r="A226" s="47" t="s">
        <v>158</v>
      </c>
      <c r="B226" s="127" t="s">
        <v>157</v>
      </c>
      <c r="C226" s="128"/>
      <c r="D226" s="128"/>
      <c r="E226" s="128"/>
      <c r="F226" s="128"/>
      <c r="G226" s="128"/>
      <c r="H226" s="129"/>
    </row>
    <row r="227" spans="1:11" x14ac:dyDescent="0.35">
      <c r="A227" s="47" t="s">
        <v>158</v>
      </c>
      <c r="B227" s="127" t="s">
        <v>129</v>
      </c>
      <c r="C227" s="128"/>
      <c r="D227" s="128"/>
      <c r="E227" s="128"/>
      <c r="F227" s="128"/>
      <c r="G227" s="128"/>
      <c r="H227" s="129"/>
    </row>
    <row r="228" spans="1:11" ht="33.65" customHeight="1" x14ac:dyDescent="0.35">
      <c r="A228" s="47" t="s">
        <v>158</v>
      </c>
      <c r="B228" s="127" t="s">
        <v>159</v>
      </c>
      <c r="C228" s="128"/>
      <c r="D228" s="128"/>
      <c r="E228" s="128"/>
      <c r="F228" s="128"/>
      <c r="G228" s="128"/>
      <c r="H228" s="129"/>
    </row>
    <row r="229" spans="1:11" x14ac:dyDescent="0.35">
      <c r="A229" s="47" t="s">
        <v>158</v>
      </c>
      <c r="B229" s="127" t="s">
        <v>130</v>
      </c>
      <c r="C229" s="128"/>
      <c r="D229" s="128"/>
      <c r="E229" s="128"/>
      <c r="F229" s="128"/>
      <c r="G229" s="128"/>
      <c r="H229" s="129"/>
    </row>
    <row r="230" spans="1:11" ht="35.5" customHeight="1" x14ac:dyDescent="0.35">
      <c r="A230" s="47" t="s">
        <v>158</v>
      </c>
      <c r="B230" s="127" t="s">
        <v>233</v>
      </c>
      <c r="C230" s="128"/>
      <c r="D230" s="128"/>
      <c r="E230" s="128"/>
      <c r="F230" s="128"/>
      <c r="G230" s="128"/>
      <c r="H230" s="129"/>
    </row>
    <row r="231" spans="1:11" ht="35.5" customHeight="1" x14ac:dyDescent="0.35">
      <c r="A231" s="47" t="s">
        <v>158</v>
      </c>
      <c r="B231" s="188" t="s">
        <v>252</v>
      </c>
      <c r="C231" s="189"/>
      <c r="D231" s="189"/>
      <c r="E231" s="189"/>
      <c r="F231" s="189"/>
      <c r="G231" s="189"/>
      <c r="H231" s="190"/>
    </row>
    <row r="232" spans="1:11" ht="33.65" customHeight="1" x14ac:dyDescent="0.35">
      <c r="A232" s="47" t="s">
        <v>158</v>
      </c>
      <c r="B232" s="188" t="s">
        <v>243</v>
      </c>
      <c r="C232" s="189"/>
      <c r="D232" s="189"/>
      <c r="E232" s="189"/>
      <c r="F232" s="189"/>
      <c r="G232" s="189"/>
      <c r="H232" s="190"/>
    </row>
    <row r="233" spans="1:11" ht="35.5" customHeight="1" x14ac:dyDescent="0.35">
      <c r="A233" s="59" t="s">
        <v>158</v>
      </c>
      <c r="B233" s="196" t="s">
        <v>264</v>
      </c>
      <c r="C233" s="197"/>
      <c r="D233" s="197"/>
      <c r="E233" s="197"/>
      <c r="F233" s="197"/>
      <c r="G233" s="197"/>
      <c r="H233" s="198"/>
      <c r="K233" s="21">
        <v>2</v>
      </c>
    </row>
    <row r="234" spans="1:11" ht="31.15" customHeight="1" x14ac:dyDescent="0.35">
      <c r="A234" s="47" t="s">
        <v>158</v>
      </c>
      <c r="B234" s="188" t="s">
        <v>260</v>
      </c>
      <c r="C234" s="189"/>
      <c r="D234" s="189"/>
      <c r="E234" s="189"/>
      <c r="F234" s="189"/>
      <c r="G234" s="189"/>
      <c r="H234" s="190"/>
    </row>
    <row r="235" spans="1:11" x14ac:dyDescent="0.35">
      <c r="A235" s="177" t="s">
        <v>62</v>
      </c>
      <c r="B235" s="177"/>
      <c r="C235" s="177"/>
      <c r="D235" s="177"/>
      <c r="E235" s="177"/>
      <c r="F235" s="177"/>
      <c r="G235" s="177"/>
      <c r="H235" s="177"/>
    </row>
    <row r="236" spans="1:11" x14ac:dyDescent="0.35">
      <c r="A236" s="92" t="s">
        <v>63</v>
      </c>
      <c r="B236" s="92"/>
      <c r="C236" s="92"/>
      <c r="D236" s="92"/>
      <c r="E236" s="92"/>
      <c r="F236" s="92"/>
      <c r="G236" s="92"/>
      <c r="H236" s="92"/>
    </row>
    <row r="237" spans="1:11" x14ac:dyDescent="0.35">
      <c r="A237" s="187" t="s">
        <v>64</v>
      </c>
      <c r="B237" s="187"/>
      <c r="C237" s="187"/>
      <c r="D237" s="187"/>
      <c r="E237" s="187"/>
      <c r="F237" s="187"/>
      <c r="G237" s="187"/>
      <c r="H237" s="187"/>
    </row>
    <row r="238" spans="1:11" x14ac:dyDescent="0.35">
      <c r="A238" s="92" t="s">
        <v>65</v>
      </c>
      <c r="B238" s="92"/>
      <c r="C238" s="92"/>
      <c r="D238" s="92"/>
      <c r="E238" s="92"/>
      <c r="F238" s="92"/>
      <c r="G238" s="92"/>
      <c r="H238" s="92"/>
    </row>
    <row r="239" spans="1:11" x14ac:dyDescent="0.35">
      <c r="A239" s="92" t="s">
        <v>66</v>
      </c>
      <c r="B239" s="92"/>
      <c r="C239" s="92"/>
      <c r="D239" s="92"/>
      <c r="E239" s="92"/>
      <c r="F239" s="92"/>
      <c r="G239" s="92"/>
      <c r="H239" s="92"/>
    </row>
    <row r="240" spans="1:11" ht="15" customHeight="1" x14ac:dyDescent="0.35">
      <c r="A240" s="92" t="s">
        <v>131</v>
      </c>
      <c r="B240" s="92"/>
      <c r="C240" s="92"/>
      <c r="D240" s="92"/>
      <c r="E240" s="92"/>
      <c r="F240" s="92"/>
      <c r="G240" s="92"/>
      <c r="H240" s="92"/>
    </row>
    <row r="241" spans="1:8" x14ac:dyDescent="0.35">
      <c r="A241" s="171" t="s">
        <v>132</v>
      </c>
      <c r="B241" s="171"/>
      <c r="C241" s="171"/>
      <c r="D241" s="171"/>
      <c r="E241" s="171"/>
      <c r="F241" s="171"/>
      <c r="G241" s="171"/>
      <c r="H241" s="171"/>
    </row>
    <row r="242" spans="1:8" x14ac:dyDescent="0.35">
      <c r="A242" s="176" t="s">
        <v>79</v>
      </c>
      <c r="B242" s="176"/>
      <c r="C242" s="176" t="s">
        <v>222</v>
      </c>
      <c r="D242" s="176"/>
      <c r="E242" s="176" t="s">
        <v>109</v>
      </c>
      <c r="F242" s="176"/>
      <c r="G242" s="176" t="s">
        <v>266</v>
      </c>
      <c r="H242" s="176"/>
    </row>
    <row r="243" spans="1:8" x14ac:dyDescent="0.35">
      <c r="A243" s="175" t="s">
        <v>81</v>
      </c>
      <c r="B243" s="175"/>
      <c r="C243" s="175"/>
      <c r="D243" s="175"/>
      <c r="E243" s="175"/>
      <c r="F243" s="175"/>
      <c r="G243" s="175"/>
      <c r="H243" s="175"/>
    </row>
    <row r="244" spans="1:8" x14ac:dyDescent="0.35">
      <c r="A244" s="175"/>
      <c r="B244" s="175"/>
      <c r="C244" s="175"/>
      <c r="D244" s="175"/>
      <c r="E244" s="175"/>
      <c r="F244" s="175"/>
      <c r="G244" s="175"/>
      <c r="H244" s="175"/>
    </row>
    <row r="245" spans="1:8" x14ac:dyDescent="0.35">
      <c r="A245" s="175"/>
      <c r="B245" s="175"/>
      <c r="C245" s="175"/>
      <c r="D245" s="175"/>
      <c r="E245" s="175"/>
      <c r="F245" s="175"/>
      <c r="G245" s="175"/>
      <c r="H245" s="175"/>
    </row>
    <row r="246" spans="1:8" x14ac:dyDescent="0.35">
      <c r="A246" s="175"/>
      <c r="B246" s="175"/>
      <c r="C246" s="175"/>
      <c r="D246" s="175"/>
      <c r="E246" s="175"/>
      <c r="F246" s="175"/>
      <c r="G246" s="175"/>
      <c r="H246" s="175"/>
    </row>
    <row r="247" spans="1:8" x14ac:dyDescent="0.35">
      <c r="A247" s="38" t="s">
        <v>67</v>
      </c>
      <c r="B247" s="39"/>
      <c r="C247" s="39"/>
      <c r="D247" s="38" t="str">
        <f>E8</f>
        <v>Infinity Towers</v>
      </c>
      <c r="F247" s="39"/>
      <c r="G247" s="39"/>
      <c r="H247" s="39"/>
    </row>
    <row r="248" spans="1:8" x14ac:dyDescent="0.35">
      <c r="A248" s="39"/>
      <c r="B248" s="39"/>
      <c r="C248" s="39"/>
      <c r="D248" s="39"/>
      <c r="E248" s="39"/>
      <c r="F248" s="39"/>
      <c r="G248" s="39"/>
      <c r="H248" s="39"/>
    </row>
    <row r="249" spans="1:8" x14ac:dyDescent="0.35">
      <c r="A249" s="39"/>
      <c r="B249" s="39"/>
      <c r="C249" s="39"/>
      <c r="D249" s="39"/>
      <c r="E249" s="39"/>
      <c r="F249" s="39"/>
      <c r="G249" s="39"/>
      <c r="H249" s="39"/>
    </row>
    <row r="290" spans="1:8" x14ac:dyDescent="0.35">
      <c r="A290" s="38" t="s">
        <v>249</v>
      </c>
      <c r="B290" s="39"/>
      <c r="C290" s="39"/>
      <c r="D290" s="38"/>
      <c r="F290" s="39"/>
      <c r="G290" s="39"/>
      <c r="H290" s="39"/>
    </row>
    <row r="291" spans="1:8" x14ac:dyDescent="0.35">
      <c r="A291" s="39"/>
      <c r="B291" s="39"/>
      <c r="C291" s="39"/>
      <c r="D291" s="39"/>
      <c r="E291" s="39"/>
      <c r="F291" s="39"/>
      <c r="G291" s="39"/>
      <c r="H291" s="39"/>
    </row>
    <row r="292" spans="1:8" x14ac:dyDescent="0.35">
      <c r="A292" s="39"/>
      <c r="B292" s="39"/>
      <c r="C292" s="39"/>
      <c r="D292" s="39"/>
      <c r="E292" s="39"/>
      <c r="F292" s="39"/>
      <c r="G292" s="39"/>
      <c r="H292" s="39"/>
    </row>
    <row r="293" spans="1:8" x14ac:dyDescent="0.35">
      <c r="A293" s="39"/>
      <c r="B293" s="39"/>
      <c r="C293" s="39"/>
      <c r="D293" s="39"/>
      <c r="E293" s="39"/>
      <c r="F293" s="39"/>
      <c r="G293" s="39"/>
      <c r="H293" s="39"/>
    </row>
    <row r="294" spans="1:8" x14ac:dyDescent="0.35">
      <c r="A294" s="39"/>
      <c r="B294" s="39"/>
      <c r="C294" s="39"/>
      <c r="D294" s="39"/>
      <c r="E294" s="39"/>
      <c r="F294" s="39"/>
      <c r="G294" s="39"/>
      <c r="H294" s="39"/>
    </row>
    <row r="295" spans="1:8" x14ac:dyDescent="0.35">
      <c r="A295" s="39"/>
      <c r="B295" s="39"/>
      <c r="C295" s="39"/>
      <c r="D295" s="39"/>
      <c r="E295" s="39"/>
      <c r="F295" s="39"/>
      <c r="G295" s="39"/>
      <c r="H295" s="39"/>
    </row>
    <row r="296" spans="1:8" x14ac:dyDescent="0.35">
      <c r="A296" s="39"/>
      <c r="B296" s="39"/>
      <c r="C296" s="39"/>
      <c r="D296" s="39"/>
      <c r="E296" s="39"/>
      <c r="F296" s="39"/>
      <c r="G296" s="39"/>
      <c r="H296" s="39"/>
    </row>
    <row r="297" spans="1:8" x14ac:dyDescent="0.35">
      <c r="A297" s="39"/>
      <c r="B297" s="39"/>
      <c r="C297" s="39"/>
      <c r="D297" s="39"/>
      <c r="E297" s="39"/>
      <c r="F297" s="39"/>
      <c r="G297" s="39"/>
      <c r="H297" s="39"/>
    </row>
    <row r="298" spans="1:8" ht="15" customHeight="1" x14ac:dyDescent="0.35">
      <c r="A298" s="39"/>
      <c r="B298" s="39"/>
      <c r="C298" s="39"/>
      <c r="D298" s="39"/>
      <c r="E298" s="39"/>
      <c r="F298" s="39"/>
      <c r="G298" s="39"/>
      <c r="H298" s="39"/>
    </row>
    <row r="299" spans="1:8" x14ac:dyDescent="0.35">
      <c r="A299" s="39"/>
      <c r="B299" s="39"/>
      <c r="C299" s="39"/>
      <c r="D299" s="39"/>
      <c r="E299" s="39"/>
      <c r="F299" s="39"/>
      <c r="G299" s="39"/>
      <c r="H299" s="39"/>
    </row>
    <row r="300" spans="1:8" x14ac:dyDescent="0.35">
      <c r="A300" s="39"/>
      <c r="B300" s="39"/>
      <c r="C300" s="39"/>
      <c r="D300" s="39"/>
      <c r="E300" s="39"/>
      <c r="F300" s="39"/>
      <c r="G300" s="39"/>
      <c r="H300" s="39"/>
    </row>
    <row r="301" spans="1:8" x14ac:dyDescent="0.35">
      <c r="A301" s="39"/>
      <c r="B301" s="39"/>
      <c r="C301" s="39"/>
      <c r="D301" s="39"/>
      <c r="E301" s="39"/>
      <c r="F301" s="39"/>
      <c r="G301" s="39"/>
      <c r="H301" s="39"/>
    </row>
    <row r="302" spans="1:8" x14ac:dyDescent="0.35">
      <c r="A302" s="39"/>
      <c r="B302" s="39"/>
      <c r="C302" s="39"/>
      <c r="D302" s="39"/>
      <c r="E302" s="39"/>
      <c r="F302" s="39"/>
      <c r="G302" s="39"/>
      <c r="H302" s="39"/>
    </row>
    <row r="303" spans="1:8" x14ac:dyDescent="0.35">
      <c r="A303" s="39"/>
      <c r="B303" s="39"/>
      <c r="C303" s="39"/>
      <c r="D303" s="39"/>
      <c r="E303" s="39"/>
      <c r="F303" s="39"/>
      <c r="G303" s="39"/>
      <c r="H303" s="39"/>
    </row>
    <row r="304" spans="1:8" x14ac:dyDescent="0.35">
      <c r="A304" s="39"/>
      <c r="B304" s="39"/>
      <c r="C304" s="39"/>
      <c r="D304" s="39"/>
      <c r="E304" s="39"/>
      <c r="F304" s="39"/>
      <c r="G304" s="39"/>
      <c r="H304" s="39"/>
    </row>
    <row r="305" spans="1:8" x14ac:dyDescent="0.35">
      <c r="A305" s="39"/>
      <c r="B305" s="39"/>
      <c r="C305" s="39"/>
      <c r="D305" s="39"/>
      <c r="E305" s="39"/>
      <c r="F305" s="39"/>
      <c r="G305" s="39"/>
      <c r="H305" s="39"/>
    </row>
    <row r="306" spans="1:8" x14ac:dyDescent="0.35">
      <c r="A306" s="39"/>
      <c r="B306" s="39"/>
      <c r="C306" s="39"/>
      <c r="D306" s="39"/>
      <c r="E306" s="39"/>
      <c r="F306" s="39"/>
      <c r="G306" s="39"/>
      <c r="H306" s="39"/>
    </row>
    <row r="307" spans="1:8" x14ac:dyDescent="0.35">
      <c r="A307" s="39"/>
      <c r="B307" s="39"/>
      <c r="C307" s="39"/>
      <c r="D307" s="39"/>
      <c r="E307" s="39"/>
      <c r="F307" s="39"/>
      <c r="G307" s="39"/>
      <c r="H307" s="39"/>
    </row>
    <row r="320" spans="1:8" x14ac:dyDescent="0.35">
      <c r="A320" s="41" t="s">
        <v>68</v>
      </c>
    </row>
  </sheetData>
  <mergeCells count="445">
    <mergeCell ref="B234:H234"/>
    <mergeCell ref="A168:H168"/>
    <mergeCell ref="A169:B169"/>
    <mergeCell ref="G169:H173"/>
    <mergeCell ref="A170:B170"/>
    <mergeCell ref="A172:B172"/>
    <mergeCell ref="A173:B173"/>
    <mergeCell ref="A171:B171"/>
    <mergeCell ref="C171:F171"/>
    <mergeCell ref="B233:H233"/>
    <mergeCell ref="B231:H231"/>
    <mergeCell ref="G211:H213"/>
    <mergeCell ref="A219:H219"/>
    <mergeCell ref="B224:H224"/>
    <mergeCell ref="B225:H225"/>
    <mergeCell ref="A217:B217"/>
    <mergeCell ref="C217:F217"/>
    <mergeCell ref="A182:B182"/>
    <mergeCell ref="A183:B183"/>
    <mergeCell ref="A175:B175"/>
    <mergeCell ref="G175:H176"/>
    <mergeCell ref="A176:B176"/>
    <mergeCell ref="A78:B78"/>
    <mergeCell ref="A79:B79"/>
    <mergeCell ref="A80:B80"/>
    <mergeCell ref="A81:B81"/>
    <mergeCell ref="A82:B82"/>
    <mergeCell ref="A73:B73"/>
    <mergeCell ref="A49:B49"/>
    <mergeCell ref="C49:E49"/>
    <mergeCell ref="G49:H49"/>
    <mergeCell ref="A69:B69"/>
    <mergeCell ref="C69:H69"/>
    <mergeCell ref="A71:B71"/>
    <mergeCell ref="C71:H71"/>
    <mergeCell ref="A72:B72"/>
    <mergeCell ref="E72:F72"/>
    <mergeCell ref="G72:H72"/>
    <mergeCell ref="A54:B54"/>
    <mergeCell ref="C54:E54"/>
    <mergeCell ref="A50:B50"/>
    <mergeCell ref="A55:H55"/>
    <mergeCell ref="A56:C56"/>
    <mergeCell ref="A57:C57"/>
    <mergeCell ref="D57:H57"/>
    <mergeCell ref="G54:H54"/>
    <mergeCell ref="C53:H53"/>
    <mergeCell ref="A51:B51"/>
    <mergeCell ref="C51:E51"/>
    <mergeCell ref="G51:H51"/>
    <mergeCell ref="D61:H61"/>
    <mergeCell ref="D60:H60"/>
    <mergeCell ref="B230:H230"/>
    <mergeCell ref="A135:B135"/>
    <mergeCell ref="C135:D135"/>
    <mergeCell ref="E135:F135"/>
    <mergeCell ref="G135:H135"/>
    <mergeCell ref="A174:H174"/>
    <mergeCell ref="A195:H195"/>
    <mergeCell ref="A218:H218"/>
    <mergeCell ref="B221:H221"/>
    <mergeCell ref="B222:H222"/>
    <mergeCell ref="B227:H227"/>
    <mergeCell ref="B223:H223"/>
    <mergeCell ref="A184:H184"/>
    <mergeCell ref="A185:B185"/>
    <mergeCell ref="G185:H188"/>
    <mergeCell ref="A186:B186"/>
    <mergeCell ref="A187:B187"/>
    <mergeCell ref="C213:F213"/>
    <mergeCell ref="L177:M177"/>
    <mergeCell ref="A188:B188"/>
    <mergeCell ref="L178:M178"/>
    <mergeCell ref="L202:M202"/>
    <mergeCell ref="A202:H202"/>
    <mergeCell ref="A203:B203"/>
    <mergeCell ref="L193:M193"/>
    <mergeCell ref="A204:B204"/>
    <mergeCell ref="L194:M194"/>
    <mergeCell ref="A191:B191"/>
    <mergeCell ref="L181:M181"/>
    <mergeCell ref="A192:B192"/>
    <mergeCell ref="L182:M182"/>
    <mergeCell ref="A193:B193"/>
    <mergeCell ref="L183:M183"/>
    <mergeCell ref="L203:M203"/>
    <mergeCell ref="G180:H183"/>
    <mergeCell ref="G190:H193"/>
    <mergeCell ref="G203:H205"/>
    <mergeCell ref="A198:H198"/>
    <mergeCell ref="A199:B199"/>
    <mergeCell ref="G199:H201"/>
    <mergeCell ref="L189:M189"/>
    <mergeCell ref="A200:B200"/>
    <mergeCell ref="L190:M190"/>
    <mergeCell ref="A201:B201"/>
    <mergeCell ref="L191:M191"/>
    <mergeCell ref="A205:B205"/>
    <mergeCell ref="L195:M195"/>
    <mergeCell ref="A210:H210"/>
    <mergeCell ref="A211:B211"/>
    <mergeCell ref="L201:M201"/>
    <mergeCell ref="A212:B212"/>
    <mergeCell ref="A196:H196"/>
    <mergeCell ref="A197:H197"/>
    <mergeCell ref="A194:H194"/>
    <mergeCell ref="C193:F193"/>
    <mergeCell ref="L205:M205"/>
    <mergeCell ref="L206:M206"/>
    <mergeCell ref="L207:M207"/>
    <mergeCell ref="A208:B208"/>
    <mergeCell ref="L198:M198"/>
    <mergeCell ref="A209:B209"/>
    <mergeCell ref="L199:M199"/>
    <mergeCell ref="L180:M180"/>
    <mergeCell ref="L197:M197"/>
    <mergeCell ref="E41:H41"/>
    <mergeCell ref="A41:D41"/>
    <mergeCell ref="A240:H240"/>
    <mergeCell ref="A237:H237"/>
    <mergeCell ref="A134:B134"/>
    <mergeCell ref="D149:D150"/>
    <mergeCell ref="E149:E150"/>
    <mergeCell ref="G149:H150"/>
    <mergeCell ref="A105:B105"/>
    <mergeCell ref="A106:B106"/>
    <mergeCell ref="A107:B107"/>
    <mergeCell ref="A97:B97"/>
    <mergeCell ref="C97:H97"/>
    <mergeCell ref="F112:H112"/>
    <mergeCell ref="G130:H130"/>
    <mergeCell ref="A48:B48"/>
    <mergeCell ref="C48:E48"/>
    <mergeCell ref="G48:H48"/>
    <mergeCell ref="G52:H52"/>
    <mergeCell ref="A213:B213"/>
    <mergeCell ref="B232:H232"/>
    <mergeCell ref="C50:E50"/>
    <mergeCell ref="D56:H56"/>
    <mergeCell ref="C52:E52"/>
    <mergeCell ref="A59:C61"/>
    <mergeCell ref="D59:H59"/>
    <mergeCell ref="A139:H139"/>
    <mergeCell ref="A64:C64"/>
    <mergeCell ref="D64:H64"/>
    <mergeCell ref="A65:C65"/>
    <mergeCell ref="D65:H65"/>
    <mergeCell ref="A68:C68"/>
    <mergeCell ref="D68:H68"/>
    <mergeCell ref="A66:C66"/>
    <mergeCell ref="D66:H66"/>
    <mergeCell ref="A67:C67"/>
    <mergeCell ref="D67:H67"/>
    <mergeCell ref="G100:H100"/>
    <mergeCell ref="A117:E117"/>
    <mergeCell ref="F117:H117"/>
    <mergeCell ref="E73:F82"/>
    <mergeCell ref="G73:H82"/>
    <mergeCell ref="A74:B74"/>
    <mergeCell ref="A75:B75"/>
    <mergeCell ref="A76:B76"/>
    <mergeCell ref="A77:B77"/>
    <mergeCell ref="A118:E118"/>
    <mergeCell ref="A121:E121"/>
    <mergeCell ref="F114:H114"/>
    <mergeCell ref="A119:E119"/>
    <mergeCell ref="A114:E114"/>
    <mergeCell ref="A111:E111"/>
    <mergeCell ref="F115:H115"/>
    <mergeCell ref="F119:H119"/>
    <mergeCell ref="A120:E120"/>
    <mergeCell ref="F111:H111"/>
    <mergeCell ref="F116:H116"/>
    <mergeCell ref="F121:H121"/>
    <mergeCell ref="A116:E116"/>
    <mergeCell ref="F124:H124"/>
    <mergeCell ref="A140:H140"/>
    <mergeCell ref="G129:H129"/>
    <mergeCell ref="C130:D130"/>
    <mergeCell ref="E130:F130"/>
    <mergeCell ref="B141:B142"/>
    <mergeCell ref="A141:A142"/>
    <mergeCell ref="C149:C150"/>
    <mergeCell ref="C138:D138"/>
    <mergeCell ref="G147:H147"/>
    <mergeCell ref="A138:B138"/>
    <mergeCell ref="E138:F138"/>
    <mergeCell ref="G134:H134"/>
    <mergeCell ref="C129:D129"/>
    <mergeCell ref="A243:H246"/>
    <mergeCell ref="A242:B242"/>
    <mergeCell ref="E242:F242"/>
    <mergeCell ref="C242:D242"/>
    <mergeCell ref="G242:H242"/>
    <mergeCell ref="A128:H128"/>
    <mergeCell ref="A136:B136"/>
    <mergeCell ref="A130:B130"/>
    <mergeCell ref="A238:H238"/>
    <mergeCell ref="A133:H133"/>
    <mergeCell ref="A241:H241"/>
    <mergeCell ref="A239:H239"/>
    <mergeCell ref="A235:H235"/>
    <mergeCell ref="A236:H236"/>
    <mergeCell ref="E134:F134"/>
    <mergeCell ref="B229:H229"/>
    <mergeCell ref="G146:H146"/>
    <mergeCell ref="G144:H144"/>
    <mergeCell ref="A165:B165"/>
    <mergeCell ref="A190:B190"/>
    <mergeCell ref="A214:H214"/>
    <mergeCell ref="A215:B215"/>
    <mergeCell ref="G215:H217"/>
    <mergeCell ref="A216:B216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2:C62"/>
    <mergeCell ref="D62:H62"/>
    <mergeCell ref="A42:D42"/>
    <mergeCell ref="E42:H42"/>
    <mergeCell ref="E43:H43"/>
    <mergeCell ref="E44:H44"/>
    <mergeCell ref="E45:H45"/>
    <mergeCell ref="A43:D43"/>
    <mergeCell ref="F35:H35"/>
    <mergeCell ref="A34:B34"/>
    <mergeCell ref="C34:E34"/>
    <mergeCell ref="A45:D45"/>
    <mergeCell ref="A46:H46"/>
    <mergeCell ref="D58:H58"/>
    <mergeCell ref="A58:C58"/>
    <mergeCell ref="G50:H50"/>
    <mergeCell ref="A37:B37"/>
    <mergeCell ref="C37:H37"/>
    <mergeCell ref="A44:D44"/>
    <mergeCell ref="L147:M147"/>
    <mergeCell ref="L146:M146"/>
    <mergeCell ref="L145:M145"/>
    <mergeCell ref="L144:M144"/>
    <mergeCell ref="A94:B94"/>
    <mergeCell ref="C136:D136"/>
    <mergeCell ref="E136:F136"/>
    <mergeCell ref="G136:H136"/>
    <mergeCell ref="F118:H118"/>
    <mergeCell ref="A112:E112"/>
    <mergeCell ref="A143:H143"/>
    <mergeCell ref="E141:E142"/>
    <mergeCell ref="G141:H142"/>
    <mergeCell ref="A101:B101"/>
    <mergeCell ref="E101:F110"/>
    <mergeCell ref="A108:B108"/>
    <mergeCell ref="A109:B109"/>
    <mergeCell ref="A110:B110"/>
    <mergeCell ref="A63:C63"/>
    <mergeCell ref="D63:H63"/>
    <mergeCell ref="A52:B53"/>
    <mergeCell ref="L215:M215"/>
    <mergeCell ref="A148:H148"/>
    <mergeCell ref="A149:A150"/>
    <mergeCell ref="A124:E124"/>
    <mergeCell ref="G138:H138"/>
    <mergeCell ref="C131:D131"/>
    <mergeCell ref="E131:F131"/>
    <mergeCell ref="G131:H131"/>
    <mergeCell ref="A132:B132"/>
    <mergeCell ref="C132:D132"/>
    <mergeCell ref="E132:F132"/>
    <mergeCell ref="G132:H132"/>
    <mergeCell ref="A137:B137"/>
    <mergeCell ref="C137:D137"/>
    <mergeCell ref="E137:F137"/>
    <mergeCell ref="G137:H137"/>
    <mergeCell ref="C134:D134"/>
    <mergeCell ref="G145:H145"/>
    <mergeCell ref="A206:H206"/>
    <mergeCell ref="A207:B207"/>
    <mergeCell ref="G207:H209"/>
    <mergeCell ref="L214:M214"/>
    <mergeCell ref="L211:M211"/>
    <mergeCell ref="L212:M212"/>
    <mergeCell ref="L213:M213"/>
    <mergeCell ref="A220:H220"/>
    <mergeCell ref="C141:C142"/>
    <mergeCell ref="B149:B150"/>
    <mergeCell ref="A147:B147"/>
    <mergeCell ref="A38:B38"/>
    <mergeCell ref="C38:H38"/>
    <mergeCell ref="B228:H228"/>
    <mergeCell ref="A47:B47"/>
    <mergeCell ref="C47:H47"/>
    <mergeCell ref="B226:H226"/>
    <mergeCell ref="G101:H110"/>
    <mergeCell ref="A102:B102"/>
    <mergeCell ref="A103:B103"/>
    <mergeCell ref="A104:B104"/>
    <mergeCell ref="F113:H113"/>
    <mergeCell ref="A113:E113"/>
    <mergeCell ref="D141:D142"/>
    <mergeCell ref="A115:E115"/>
    <mergeCell ref="A144:B144"/>
    <mergeCell ref="A145:B145"/>
    <mergeCell ref="A146:B146"/>
    <mergeCell ref="A99:B99"/>
    <mergeCell ref="A189:H189"/>
    <mergeCell ref="C99:H99"/>
    <mergeCell ref="A177:H177"/>
    <mergeCell ref="A178:H178"/>
    <mergeCell ref="A179:H179"/>
    <mergeCell ref="A180:B180"/>
    <mergeCell ref="L174:M174"/>
    <mergeCell ref="A181:B181"/>
    <mergeCell ref="A87:B87"/>
    <mergeCell ref="G86:H86"/>
    <mergeCell ref="A159:B159"/>
    <mergeCell ref="A160:B160"/>
    <mergeCell ref="A151:H151"/>
    <mergeCell ref="A152:H152"/>
    <mergeCell ref="A153:H153"/>
    <mergeCell ref="F123:H123"/>
    <mergeCell ref="A100:B100"/>
    <mergeCell ref="E100:F100"/>
    <mergeCell ref="F126:H126"/>
    <mergeCell ref="A127:E127"/>
    <mergeCell ref="F127:H127"/>
    <mergeCell ref="A166:B166"/>
    <mergeCell ref="A167:B167"/>
    <mergeCell ref="I116:J116"/>
    <mergeCell ref="A126:E126"/>
    <mergeCell ref="L175:M175"/>
    <mergeCell ref="L176:M176"/>
    <mergeCell ref="L153:M153"/>
    <mergeCell ref="A154:B154"/>
    <mergeCell ref="A155:B155"/>
    <mergeCell ref="A156:B156"/>
    <mergeCell ref="F120:H120"/>
    <mergeCell ref="A125:E125"/>
    <mergeCell ref="F125:H125"/>
    <mergeCell ref="A161:B161"/>
    <mergeCell ref="A162:B162"/>
    <mergeCell ref="G159:H162"/>
    <mergeCell ref="A157:B157"/>
    <mergeCell ref="G154:H157"/>
    <mergeCell ref="A158:H158"/>
    <mergeCell ref="E129:F129"/>
    <mergeCell ref="A129:B129"/>
    <mergeCell ref="A131:B131"/>
    <mergeCell ref="A123:E123"/>
    <mergeCell ref="F122:H122"/>
    <mergeCell ref="A122:E122"/>
    <mergeCell ref="A163:H163"/>
    <mergeCell ref="A164:B164"/>
    <mergeCell ref="G164:H167"/>
    <mergeCell ref="C83:H83"/>
    <mergeCell ref="A83:B83"/>
    <mergeCell ref="A96:B96"/>
    <mergeCell ref="A89:B89"/>
    <mergeCell ref="A88:B88"/>
    <mergeCell ref="G87:H96"/>
    <mergeCell ref="E87:F96"/>
    <mergeCell ref="E86:F86"/>
    <mergeCell ref="A86:B86"/>
    <mergeCell ref="C85:H85"/>
    <mergeCell ref="A85:B85"/>
    <mergeCell ref="A90:B90"/>
    <mergeCell ref="A91:B91"/>
    <mergeCell ref="A92:B92"/>
    <mergeCell ref="A93:B93"/>
    <mergeCell ref="A95:B9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6" max="16383" man="1"/>
    <brk id="246" max="7" man="1"/>
    <brk id="289" max="7" man="1"/>
    <brk id="319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9" t="s">
        <v>110</v>
      </c>
      <c r="C3" s="199"/>
      <c r="D3" s="199"/>
      <c r="E3" s="199"/>
      <c r="F3" s="199"/>
      <c r="G3" s="199"/>
      <c r="H3" s="199"/>
    </row>
    <row r="4" spans="1:9" x14ac:dyDescent="0.3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2025-08-23T07:25:49Z</cp:lastPrinted>
  <dcterms:created xsi:type="dcterms:W3CDTF">2019-07-16T09:29:46Z</dcterms:created>
  <dcterms:modified xsi:type="dcterms:W3CDTF">2025-08-23T07:30:14Z</dcterms:modified>
</cp:coreProperties>
</file>