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1C15D354-A1ED-4697-B13C-B8B1A097C883}"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0" i="1" l="1"/>
  <c r="A201" i="1" s="1"/>
  <c r="A202" i="1" s="1"/>
  <c r="A203" i="1" s="1"/>
  <c r="A204" i="1" s="1"/>
  <c r="A205" i="1" s="1"/>
  <c r="A206" i="1" s="1"/>
  <c r="A207" i="1" s="1"/>
  <c r="J180" i="1"/>
  <c r="D181" i="1"/>
  <c r="F181" i="1" s="1"/>
  <c r="H181" i="1" s="1"/>
  <c r="D180" i="1"/>
  <c r="F180" i="1" s="1"/>
  <c r="H180" i="1" s="1"/>
  <c r="G126" i="1" s="1"/>
  <c r="G128" i="1" s="1"/>
  <c r="A195" i="1"/>
  <c r="A196" i="1" s="1"/>
  <c r="A197" i="1" s="1"/>
  <c r="A190" i="1"/>
  <c r="A191" i="1" s="1"/>
  <c r="A192" i="1" s="1"/>
  <c r="A185" i="1"/>
  <c r="A186" i="1" s="1"/>
  <c r="A187" i="1" s="1"/>
  <c r="A175" i="1"/>
  <c r="A176" i="1" s="1"/>
  <c r="A177" i="1" s="1"/>
  <c r="A170" i="1"/>
  <c r="A171" i="1" s="1"/>
  <c r="A172" i="1" s="1"/>
  <c r="A181" i="1"/>
  <c r="D156" i="1"/>
  <c r="D155" i="1"/>
  <c r="D154" i="1"/>
  <c r="D153" i="1"/>
  <c r="D152" i="1"/>
  <c r="D151" i="1"/>
  <c r="D150" i="1"/>
  <c r="D149" i="1"/>
  <c r="D148" i="1"/>
  <c r="D145" i="1"/>
  <c r="D144" i="1"/>
  <c r="D143" i="1"/>
  <c r="D142" i="1"/>
  <c r="D141" i="1"/>
  <c r="D140" i="1"/>
  <c r="C119" i="1" s="1"/>
  <c r="D139" i="1"/>
  <c r="D138" i="1"/>
  <c r="D137" i="1"/>
  <c r="D136" i="1"/>
  <c r="I163" i="1"/>
  <c r="A208" i="1" l="1"/>
  <c r="A209" i="1" s="1"/>
  <c r="A210" i="1" s="1"/>
  <c r="A211" i="1" s="1"/>
  <c r="A212" i="1" s="1"/>
  <c r="C126" i="1"/>
  <c r="C128" i="1" s="1"/>
  <c r="C120" i="1"/>
  <c r="C121" i="1" s="1"/>
  <c r="E126" i="1"/>
  <c r="E128" i="1" s="1"/>
  <c r="E197" i="1"/>
  <c r="D197" i="1"/>
  <c r="E195" i="1"/>
  <c r="D195" i="1"/>
  <c r="E194" i="1"/>
  <c r="D194" i="1"/>
  <c r="E192" i="1"/>
  <c r="D192" i="1"/>
  <c r="E191" i="1"/>
  <c r="D191" i="1"/>
  <c r="E190" i="1"/>
  <c r="D190" i="1"/>
  <c r="E189" i="1"/>
  <c r="D189" i="1"/>
  <c r="D187" i="1"/>
  <c r="D186" i="1"/>
  <c r="D185" i="1"/>
  <c r="D184" i="1"/>
  <c r="E176" i="1"/>
  <c r="D176" i="1"/>
  <c r="E175" i="1"/>
  <c r="D175" i="1"/>
  <c r="E174" i="1"/>
  <c r="D174" i="1"/>
  <c r="E187" i="1"/>
  <c r="E186" i="1"/>
  <c r="E185" i="1"/>
  <c r="E184" i="1"/>
  <c r="E172" i="1"/>
  <c r="D172" i="1"/>
  <c r="E171" i="1"/>
  <c r="D171" i="1"/>
  <c r="E170" i="1"/>
  <c r="D170" i="1"/>
  <c r="E169" i="1"/>
  <c r="D169" i="1"/>
  <c r="E167" i="1"/>
  <c r="D167" i="1"/>
  <c r="E166" i="1"/>
  <c r="D166" i="1"/>
  <c r="E165" i="1"/>
  <c r="D165" i="1"/>
  <c r="E164" i="1"/>
  <c r="D164" i="1"/>
  <c r="F155" i="1"/>
  <c r="H155" i="1" s="1"/>
  <c r="F156" i="1"/>
  <c r="H156" i="1" s="1"/>
  <c r="F154" i="1"/>
  <c r="H154" i="1" s="1"/>
  <c r="F153" i="1"/>
  <c r="H153" i="1" s="1"/>
  <c r="F152" i="1"/>
  <c r="H152" i="1" s="1"/>
  <c r="F151" i="1"/>
  <c r="H151" i="1" s="1"/>
  <c r="F150" i="1"/>
  <c r="H150" i="1" s="1"/>
  <c r="F149" i="1"/>
  <c r="H149" i="1" s="1"/>
  <c r="F148" i="1"/>
  <c r="A149" i="1"/>
  <c r="A150" i="1" s="1"/>
  <c r="A151" i="1" s="1"/>
  <c r="A152" i="1" s="1"/>
  <c r="A153" i="1" s="1"/>
  <c r="A154" i="1" s="1"/>
  <c r="A155" i="1" s="1"/>
  <c r="A156" i="1" s="1"/>
  <c r="F145" i="1"/>
  <c r="H145" i="1" s="1"/>
  <c r="F144" i="1"/>
  <c r="H144" i="1" s="1"/>
  <c r="F143" i="1"/>
  <c r="H143" i="1" s="1"/>
  <c r="F142" i="1"/>
  <c r="H142" i="1" s="1"/>
  <c r="F141" i="1"/>
  <c r="H141" i="1" s="1"/>
  <c r="F140" i="1"/>
  <c r="H140" i="1" s="1"/>
  <c r="E43" i="1"/>
  <c r="C76" i="1"/>
  <c r="C125" i="1" l="1"/>
  <c r="F191" i="1"/>
  <c r="H191" i="1" s="1"/>
  <c r="C124" i="1"/>
  <c r="H148" i="1"/>
  <c r="G120" i="1" s="1"/>
  <c r="E120" i="1"/>
  <c r="F189" i="1"/>
  <c r="H189" i="1" s="1"/>
  <c r="F192" i="1"/>
  <c r="H192" i="1" s="1"/>
  <c r="F176" i="1"/>
  <c r="H176" i="1" s="1"/>
  <c r="F190" i="1"/>
  <c r="H190" i="1" s="1"/>
  <c r="F197" i="1"/>
  <c r="H197" i="1" s="1"/>
  <c r="F194" i="1"/>
  <c r="H194" i="1" s="1"/>
  <c r="F195" i="1"/>
  <c r="H195" i="1" s="1"/>
  <c r="F174" i="1"/>
  <c r="H174" i="1" s="1"/>
  <c r="F171" i="1"/>
  <c r="H171" i="1" s="1"/>
  <c r="F170" i="1"/>
  <c r="H170" i="1" s="1"/>
  <c r="F185" i="1"/>
  <c r="H185" i="1" s="1"/>
  <c r="F186" i="1"/>
  <c r="H186" i="1" s="1"/>
  <c r="F187" i="1"/>
  <c r="H187" i="1" s="1"/>
  <c r="F175" i="1"/>
  <c r="H175" i="1" s="1"/>
  <c r="F169" i="1"/>
  <c r="H169" i="1" s="1"/>
  <c r="F184" i="1"/>
  <c r="F172" i="1"/>
  <c r="H172" i="1" s="1"/>
  <c r="F136" i="1"/>
  <c r="B38" i="6"/>
  <c r="B39" i="6" s="1"/>
  <c r="B40" i="6" s="1"/>
  <c r="B41" i="6" s="1"/>
  <c r="B42" i="6" s="1"/>
  <c r="B43" i="6" s="1"/>
  <c r="B44" i="6" s="1"/>
  <c r="B45" i="6" s="1"/>
  <c r="B46" i="6" s="1"/>
  <c r="B47" i="6" s="1"/>
  <c r="B48" i="6" s="1"/>
  <c r="B49" i="6" s="1"/>
  <c r="B50" i="6" s="1"/>
  <c r="B51" i="6" s="1"/>
  <c r="B52" i="6" s="1"/>
  <c r="B53" i="6" s="1"/>
  <c r="B54" i="6" s="1"/>
  <c r="C127" i="1" l="1"/>
  <c r="C129" i="1" s="1"/>
  <c r="H184" i="1"/>
  <c r="G125" i="1" s="1"/>
  <c r="E125" i="1"/>
  <c r="H136" i="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26" i="1"/>
  <c r="B201" i="1"/>
  <c r="B200" i="1"/>
  <c r="F167" i="1"/>
  <c r="H167" i="1" s="1"/>
  <c r="F166" i="1"/>
  <c r="H166" i="1" s="1"/>
  <c r="F165" i="1"/>
  <c r="H165" i="1" s="1"/>
  <c r="A165" i="1"/>
  <c r="A166" i="1" s="1"/>
  <c r="A167" i="1" s="1"/>
  <c r="F164" i="1"/>
  <c r="F139" i="1"/>
  <c r="H139" i="1" s="1"/>
  <c r="F138" i="1"/>
  <c r="H138" i="1" s="1"/>
  <c r="F137" i="1"/>
  <c r="A137" i="1"/>
  <c r="A138" i="1" s="1"/>
  <c r="A139" i="1" s="1"/>
  <c r="A140" i="1" s="1"/>
  <c r="A141" i="1" s="1"/>
  <c r="A142" i="1" s="1"/>
  <c r="A143" i="1" s="1"/>
  <c r="A144" i="1" s="1"/>
  <c r="A145" i="1" s="1"/>
  <c r="F116" i="1"/>
  <c r="C90" i="1"/>
  <c r="B77" i="1"/>
  <c r="D70" i="1"/>
  <c r="D64" i="1"/>
  <c r="G57" i="1"/>
  <c r="C57" i="1"/>
  <c r="K55" i="1"/>
  <c r="C55" i="1"/>
  <c r="G51" i="1"/>
  <c r="C51" i="1"/>
  <c r="E44" i="1"/>
  <c r="E45" i="1" s="1"/>
  <c r="S33" i="1"/>
  <c r="E31" i="1"/>
  <c r="E28" i="1"/>
  <c r="E26" i="1"/>
  <c r="C16" i="1"/>
  <c r="I15" i="1"/>
  <c r="Z13" i="1"/>
  <c r="E8" i="1"/>
  <c r="E3" i="1"/>
  <c r="B211" i="1" s="1"/>
  <c r="H91" i="1"/>
  <c r="H164" i="1" l="1"/>
  <c r="G124" i="1" s="1"/>
  <c r="G127" i="1" s="1"/>
  <c r="E124" i="1"/>
  <c r="E127" i="1" s="1"/>
  <c r="H137" i="1"/>
  <c r="G119" i="1" s="1"/>
  <c r="G121" i="1" s="1"/>
  <c r="E119" i="1"/>
  <c r="E121" i="1" s="1"/>
  <c r="E129" i="1" s="1"/>
  <c r="E42" i="7"/>
  <c r="J84" i="1"/>
  <c r="J85" i="1"/>
  <c r="I42" i="7"/>
  <c r="H42" i="7" s="1"/>
  <c r="L42" i="7"/>
  <c r="K42" i="7" s="1"/>
  <c r="J90" i="1"/>
  <c r="J92" i="1" s="1"/>
  <c r="D99" i="1"/>
  <c r="D98" i="1"/>
  <c r="D103" i="1"/>
  <c r="D97" i="1"/>
  <c r="J93" i="1"/>
  <c r="D102" i="1"/>
  <c r="J95" i="1"/>
  <c r="C94" i="1" s="1"/>
  <c r="D96" i="1"/>
  <c r="D101" i="1"/>
  <c r="J94" i="1"/>
  <c r="D100" i="1"/>
  <c r="D42" i="7"/>
  <c r="L55" i="1"/>
  <c r="B91" i="1"/>
  <c r="J86" i="1"/>
  <c r="J87" i="1"/>
  <c r="I52" i="1"/>
  <c r="H77" i="1"/>
  <c r="G129" i="1" l="1"/>
  <c r="D88" i="1"/>
  <c r="D82" i="1"/>
  <c r="J82" i="1"/>
  <c r="J83" i="1" s="1"/>
  <c r="J88" i="1" s="1"/>
  <c r="J89" i="1" s="1"/>
  <c r="C81" i="1" s="1"/>
  <c r="E80" i="1" s="1"/>
  <c r="J81" i="1"/>
  <c r="C80" i="1" s="1"/>
  <c r="D80" i="1" s="1"/>
  <c r="D87" i="1"/>
  <c r="D86" i="1"/>
  <c r="J76" i="1"/>
  <c r="J78" i="1" s="1"/>
  <c r="D85" i="1"/>
  <c r="D89" i="1"/>
  <c r="D83" i="1"/>
  <c r="J80" i="1"/>
  <c r="J79" i="1"/>
  <c r="D84" i="1"/>
  <c r="D44" i="7"/>
  <c r="E44" i="7"/>
  <c r="D94" i="1"/>
  <c r="J99" i="1"/>
  <c r="J96" i="1"/>
  <c r="J97" i="1" s="1"/>
  <c r="J102" i="1" s="1"/>
  <c r="J103" i="1" s="1"/>
  <c r="C95" i="1" s="1"/>
  <c r="J101" i="1"/>
  <c r="J98" i="1"/>
  <c r="J100" i="1"/>
  <c r="G80" i="1" l="1"/>
  <c r="D74" i="1" s="1"/>
  <c r="D75" i="1" s="1"/>
  <c r="D81" i="1"/>
  <c r="I77" i="1" s="1"/>
  <c r="I78" i="1" s="1"/>
  <c r="J77" i="1"/>
  <c r="E94" i="1"/>
  <c r="D95" i="1"/>
  <c r="I91" i="1" s="1"/>
  <c r="J91" i="1"/>
  <c r="G94" i="1"/>
  <c r="F75" i="1" l="1"/>
  <c r="I76" i="1"/>
  <c r="C78" i="1" s="1"/>
  <c r="I92" i="1"/>
  <c r="I90" i="1" s="1"/>
  <c r="C9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6" authorId="1" shapeId="0" xr:uid="{00000000-0006-0000-0000-000003000000}">
      <text>
        <r>
          <rPr>
            <b/>
            <sz val="9"/>
            <color indexed="81"/>
            <rFont val="Tahoma"/>
            <family val="2"/>
          </rPr>
          <t>SACHIN:</t>
        </r>
        <r>
          <rPr>
            <sz val="9"/>
            <color indexed="81"/>
            <rFont val="Tahoma"/>
            <family val="2"/>
          </rPr>
          <t xml:space="preserve">
Floor with height</t>
        </r>
      </text>
    </comment>
    <comment ref="C58" authorId="1" shapeId="0" xr:uid="{00000000-0006-0000-0000-000004000000}">
      <text>
        <r>
          <rPr>
            <b/>
            <sz val="9"/>
            <color indexed="81"/>
            <rFont val="Tahoma"/>
            <family val="2"/>
          </rPr>
          <t>SACHIN:</t>
        </r>
        <r>
          <rPr>
            <sz val="9"/>
            <color indexed="81"/>
            <rFont val="Tahoma"/>
            <family val="2"/>
          </rPr>
          <t xml:space="preserve">
Survey Nos.</t>
        </r>
      </text>
    </comment>
    <comment ref="D64"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9"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<sst xmlns="http://schemas.openxmlformats.org/spreadsheetml/2006/main" count="740" uniqueCount="453">
  <si>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</si>
  <si>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</si>
  <si>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</si>
  <si>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</si>
  <si>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</si>
  <si>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</si>
  <si>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</si>
  <si>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</si>
  <si>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</si>
  <si>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</si>
  <si>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</si>
  <si>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</si>
  <si>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</si>
  <si>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</si>
  <si>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</si>
  <si>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</si>
  <si>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</si>
  <si>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</si>
  <si>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</si>
  <si>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</si>
  <si>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</si>
  <si>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</si>
  <si>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</si>
  <si>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</si>
  <si>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</si>
  <si>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</si>
  <si>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</si>
  <si>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</si>
  <si>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</si>
  <si>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</si>
  <si>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</si>
  <si>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</si>
  <si>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</si>
  <si>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</si>
  <si>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</si>
  <si>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</si>
  <si>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</si>
  <si>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</si>
  <si>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</si>
  <si>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</si>
  <si>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</si>
  <si>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</si>
  <si>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</si>
  <si>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</si>
  <si>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</si>
  <si>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</si>
  <si>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</si>
  <si>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</si>
  <si>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</si>
  <si>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</si>
  <si>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</si>
  <si>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</si>
  <si>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</si>
  <si>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</si>
  <si>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</si>
  <si>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</si>
  <si>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</si>
  <si>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</si>
  <si>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</si>
  <si>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</si>
  <si>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</si>
  <si>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</si>
  <si>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</si>
  <si>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</si>
  <si>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</si>
  <si>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</si>
  <si>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</si>
  <si>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</si>
  <si>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</si>
  <si>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</si>
  <si>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</si>
  <si>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</si>
  <si>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</si>
  <si>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</si>
  <si>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</si>
  <si>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</si>
  <si>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</si>
  <si>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</si>
  <si>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</si>
  <si>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</si>
  <si>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</si>
  <si>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</si>
  <si>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</si>
  <si>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</si>
  <si>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</si>
  <si>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</si>
  <si>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</si>
  <si>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</si>
  <si>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</si>
  <si>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</si>
  <si>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</si>
  <si>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</si>
  <si>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</si>
  <si>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</si>
  <si>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</si>
  <si>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</si>
  <si>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</si>
  <si>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</si>
  <si>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</si>
  <si>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</si>
  <si>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</si>
  <si>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</si>
  <si>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</si>
  <si>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</si>
  <si>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</si>
  <si>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</si>
  <si>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</si>
  <si>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</si>
  <si>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</si>
  <si>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</si>
  <si>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</si>
  <si>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</si>
  <si>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</si>
  <si>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</si>
  <si>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</si>
  <si>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</si>
  <si>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</si>
  <si>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</si>
  <si>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</si>
  <si>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</si>
  <si>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</si>
  <si>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</si>
  <si>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</si>
  <si>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</si>
  <si>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</si>
  <si>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</si>
  <si>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</si>
  <si>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</si>
  <si>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</si>
  <si>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</si>
  <si>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</si>
  <si>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</si>
  <si>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</si>
  <si>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</si>
  <si>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</si>
  <si>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</si>
  <si>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</si>
  <si>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</si>
  <si>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</si>
  <si>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</si>
  <si>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</si>
  <si>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</si>
  <si>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</si>
  <si>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</si>
  <si>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</si>
  <si>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</si>
  <si>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Only For MCGM &amp; MHADA or SRA</t>
  </si>
  <si>
    <t>We have considered proposed No. of Floor for Stage Calculation.</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</si>
  <si>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</si>
  <si>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</si>
  <si>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</si>
  <si>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</si>
  <si>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</si>
  <si>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</si>
  <si>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</si>
  <si>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</si>
  <si>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</si>
  <si>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</si>
  <si>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</si>
  <si>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</si>
  <si>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</si>
  <si>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</si>
  <si>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</si>
  <si>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</si>
  <si>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</si>
  <si>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</si>
  <si>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</si>
  <si>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</si>
  <si>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</si>
  <si>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</si>
  <si>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</si>
  <si>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</si>
  <si>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</si>
  <si>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</si>
  <si>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</si>
  <si>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</si>
  <si>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</si>
  <si>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</si>
  <si>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</si>
  <si>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</si>
  <si>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</si>
  <si>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</si>
  <si>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</si>
  <si>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</si>
  <si>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</si>
  <si>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</si>
  <si>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</si>
  <si>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</si>
  <si>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</si>
  <si>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</si>
  <si>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</si>
  <si>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</si>
  <si>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</si>
  <si>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</si>
  <si>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</si>
  <si>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</si>
  <si>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</si>
  <si>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</si>
  <si>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</si>
  <si>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</si>
  <si>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</si>
  <si>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</si>
  <si>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</si>
  <si>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</si>
  <si>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</si>
  <si>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</si>
  <si>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</si>
  <si>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</si>
  <si>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</si>
  <si>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</si>
  <si>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</si>
  <si>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</si>
  <si>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</si>
  <si>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</si>
  <si>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</si>
  <si>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</si>
  <si>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</si>
  <si>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</si>
  <si>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</si>
  <si>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</si>
  <si>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</si>
  <si>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</si>
  <si>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</si>
  <si>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</si>
  <si>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</si>
  <si>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</si>
  <si>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</si>
  <si>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</si>
  <si>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</si>
  <si>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</si>
  <si>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</si>
  <si>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</si>
  <si>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</si>
  <si>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</si>
  <si>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</si>
  <si>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</si>
  <si>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</si>
  <si>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</si>
  <si>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</si>
  <si>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</si>
  <si>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</si>
  <si>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</si>
  <si>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</si>
  <si>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</si>
  <si>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</si>
  <si>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</si>
  <si>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</si>
  <si>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</si>
  <si>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</si>
  <si>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</si>
  <si>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</si>
  <si>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</si>
  <si>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</si>
  <si>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</si>
  <si>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</si>
  <si>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</si>
  <si>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</si>
  <si>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</si>
  <si>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</si>
  <si>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</si>
  <si>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</si>
  <si>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</si>
  <si>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</si>
  <si>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</si>
  <si>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</si>
  <si>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</si>
  <si>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</si>
  <si>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</si>
  <si>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</si>
  <si>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</si>
  <si>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</si>
  <si>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</si>
  <si>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</si>
  <si>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</si>
  <si>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</si>
  <si>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</si>
  <si>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</si>
  <si>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</si>
  <si>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</si>
  <si>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</si>
  <si>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</si>
  <si>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</si>
  <si>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</si>
  <si>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</si>
  <si>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</si>
  <si>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</si>
  <si>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</si>
  <si>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</si>
  <si>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</si>
  <si>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</si>
  <si>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</si>
  <si>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</si>
  <si>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</si>
  <si>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</si>
  <si>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</si>
  <si>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</si>
  <si>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</si>
  <si>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</si>
  <si>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</si>
  <si>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</si>
  <si>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</si>
  <si>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</si>
  <si>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</si>
  <si>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</si>
  <si>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</si>
  <si>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</si>
  <si>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</si>
  <si>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</si>
  <si>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</si>
  <si>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</si>
  <si>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</si>
  <si>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</si>
  <si>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</si>
  <si>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</si>
  <si>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</si>
  <si>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</si>
  <si>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</si>
  <si>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</si>
  <si>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</si>
  <si>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</si>
  <si>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</si>
  <si>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</si>
  <si>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</si>
  <si>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</si>
  <si>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</si>
  <si>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</si>
  <si>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</si>
  <si>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</si>
  <si>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</si>
  <si>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</si>
  <si>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</si>
  <si>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</si>
  <si>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</si>
  <si>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</si>
  <si>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</si>
  <si>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</si>
  <si>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</si>
  <si>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</si>
  <si>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</si>
  <si>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</si>
  <si>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</si>
  <si>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</si>
  <si>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</si>
  <si>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</si>
  <si>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</si>
  <si>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</si>
  <si>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</si>
  <si>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</si>
  <si>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</si>
  <si>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</si>
  <si>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</si>
  <si>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</si>
  <si>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</si>
  <si>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</si>
  <si>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</si>
  <si>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</si>
  <si>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</si>
  <si>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</si>
  <si>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</si>
  <si>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</si>
  <si>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</si>
  <si>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</si>
  <si>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</si>
  <si>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</si>
  <si>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</si>
  <si>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</si>
  <si>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</si>
  <si>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</si>
  <si>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</si>
  <si>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</si>
  <si>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</si>
  <si>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</si>
  <si>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</si>
  <si>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</si>
  <si>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</si>
  <si>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</si>
  <si>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</si>
  <si>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</si>
  <si>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</si>
  <si>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</si>
  <si>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</si>
  <si>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</si>
  <si>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</si>
  <si>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19.115460,72.997408</t>
  </si>
  <si>
    <t>https://maps.app.goo.gl/iWf6fodp2rqPKzfr5</t>
  </si>
  <si>
    <t>Neelkanth Infratech</t>
  </si>
  <si>
    <t>Neelkanth Palm Avenue</t>
  </si>
  <si>
    <t>Neelkanth 9930150722/9819639606</t>
  </si>
  <si>
    <t>Mr. Pankaj 9930150722</t>
  </si>
  <si>
    <t>Wing A &amp; B</t>
  </si>
  <si>
    <t>Approved Plans, CC, Sale Plans, Cost Sheet.</t>
  </si>
  <si>
    <t>P51700052959</t>
  </si>
  <si>
    <t>Plot No</t>
  </si>
  <si>
    <t>23 &amp; 24, Sector 09</t>
  </si>
  <si>
    <t>Jijamata Nagar</t>
  </si>
  <si>
    <t>Palm Beach Road</t>
  </si>
  <si>
    <t>Ghansoli West</t>
  </si>
  <si>
    <t>Ghansoli</t>
  </si>
  <si>
    <t>Mathadi Society</t>
  </si>
  <si>
    <t>2.10KM from Ghansoli Railway Station</t>
  </si>
  <si>
    <t>Other Plot</t>
  </si>
  <si>
    <t xml:space="preserve">24.00 M . Wide road </t>
  </si>
  <si>
    <t>Plot No. 25</t>
  </si>
  <si>
    <t>Plot No. 22</t>
  </si>
  <si>
    <t>Internal Road</t>
  </si>
  <si>
    <t>Building</t>
  </si>
  <si>
    <t>Open Plot</t>
  </si>
  <si>
    <t>Century 2 by City Infra</t>
  </si>
  <si>
    <t>02 Wings</t>
  </si>
  <si>
    <t>NRV/A-2364</t>
  </si>
  <si>
    <t>NMMP/NRV/B.P./2364/2024</t>
  </si>
  <si>
    <t>Total Built up Area = 26215.02 Sq.M
No of Units = Residential - 254 Units, Service Quarters - 10 Units,
Commercial - 19 Units</t>
  </si>
  <si>
    <t>A Wing = G + 1st to 38th Floor
B Wing = G + 1st to 38th Floor</t>
  </si>
  <si>
    <t>A Wing = G + 1st to 38th Floor</t>
  </si>
  <si>
    <t>B Wing = G + 1st to 38th Floor</t>
  </si>
  <si>
    <t>As per RERA - 29/12/2029</t>
  </si>
  <si>
    <r>
      <t xml:space="preserve">Proposed Amenities :                                                                                                                                                                                                                         </t>
    </r>
    <r>
      <rPr>
        <b/>
        <sz val="12"/>
        <rFont val="Times New Roman"/>
        <family val="1"/>
      </rPr>
      <t xml:space="preserve">                                               </t>
    </r>
  </si>
  <si>
    <t>Club House, Swimming Pool, Gymansium, Senior Citizen Area,
Basket Ball, Multipurpose Party Lawn, Yoga Meditation Area,
Jogging Track, Kids Play Area, Indoor Games, Gazebo, Garden.</t>
  </si>
  <si>
    <t>S</t>
  </si>
  <si>
    <t>Amenities Charges</t>
  </si>
  <si>
    <t>Floor Rise Rate from 10 Floor</t>
  </si>
  <si>
    <t>Water, MSEB, Development Charges</t>
  </si>
  <si>
    <r>
      <t xml:space="preserve">Shop No.
</t>
    </r>
    <r>
      <rPr>
        <b/>
        <sz val="11"/>
        <rFont val="Times New Roman"/>
        <family val="1"/>
      </rPr>
      <t>(Approved Plan)</t>
    </r>
  </si>
  <si>
    <t>Wing A</t>
  </si>
  <si>
    <t>Ground Floor For Commercial, Entrance Lobby &amp; Parking</t>
  </si>
  <si>
    <t>Shop</t>
  </si>
  <si>
    <t>Wing B</t>
  </si>
  <si>
    <t>1st to 5th Podium Floor For Parking</t>
  </si>
  <si>
    <t xml:space="preserve">6th Floor For Society Office, Drivers Room, Fitness Centre, Garden, Swimming Pool &amp; Parking </t>
  </si>
  <si>
    <t>2BHK</t>
  </si>
  <si>
    <t>7th, 12th, 17th, 22nd, 27th, 32nd &amp; 37th Floor For Residential
(Refuge Balcony at midlanding of staircase )</t>
  </si>
  <si>
    <t>8th to 11th, 13th to 16th, 18th to 21st, 23rd to 26th,
28th to 31st &amp; 33rd to 36th Floor</t>
  </si>
  <si>
    <t>38th Floor (Part Terrace Area)</t>
  </si>
  <si>
    <t>Terrace Area</t>
  </si>
  <si>
    <t xml:space="preserve">6th Floor For Indoor Games, Garden, Swimming Pool &amp; Parking </t>
  </si>
  <si>
    <t>3BHK</t>
  </si>
  <si>
    <t>Construction work is in process at the time of Visit.</t>
  </si>
  <si>
    <t>We considered Gross carpet area = Net carpet + Balcony.</t>
  </si>
  <si>
    <t>Kunal Kadam</t>
  </si>
  <si>
    <t>Tushar Mohite</t>
  </si>
  <si>
    <t>Shops</t>
  </si>
  <si>
    <t>Flats</t>
  </si>
  <si>
    <t>Sale</t>
  </si>
  <si>
    <t>-</t>
  </si>
  <si>
    <t>Service Quarter</t>
  </si>
  <si>
    <t>1RK</t>
  </si>
  <si>
    <t>1st to 5th Podium Floor For  Service Quarter &amp; Parking</t>
  </si>
  <si>
    <t xml:space="preserve">Service Quarter </t>
  </si>
  <si>
    <t>Total Flats</t>
  </si>
  <si>
    <t xml:space="preserve">Total Service Quarter  </t>
  </si>
  <si>
    <t>Flats - 254, Service Quarter - 10, Shops - 19</t>
  </si>
  <si>
    <t xml:space="preserve">As per the approved plans, Few EWS Flats have been mentioned from the Ground floor to 5th Floor adjacent to Wing B. Therefore we have not drafted area of EWS flats.
</t>
  </si>
  <si>
    <t>Remark No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</si>
</sst>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6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37" xfId="0" applyBorder="1" applyAlignment="1">
      <alignment vertical="top" wrapText="1"/>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 fontId="5" fillId="0" borderId="8"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67" fontId="11" fillId="0" borderId="1" xfId="9" applyNumberFormat="1" applyFont="1" applyFill="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 fontId="9" fillId="0" borderId="37" xfId="0" applyNumberFormat="1" applyFont="1" applyBorder="1" applyAlignment="1" applyProtection="1">
      <alignment horizontal="center" vertical="center"/>
      <protection locked="0"/>
    </xf>
    <xf numFmtId="0" fontId="9" fillId="0" borderId="37" xfId="0"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2" fillId="0" borderId="16"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5" fillId="0" borderId="21"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25" xfId="1" applyFont="1" applyBorder="1" applyAlignment="1" applyProtection="1">
      <alignment horizontal="left" vertical="top" wrapText="1"/>
      <protection locked="0"/>
    </xf>
    <xf numFmtId="0" fontId="5" fillId="0" borderId="26"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0" fontId="6" fillId="0" borderId="0" xfId="1" applyFont="1" applyAlignment="1">
      <alignment horizontal="center" vertical="center"/>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1" fontId="7" fillId="0" borderId="28" xfId="0" applyNumberFormat="1" applyFont="1" applyBorder="1" applyAlignment="1" applyProtection="1">
      <alignment horizontal="center" vertical="center" wrapText="1"/>
      <protection locked="0"/>
    </xf>
    <xf numFmtId="1" fontId="7" fillId="0" borderId="29"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1" fontId="12" fillId="5" borderId="8" xfId="1" applyNumberFormat="1" applyFont="1" applyFill="1" applyBorder="1" applyAlignment="1" applyProtection="1">
      <alignment horizontal="center" vertical="center" wrapText="1"/>
      <protection locked="0"/>
    </xf>
    <xf numFmtId="1" fontId="12" fillId="5" borderId="21" xfId="1" applyNumberFormat="1" applyFont="1" applyFill="1" applyBorder="1" applyAlignment="1" applyProtection="1">
      <alignment horizontal="center" vertical="center" wrapText="1"/>
      <protection locked="0"/>
    </xf>
    <xf numFmtId="1" fontId="12" fillId="5" borderId="9" xfId="1" applyNumberFormat="1" applyFont="1" applyFill="1" applyBorder="1" applyAlignment="1" applyProtection="1">
      <alignment horizontal="center" vertical="center"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8"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8</xdr:col>
      <xdr:colOff>601980</xdr:colOff>
      <xdr:row>40</xdr:row>
      <xdr:rowOff>106680</xdr:rowOff>
    </xdr:from>
    <xdr:to>
      <xdr:col>15</xdr:col>
      <xdr:colOff>389140</xdr:colOff>
      <xdr:row>48</xdr:row>
      <xdr:rowOff>213507</xdr:rowOff>
    </xdr:to>
    <xdr:pic>
      <xdr:nvPicPr>
        <xdr:cNvPr id="2" name="Picture 1">
          <a:extLst>
            <a:ext uri="{FF2B5EF4-FFF2-40B4-BE49-F238E27FC236}">
              <a16:creationId xmlns:a16="http://schemas.microsoft.com/office/drawing/2014/main" id="{55DC1AD3-D688-FFAE-6A3D-2E4B0BF79C94}"/>
            </a:ext>
          </a:extLst>
        </xdr:cNvPr>
        <xdr:cNvPicPr>
          <a:picLocks noChangeAspect="1"/>
        </xdr:cNvPicPr>
      </xdr:nvPicPr>
      <xdr:blipFill>
        <a:blip xmlns:r="http://schemas.openxmlformats.org/officeDocument/2006/relationships" r:embed="rId1"/>
        <a:stretch>
          <a:fillRect/>
        </a:stretch>
      </xdr:blipFill>
      <xdr:spPr>
        <a:xfrm>
          <a:off x="7086600" y="9044940"/>
          <a:ext cx="6005080" cy="1691787"/>
        </a:xfrm>
        <a:prstGeom prst="rect">
          <a:avLst/>
        </a:prstGeom>
      </xdr:spPr>
    </xdr:pic>
    <xdr:clientData/>
  </xdr:twoCellAnchor>
  <xdr:twoCellAnchor>
    <xdr:from>
      <xdr:col>0</xdr:col>
      <xdr:colOff>342900</xdr:colOff>
      <xdr:row>311</xdr:row>
      <xdr:rowOff>7620</xdr:rowOff>
    </xdr:from>
    <xdr:to>
      <xdr:col>7</xdr:col>
      <xdr:colOff>372660</xdr:colOff>
      <xdr:row>345</xdr:row>
      <xdr:rowOff>15738</xdr:rowOff>
    </xdr:to>
    <xdr:grpSp>
      <xdr:nvGrpSpPr>
        <xdr:cNvPr id="11" name="Group 10">
          <a:extLst>
            <a:ext uri="{FF2B5EF4-FFF2-40B4-BE49-F238E27FC236}">
              <a16:creationId xmlns:a16="http://schemas.microsoft.com/office/drawing/2014/main" id="{62A4F015-919C-49A6-92DA-438D8B2CF0C8}"/>
            </a:ext>
          </a:extLst>
        </xdr:cNvPr>
        <xdr:cNvGrpSpPr/>
      </xdr:nvGrpSpPr>
      <xdr:grpSpPr>
        <a:xfrm>
          <a:off x="342900" y="64579500"/>
          <a:ext cx="5760000" cy="6744198"/>
          <a:chOff x="549000" y="671797"/>
          <a:chExt cx="5760000" cy="6744198"/>
        </a:xfrm>
      </xdr:grpSpPr>
      <xdr:pic>
        <xdr:nvPicPr>
          <xdr:cNvPr id="12" name="Picture 11">
            <a:extLst>
              <a:ext uri="{FF2B5EF4-FFF2-40B4-BE49-F238E27FC236}">
                <a16:creationId xmlns:a16="http://schemas.microsoft.com/office/drawing/2014/main" id="{E882EFE3-81BA-4F3B-110C-DACA200DD311}"/>
              </a:ext>
            </a:extLst>
          </xdr:cNvPr>
          <xdr:cNvPicPr>
            <a:picLocks noChangeAspect="1"/>
          </xdr:cNvPicPr>
        </xdr:nvPicPr>
        <xdr:blipFill>
          <a:blip xmlns:r="http://schemas.openxmlformats.org/officeDocument/2006/relationships" r:embed="rId2"/>
          <a:stretch>
            <a:fillRect/>
          </a:stretch>
        </xdr:blipFill>
        <xdr:spPr>
          <a:xfrm>
            <a:off x="1269000" y="4338809"/>
            <a:ext cx="4320000" cy="3077186"/>
          </a:xfrm>
          <a:prstGeom prst="rect">
            <a:avLst/>
          </a:prstGeom>
          <a:ln>
            <a:solidFill>
              <a:schemeClr val="tx1"/>
            </a:solidFill>
          </a:ln>
        </xdr:spPr>
      </xdr:pic>
      <xdr:grpSp>
        <xdr:nvGrpSpPr>
          <xdr:cNvPr id="13" name="Group 12">
            <a:extLst>
              <a:ext uri="{FF2B5EF4-FFF2-40B4-BE49-F238E27FC236}">
                <a16:creationId xmlns:a16="http://schemas.microsoft.com/office/drawing/2014/main" id="{1DCA59C0-9C81-6AF3-D6C6-FC584908E900}"/>
              </a:ext>
            </a:extLst>
          </xdr:cNvPr>
          <xdr:cNvGrpSpPr/>
        </xdr:nvGrpSpPr>
        <xdr:grpSpPr>
          <a:xfrm>
            <a:off x="549000" y="671797"/>
            <a:ext cx="5760000" cy="3479491"/>
            <a:chOff x="549000" y="671797"/>
            <a:chExt cx="5760000" cy="3479491"/>
          </a:xfrm>
        </xdr:grpSpPr>
        <xdr:pic>
          <xdr:nvPicPr>
            <xdr:cNvPr id="14" name="Picture 13">
              <a:extLst>
                <a:ext uri="{FF2B5EF4-FFF2-40B4-BE49-F238E27FC236}">
                  <a16:creationId xmlns:a16="http://schemas.microsoft.com/office/drawing/2014/main" id="{3415D9DB-5FC1-C0C3-0698-8E3A34D09C53}"/>
                </a:ext>
              </a:extLst>
            </xdr:cNvPr>
            <xdr:cNvPicPr>
              <a:picLocks noChangeAspect="1"/>
            </xdr:cNvPicPr>
          </xdr:nvPicPr>
          <xdr:blipFill>
            <a:blip xmlns:r="http://schemas.openxmlformats.org/officeDocument/2006/relationships" r:embed="rId3"/>
            <a:stretch>
              <a:fillRect/>
            </a:stretch>
          </xdr:blipFill>
          <xdr:spPr>
            <a:xfrm>
              <a:off x="549000" y="671797"/>
              <a:ext cx="5760000" cy="3479491"/>
            </a:xfrm>
            <a:prstGeom prst="rect">
              <a:avLst/>
            </a:prstGeom>
            <a:ln>
              <a:solidFill>
                <a:schemeClr val="tx1"/>
              </a:solidFill>
            </a:ln>
          </xdr:spPr>
        </xdr:pic>
        <xdr:sp macro="" textlink="">
          <xdr:nvSpPr>
            <xdr:cNvPr id="15" name="Rectangle 14">
              <a:extLst>
                <a:ext uri="{FF2B5EF4-FFF2-40B4-BE49-F238E27FC236}">
                  <a16:creationId xmlns:a16="http://schemas.microsoft.com/office/drawing/2014/main" id="{EA920007-FB12-61AB-8183-8256F2615466}"/>
                </a:ext>
              </a:extLst>
            </xdr:cNvPr>
            <xdr:cNvSpPr/>
          </xdr:nvSpPr>
          <xdr:spPr>
            <a:xfrm>
              <a:off x="3429000" y="1051560"/>
              <a:ext cx="2160000" cy="28422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Rectangle 15">
              <a:extLst>
                <a:ext uri="{FF2B5EF4-FFF2-40B4-BE49-F238E27FC236}">
                  <a16:creationId xmlns:a16="http://schemas.microsoft.com/office/drawing/2014/main" id="{5B6BAF96-7519-F3E5-E98B-F4DD29C8C8E1}"/>
                </a:ext>
              </a:extLst>
            </xdr:cNvPr>
            <xdr:cNvSpPr/>
          </xdr:nvSpPr>
          <xdr:spPr>
            <a:xfrm>
              <a:off x="1192800" y="1051560"/>
              <a:ext cx="2160000" cy="284226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10">
              <a:extLst>
                <a:ext uri="{FF2B5EF4-FFF2-40B4-BE49-F238E27FC236}">
                  <a16:creationId xmlns:a16="http://schemas.microsoft.com/office/drawing/2014/main" id="{911D8D6A-4BAE-3E3C-E04F-96218D618606}"/>
                </a:ext>
              </a:extLst>
            </xdr:cNvPr>
            <xdr:cNvSpPr txBox="1"/>
          </xdr:nvSpPr>
          <xdr:spPr>
            <a:xfrm>
              <a:off x="1833439" y="110490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A</a:t>
              </a:r>
            </a:p>
          </xdr:txBody>
        </xdr:sp>
        <xdr:sp macro="" textlink="">
          <xdr:nvSpPr>
            <xdr:cNvPr id="18" name="TextBox 11">
              <a:extLst>
                <a:ext uri="{FF2B5EF4-FFF2-40B4-BE49-F238E27FC236}">
                  <a16:creationId xmlns:a16="http://schemas.microsoft.com/office/drawing/2014/main" id="{06E9CB2B-9EC6-502B-AA68-33131A62786D}"/>
                </a:ext>
              </a:extLst>
            </xdr:cNvPr>
            <xdr:cNvSpPr txBox="1"/>
          </xdr:nvSpPr>
          <xdr:spPr>
            <a:xfrm>
              <a:off x="4071219" y="1067393"/>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B</a:t>
              </a:r>
            </a:p>
          </xdr:txBody>
        </xdr:sp>
      </xdr:grpSp>
    </xdr:grpSp>
    <xdr:clientData/>
  </xdr:twoCellAnchor>
  <xdr:twoCellAnchor>
    <xdr:from>
      <xdr:col>0</xdr:col>
      <xdr:colOff>762000</xdr:colOff>
      <xdr:row>353</xdr:row>
      <xdr:rowOff>15240</xdr:rowOff>
    </xdr:from>
    <xdr:to>
      <xdr:col>7</xdr:col>
      <xdr:colOff>71760</xdr:colOff>
      <xdr:row>388</xdr:row>
      <xdr:rowOff>161097</xdr:rowOff>
    </xdr:to>
    <xdr:grpSp>
      <xdr:nvGrpSpPr>
        <xdr:cNvPr id="19" name="Group 18">
          <a:extLst>
            <a:ext uri="{FF2B5EF4-FFF2-40B4-BE49-F238E27FC236}">
              <a16:creationId xmlns:a16="http://schemas.microsoft.com/office/drawing/2014/main" id="{E8BB1255-CF99-3B2C-A0EE-6C6DA4935FB7}"/>
            </a:ext>
          </a:extLst>
        </xdr:cNvPr>
        <xdr:cNvGrpSpPr/>
      </xdr:nvGrpSpPr>
      <xdr:grpSpPr>
        <a:xfrm>
          <a:off x="762000" y="72908160"/>
          <a:ext cx="5040000" cy="7080057"/>
          <a:chOff x="909000" y="481913"/>
          <a:chExt cx="5040000" cy="7080057"/>
        </a:xfrm>
      </xdr:grpSpPr>
      <xdr:pic>
        <xdr:nvPicPr>
          <xdr:cNvPr id="20" name="Picture 19">
            <a:extLst>
              <a:ext uri="{FF2B5EF4-FFF2-40B4-BE49-F238E27FC236}">
                <a16:creationId xmlns:a16="http://schemas.microsoft.com/office/drawing/2014/main" id="{BF7DF02B-F0AA-4D96-91C1-90E76B9FB2CC}"/>
              </a:ext>
            </a:extLst>
          </xdr:cNvPr>
          <xdr:cNvPicPr>
            <a:picLocks noChangeAspect="1"/>
          </xdr:cNvPicPr>
        </xdr:nvPicPr>
        <xdr:blipFill>
          <a:blip xmlns:r="http://schemas.openxmlformats.org/officeDocument/2006/relationships" r:embed="rId4"/>
          <a:srcRect l="32072" t="35265" r="25946" b="17648"/>
          <a:stretch/>
        </xdr:blipFill>
        <xdr:spPr>
          <a:xfrm>
            <a:off x="909000" y="481913"/>
            <a:ext cx="5040000" cy="3179742"/>
          </a:xfrm>
          <a:prstGeom prst="rect">
            <a:avLst/>
          </a:prstGeom>
          <a:ln>
            <a:solidFill>
              <a:schemeClr val="tx1"/>
            </a:solidFill>
          </a:ln>
        </xdr:spPr>
      </xdr:pic>
      <xdr:grpSp>
        <xdr:nvGrpSpPr>
          <xdr:cNvPr id="21" name="Group 20">
            <a:extLst>
              <a:ext uri="{FF2B5EF4-FFF2-40B4-BE49-F238E27FC236}">
                <a16:creationId xmlns:a16="http://schemas.microsoft.com/office/drawing/2014/main" id="{506401D1-124B-DDDB-26F5-9C39401A379F}"/>
              </a:ext>
            </a:extLst>
          </xdr:cNvPr>
          <xdr:cNvGrpSpPr/>
        </xdr:nvGrpSpPr>
        <xdr:grpSpPr>
          <a:xfrm>
            <a:off x="909000" y="3847369"/>
            <a:ext cx="5040000" cy="3714601"/>
            <a:chOff x="909000" y="3847369"/>
            <a:chExt cx="5040000" cy="3714601"/>
          </a:xfrm>
        </xdr:grpSpPr>
        <xdr:pic>
          <xdr:nvPicPr>
            <xdr:cNvPr id="22" name="Picture 21">
              <a:extLst>
                <a:ext uri="{FF2B5EF4-FFF2-40B4-BE49-F238E27FC236}">
                  <a16:creationId xmlns:a16="http://schemas.microsoft.com/office/drawing/2014/main" id="{8EF94175-6173-0100-AB25-144E64CCD096}"/>
                </a:ext>
              </a:extLst>
            </xdr:cNvPr>
            <xdr:cNvPicPr>
              <a:picLocks noChangeAspect="1"/>
            </xdr:cNvPicPr>
          </xdr:nvPicPr>
          <xdr:blipFill>
            <a:blip xmlns:r="http://schemas.openxmlformats.org/officeDocument/2006/relationships" r:embed="rId5"/>
            <a:srcRect l="17658" t="18288" r="30270" b="13483"/>
            <a:stretch/>
          </xdr:blipFill>
          <xdr:spPr>
            <a:xfrm>
              <a:off x="909000" y="3847369"/>
              <a:ext cx="5040000" cy="3714601"/>
            </a:xfrm>
            <a:prstGeom prst="rect">
              <a:avLst/>
            </a:prstGeom>
            <a:ln>
              <a:solidFill>
                <a:schemeClr val="tx1"/>
              </a:solidFill>
            </a:ln>
          </xdr:spPr>
        </xdr:pic>
        <xdr:sp macro="" textlink="">
          <xdr:nvSpPr>
            <xdr:cNvPr id="23" name="Rectangle 22">
              <a:extLst>
                <a:ext uri="{FF2B5EF4-FFF2-40B4-BE49-F238E27FC236}">
                  <a16:creationId xmlns:a16="http://schemas.microsoft.com/office/drawing/2014/main" id="{6BE476A6-8FE9-A741-8054-5C30D53978F4}"/>
                </a:ext>
              </a:extLst>
            </xdr:cNvPr>
            <xdr:cNvSpPr/>
          </xdr:nvSpPr>
          <xdr:spPr>
            <a:xfrm rot="1281456">
              <a:off x="4302759" y="6741160"/>
              <a:ext cx="548640" cy="396240"/>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4" name="Rectangle 23">
              <a:extLst>
                <a:ext uri="{FF2B5EF4-FFF2-40B4-BE49-F238E27FC236}">
                  <a16:creationId xmlns:a16="http://schemas.microsoft.com/office/drawing/2014/main" id="{8E6F969F-C8E7-5140-AEDE-F6BD36255334}"/>
                </a:ext>
              </a:extLst>
            </xdr:cNvPr>
            <xdr:cNvSpPr/>
          </xdr:nvSpPr>
          <xdr:spPr>
            <a:xfrm rot="19846215">
              <a:off x="2071431" y="5089766"/>
              <a:ext cx="535411" cy="383833"/>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5" name="TextBox 7">
              <a:extLst>
                <a:ext uri="{FF2B5EF4-FFF2-40B4-BE49-F238E27FC236}">
                  <a16:creationId xmlns:a16="http://schemas.microsoft.com/office/drawing/2014/main" id="{C26DC4C0-B814-A2B0-DA64-1A6C32E0BE6C}"/>
                </a:ext>
              </a:extLst>
            </xdr:cNvPr>
            <xdr:cNvSpPr txBox="1"/>
          </xdr:nvSpPr>
          <xdr:spPr>
            <a:xfrm>
              <a:off x="1108093" y="5349054"/>
              <a:ext cx="1143518"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Neelkanth </a:t>
              </a:r>
            </a:p>
            <a:p>
              <a:r>
                <a:rPr lang="en-IN" sz="1200" b="1">
                  <a:solidFill>
                    <a:srgbClr val="FFFF00"/>
                  </a:solidFill>
                </a:rPr>
                <a:t>Palm President</a:t>
              </a:r>
            </a:p>
          </xdr:txBody>
        </xdr:sp>
        <xdr:sp macro="" textlink="">
          <xdr:nvSpPr>
            <xdr:cNvPr id="26" name="TextBox 8">
              <a:extLst>
                <a:ext uri="{FF2B5EF4-FFF2-40B4-BE49-F238E27FC236}">
                  <a16:creationId xmlns:a16="http://schemas.microsoft.com/office/drawing/2014/main" id="{62E067D7-1905-1209-1726-64CFDE5BA165}"/>
                </a:ext>
              </a:extLst>
            </xdr:cNvPr>
            <xdr:cNvSpPr txBox="1"/>
          </xdr:nvSpPr>
          <xdr:spPr>
            <a:xfrm>
              <a:off x="3159759" y="6601728"/>
              <a:ext cx="1018036"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solidFill>
                    <a:srgbClr val="FFFF00"/>
                  </a:solidFill>
                </a:rPr>
                <a:t>Neelkanth </a:t>
              </a:r>
            </a:p>
            <a:p>
              <a:r>
                <a:rPr lang="en-IN" sz="1200" b="1">
                  <a:solidFill>
                    <a:srgbClr val="FFFF00"/>
                  </a:solidFill>
                </a:rPr>
                <a:t>Palm Avenue</a:t>
              </a:r>
            </a:p>
          </xdr:txBody>
        </xdr:sp>
      </xdr:grpSp>
    </xdr:grpSp>
    <xdr:clientData/>
  </xdr:twoCellAnchor>
  <xdr:twoCellAnchor>
    <xdr:from>
      <xdr:col>0</xdr:col>
      <xdr:colOff>205740</xdr:colOff>
      <xdr:row>227</xdr:row>
      <xdr:rowOff>22860</xdr:rowOff>
    </xdr:from>
    <xdr:to>
      <xdr:col>7</xdr:col>
      <xdr:colOff>510540</xdr:colOff>
      <xdr:row>265</xdr:row>
      <xdr:rowOff>167640</xdr:rowOff>
    </xdr:to>
    <xdr:grpSp>
      <xdr:nvGrpSpPr>
        <xdr:cNvPr id="27" name="Group 26">
          <a:extLst>
            <a:ext uri="{FF2B5EF4-FFF2-40B4-BE49-F238E27FC236}">
              <a16:creationId xmlns:a16="http://schemas.microsoft.com/office/drawing/2014/main" id="{E1B56DF8-EF9E-E722-90E9-E6E9326EF683}"/>
            </a:ext>
          </a:extLst>
        </xdr:cNvPr>
        <xdr:cNvGrpSpPr/>
      </xdr:nvGrpSpPr>
      <xdr:grpSpPr>
        <a:xfrm>
          <a:off x="205740" y="47960280"/>
          <a:ext cx="6035040" cy="7665720"/>
          <a:chOff x="-164629" y="307732"/>
          <a:chExt cx="6418606" cy="8004435"/>
        </a:xfrm>
      </xdr:grpSpPr>
      <xdr:grpSp>
        <xdr:nvGrpSpPr>
          <xdr:cNvPr id="28" name="Group 27">
            <a:extLst>
              <a:ext uri="{FF2B5EF4-FFF2-40B4-BE49-F238E27FC236}">
                <a16:creationId xmlns:a16="http://schemas.microsoft.com/office/drawing/2014/main" id="{4B3CE83A-DA4C-6E42-09E8-B2A3FC295AD9}"/>
              </a:ext>
            </a:extLst>
          </xdr:cNvPr>
          <xdr:cNvGrpSpPr/>
        </xdr:nvGrpSpPr>
        <xdr:grpSpPr>
          <a:xfrm>
            <a:off x="-164629" y="6512167"/>
            <a:ext cx="6418606" cy="1800000"/>
            <a:chOff x="-365325" y="6512167"/>
            <a:chExt cx="6418606" cy="1800000"/>
          </a:xfrm>
        </xdr:grpSpPr>
        <xdr:pic>
          <xdr:nvPicPr>
            <xdr:cNvPr id="36" name="Picture 35">
              <a:extLst>
                <a:ext uri="{FF2B5EF4-FFF2-40B4-BE49-F238E27FC236}">
                  <a16:creationId xmlns:a16="http://schemas.microsoft.com/office/drawing/2014/main" id="{733CA361-6573-7001-DF2E-34DE011A096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55503" y="6512167"/>
              <a:ext cx="2397778" cy="1800000"/>
            </a:xfrm>
            <a:prstGeom prst="rect">
              <a:avLst/>
            </a:prstGeom>
            <a:ln>
              <a:solidFill>
                <a:schemeClr val="tx1"/>
              </a:solidFill>
            </a:ln>
          </xdr:spPr>
        </xdr:pic>
        <xdr:pic>
          <xdr:nvPicPr>
            <xdr:cNvPr id="37" name="Picture 36">
              <a:extLst>
                <a:ext uri="{FF2B5EF4-FFF2-40B4-BE49-F238E27FC236}">
                  <a16:creationId xmlns:a16="http://schemas.microsoft.com/office/drawing/2014/main" id="{F153FF70-5261-0610-3C33-6CAD38B2CC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65325" y="6512167"/>
              <a:ext cx="2397778" cy="1800000"/>
            </a:xfrm>
            <a:prstGeom prst="rect">
              <a:avLst/>
            </a:prstGeom>
            <a:ln>
              <a:solidFill>
                <a:schemeClr val="tx1"/>
              </a:solidFill>
            </a:ln>
          </xdr:spPr>
        </xdr:pic>
        <xdr:pic>
          <xdr:nvPicPr>
            <xdr:cNvPr id="38" name="Picture 37">
              <a:extLst>
                <a:ext uri="{FF2B5EF4-FFF2-40B4-BE49-F238E27FC236}">
                  <a16:creationId xmlns:a16="http://schemas.microsoft.com/office/drawing/2014/main" id="{69E04559-01D2-298B-66E7-696EEA7813C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72050" y="6512167"/>
              <a:ext cx="1348594" cy="1800000"/>
            </a:xfrm>
            <a:prstGeom prst="rect">
              <a:avLst/>
            </a:prstGeom>
            <a:ln>
              <a:solidFill>
                <a:schemeClr val="tx1"/>
              </a:solidFill>
            </a:ln>
          </xdr:spPr>
        </xdr:pic>
      </xdr:grpSp>
      <xdr:grpSp>
        <xdr:nvGrpSpPr>
          <xdr:cNvPr id="29" name="Group 28">
            <a:extLst>
              <a:ext uri="{FF2B5EF4-FFF2-40B4-BE49-F238E27FC236}">
                <a16:creationId xmlns:a16="http://schemas.microsoft.com/office/drawing/2014/main" id="{CA0C1C84-1D7D-97E1-E741-E9AF187405A3}"/>
              </a:ext>
            </a:extLst>
          </xdr:cNvPr>
          <xdr:cNvGrpSpPr/>
        </xdr:nvGrpSpPr>
        <xdr:grpSpPr>
          <a:xfrm>
            <a:off x="91837" y="307732"/>
            <a:ext cx="5905674" cy="3844005"/>
            <a:chOff x="549000" y="307732"/>
            <a:chExt cx="5905674" cy="3844005"/>
          </a:xfrm>
        </xdr:grpSpPr>
        <xdr:pic>
          <xdr:nvPicPr>
            <xdr:cNvPr id="34" name="Picture 33">
              <a:extLst>
                <a:ext uri="{FF2B5EF4-FFF2-40B4-BE49-F238E27FC236}">
                  <a16:creationId xmlns:a16="http://schemas.microsoft.com/office/drawing/2014/main" id="{ABF587D3-31A1-ED5C-9500-72A965F9DB6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49000" y="307732"/>
              <a:ext cx="2880000" cy="3844005"/>
            </a:xfrm>
            <a:prstGeom prst="rect">
              <a:avLst/>
            </a:prstGeom>
            <a:ln>
              <a:solidFill>
                <a:schemeClr val="tx1"/>
              </a:solidFill>
            </a:ln>
          </xdr:spPr>
        </xdr:pic>
        <xdr:pic>
          <xdr:nvPicPr>
            <xdr:cNvPr id="35" name="Picture 34">
              <a:extLst>
                <a:ext uri="{FF2B5EF4-FFF2-40B4-BE49-F238E27FC236}">
                  <a16:creationId xmlns:a16="http://schemas.microsoft.com/office/drawing/2014/main" id="{DEB3975B-ABE0-8B3D-5580-EE93970CC44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574674" y="307732"/>
              <a:ext cx="2880000" cy="3844005"/>
            </a:xfrm>
            <a:prstGeom prst="rect">
              <a:avLst/>
            </a:prstGeom>
            <a:ln>
              <a:solidFill>
                <a:schemeClr val="tx1"/>
              </a:solidFill>
            </a:ln>
          </xdr:spPr>
        </xdr:pic>
      </xdr:grpSp>
      <xdr:grpSp>
        <xdr:nvGrpSpPr>
          <xdr:cNvPr id="30" name="Group 29">
            <a:extLst>
              <a:ext uri="{FF2B5EF4-FFF2-40B4-BE49-F238E27FC236}">
                <a16:creationId xmlns:a16="http://schemas.microsoft.com/office/drawing/2014/main" id="{E165AE27-DC97-F706-A3F0-63CFFC852351}"/>
              </a:ext>
            </a:extLst>
          </xdr:cNvPr>
          <xdr:cNvGrpSpPr/>
        </xdr:nvGrpSpPr>
        <xdr:grpSpPr>
          <a:xfrm>
            <a:off x="102846" y="4341952"/>
            <a:ext cx="5883656" cy="1980000"/>
            <a:chOff x="549000" y="4341952"/>
            <a:chExt cx="5883656" cy="1980000"/>
          </a:xfrm>
        </xdr:grpSpPr>
        <xdr:pic>
          <xdr:nvPicPr>
            <xdr:cNvPr id="31" name="Picture 30">
              <a:extLst>
                <a:ext uri="{FF2B5EF4-FFF2-40B4-BE49-F238E27FC236}">
                  <a16:creationId xmlns:a16="http://schemas.microsoft.com/office/drawing/2014/main" id="{962B6DC1-4CF1-3E56-31F1-14FD1D3EC6C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795100" y="4341952"/>
              <a:ext cx="2637556" cy="1980000"/>
            </a:xfrm>
            <a:prstGeom prst="rect">
              <a:avLst/>
            </a:prstGeom>
            <a:ln>
              <a:solidFill>
                <a:schemeClr val="tx1"/>
              </a:solidFill>
            </a:ln>
          </xdr:spPr>
        </xdr:pic>
        <xdr:pic>
          <xdr:nvPicPr>
            <xdr:cNvPr id="32" name="Picture 31">
              <a:extLst>
                <a:ext uri="{FF2B5EF4-FFF2-40B4-BE49-F238E27FC236}">
                  <a16:creationId xmlns:a16="http://schemas.microsoft.com/office/drawing/2014/main" id="{CBA18876-122F-F820-9034-2B6474AFEF7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49000" y="4341952"/>
              <a:ext cx="1483453" cy="1980000"/>
            </a:xfrm>
            <a:prstGeom prst="rect">
              <a:avLst/>
            </a:prstGeom>
            <a:ln>
              <a:solidFill>
                <a:schemeClr val="tx1"/>
              </a:solidFill>
            </a:ln>
          </xdr:spPr>
        </xdr:pic>
        <xdr:pic>
          <xdr:nvPicPr>
            <xdr:cNvPr id="33" name="Picture 32">
              <a:extLst>
                <a:ext uri="{FF2B5EF4-FFF2-40B4-BE49-F238E27FC236}">
                  <a16:creationId xmlns:a16="http://schemas.microsoft.com/office/drawing/2014/main" id="{B8781694-29EB-E5E1-401F-D4F2297E118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172050" y="4341952"/>
              <a:ext cx="1483453" cy="1980000"/>
            </a:xfrm>
            <a:prstGeom prst="rect">
              <a:avLst/>
            </a:prstGeom>
            <a:ln>
              <a:solidFill>
                <a:schemeClr val="tx1"/>
              </a:solidFill>
            </a:ln>
          </xdr:spPr>
        </xdr:pic>
      </xdr:grpSp>
    </xdr:grpSp>
    <xdr:clientData/>
  </xdr:twoCellAnchor>
  <xdr:twoCellAnchor>
    <xdr:from>
      <xdr:col>0</xdr:col>
      <xdr:colOff>175260</xdr:colOff>
      <xdr:row>269</xdr:row>
      <xdr:rowOff>38100</xdr:rowOff>
    </xdr:from>
    <xdr:to>
      <xdr:col>7</xdr:col>
      <xdr:colOff>614202</xdr:colOff>
      <xdr:row>288</xdr:row>
      <xdr:rowOff>139390</xdr:rowOff>
    </xdr:to>
    <xdr:grpSp>
      <xdr:nvGrpSpPr>
        <xdr:cNvPr id="55" name="Group 54">
          <a:extLst>
            <a:ext uri="{FF2B5EF4-FFF2-40B4-BE49-F238E27FC236}">
              <a16:creationId xmlns:a16="http://schemas.microsoft.com/office/drawing/2014/main" id="{4D35F9A6-89FA-5196-5ED1-50D4CBDB9DFC}"/>
            </a:ext>
          </a:extLst>
        </xdr:cNvPr>
        <xdr:cNvGrpSpPr/>
      </xdr:nvGrpSpPr>
      <xdr:grpSpPr>
        <a:xfrm>
          <a:off x="175260" y="56288940"/>
          <a:ext cx="6169182" cy="3865570"/>
          <a:chOff x="369000" y="2145268"/>
          <a:chExt cx="6169182" cy="3865570"/>
        </a:xfrm>
      </xdr:grpSpPr>
      <xdr:pic>
        <xdr:nvPicPr>
          <xdr:cNvPr id="56" name="Picture 55">
            <a:extLst>
              <a:ext uri="{FF2B5EF4-FFF2-40B4-BE49-F238E27FC236}">
                <a16:creationId xmlns:a16="http://schemas.microsoft.com/office/drawing/2014/main" id="{E5E75687-DABB-42A4-1C3B-957F4AD0C72B}"/>
              </a:ext>
            </a:extLst>
          </xdr:cNvPr>
          <xdr:cNvPicPr>
            <a:picLocks noChangeAspect="1"/>
          </xdr:cNvPicPr>
        </xdr:nvPicPr>
        <xdr:blipFill>
          <a:blip xmlns:r="http://schemas.openxmlformats.org/officeDocument/2006/relationships" r:embed="rId14"/>
          <a:stretch>
            <a:fillRect/>
          </a:stretch>
        </xdr:blipFill>
        <xdr:spPr>
          <a:xfrm>
            <a:off x="369000" y="2148417"/>
            <a:ext cx="6120000" cy="3862421"/>
          </a:xfrm>
          <a:prstGeom prst="rect">
            <a:avLst/>
          </a:prstGeom>
          <a:ln>
            <a:solidFill>
              <a:schemeClr val="tx1"/>
            </a:solidFill>
          </a:ln>
        </xdr:spPr>
      </xdr:pic>
      <xdr:sp macro="" textlink="">
        <xdr:nvSpPr>
          <xdr:cNvPr id="57" name="Rectangle 56">
            <a:extLst>
              <a:ext uri="{FF2B5EF4-FFF2-40B4-BE49-F238E27FC236}">
                <a16:creationId xmlns:a16="http://schemas.microsoft.com/office/drawing/2014/main" id="{469EBE3C-74E8-FE25-D168-EE20AB2E50C3}"/>
              </a:ext>
            </a:extLst>
          </xdr:cNvPr>
          <xdr:cNvSpPr/>
        </xdr:nvSpPr>
        <xdr:spPr>
          <a:xfrm>
            <a:off x="1346200" y="3007360"/>
            <a:ext cx="1981200" cy="201168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8" name="Rectangle 57">
            <a:extLst>
              <a:ext uri="{FF2B5EF4-FFF2-40B4-BE49-F238E27FC236}">
                <a16:creationId xmlns:a16="http://schemas.microsoft.com/office/drawing/2014/main" id="{8AFC37FD-D51F-BFFE-B554-DEA832DB3201}"/>
              </a:ext>
            </a:extLst>
          </xdr:cNvPr>
          <xdr:cNvSpPr/>
        </xdr:nvSpPr>
        <xdr:spPr>
          <a:xfrm>
            <a:off x="3595241" y="3007360"/>
            <a:ext cx="1830200" cy="201168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9" name="TextBox 5">
            <a:extLst>
              <a:ext uri="{FF2B5EF4-FFF2-40B4-BE49-F238E27FC236}">
                <a16:creationId xmlns:a16="http://schemas.microsoft.com/office/drawing/2014/main" id="{344E0491-9E76-DA32-FCBA-00F82522C3ED}"/>
              </a:ext>
            </a:extLst>
          </xdr:cNvPr>
          <xdr:cNvSpPr txBox="1"/>
        </xdr:nvSpPr>
        <xdr:spPr>
          <a:xfrm>
            <a:off x="1995194" y="506626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A</a:t>
            </a:r>
          </a:p>
        </xdr:txBody>
      </xdr:sp>
      <xdr:sp macro="" textlink="">
        <xdr:nvSpPr>
          <xdr:cNvPr id="60" name="TextBox 6">
            <a:extLst>
              <a:ext uri="{FF2B5EF4-FFF2-40B4-BE49-F238E27FC236}">
                <a16:creationId xmlns:a16="http://schemas.microsoft.com/office/drawing/2014/main" id="{D86859E9-5EFE-3670-D2A4-E5C11AC5472F}"/>
              </a:ext>
            </a:extLst>
          </xdr:cNvPr>
          <xdr:cNvSpPr txBox="1"/>
        </xdr:nvSpPr>
        <xdr:spPr>
          <a:xfrm>
            <a:off x="4220814" y="5066268"/>
            <a:ext cx="85953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Wing B</a:t>
            </a:r>
          </a:p>
        </xdr:txBody>
      </xdr:sp>
      <xdr:sp macro="" textlink="">
        <xdr:nvSpPr>
          <xdr:cNvPr id="61" name="Rectangle 60">
            <a:extLst>
              <a:ext uri="{FF2B5EF4-FFF2-40B4-BE49-F238E27FC236}">
                <a16:creationId xmlns:a16="http://schemas.microsoft.com/office/drawing/2014/main" id="{3E04EC34-05E5-D63E-7615-20594FF72296}"/>
              </a:ext>
            </a:extLst>
          </xdr:cNvPr>
          <xdr:cNvSpPr/>
        </xdr:nvSpPr>
        <xdr:spPr>
          <a:xfrm>
            <a:off x="5466080" y="3317240"/>
            <a:ext cx="817880" cy="1749028"/>
          </a:xfrm>
          <a:prstGeom prst="rect">
            <a:avLst/>
          </a:prstGeom>
          <a:noFill/>
          <a:ln w="19050">
            <a:solidFill>
              <a:schemeClr val="tx1">
                <a:lumMod val="95000"/>
                <a:lumOff val="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2" name="Rectangle 61">
            <a:extLst>
              <a:ext uri="{FF2B5EF4-FFF2-40B4-BE49-F238E27FC236}">
                <a16:creationId xmlns:a16="http://schemas.microsoft.com/office/drawing/2014/main" id="{D776B5D1-0015-AE22-8D2E-B26080302FBA}"/>
              </a:ext>
            </a:extLst>
          </xdr:cNvPr>
          <xdr:cNvSpPr/>
        </xdr:nvSpPr>
        <xdr:spPr>
          <a:xfrm>
            <a:off x="5511800" y="2514600"/>
            <a:ext cx="736600" cy="787400"/>
          </a:xfrm>
          <a:prstGeom prst="rect">
            <a:avLst/>
          </a:prstGeom>
          <a:noFill/>
          <a:ln w="19050">
            <a:solidFill>
              <a:schemeClr val="accent1">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chemeClr val="accent1">
                  <a:lumMod val="75000"/>
                </a:schemeClr>
              </a:solidFill>
            </a:endParaRPr>
          </a:p>
        </xdr:txBody>
      </xdr:sp>
      <xdr:sp macro="" textlink="">
        <xdr:nvSpPr>
          <xdr:cNvPr id="63" name="TextBox 9">
            <a:extLst>
              <a:ext uri="{FF2B5EF4-FFF2-40B4-BE49-F238E27FC236}">
                <a16:creationId xmlns:a16="http://schemas.microsoft.com/office/drawing/2014/main" id="{CF24BF62-BF04-BD20-C8E3-533967E7559B}"/>
              </a:ext>
            </a:extLst>
          </xdr:cNvPr>
          <xdr:cNvSpPr txBox="1"/>
        </xdr:nvSpPr>
        <xdr:spPr>
          <a:xfrm>
            <a:off x="5425441" y="5055675"/>
            <a:ext cx="111274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tx1">
                    <a:lumMod val="95000"/>
                    <a:lumOff val="5000"/>
                  </a:schemeClr>
                </a:solidFill>
              </a:rPr>
              <a:t>EWS Flats</a:t>
            </a:r>
          </a:p>
        </xdr:txBody>
      </xdr:sp>
      <xdr:sp macro="" textlink="">
        <xdr:nvSpPr>
          <xdr:cNvPr id="64" name="TextBox 9">
            <a:extLst>
              <a:ext uri="{FF2B5EF4-FFF2-40B4-BE49-F238E27FC236}">
                <a16:creationId xmlns:a16="http://schemas.microsoft.com/office/drawing/2014/main" id="{CF24BF62-BF04-BD20-C8E3-533967E7559B}"/>
              </a:ext>
            </a:extLst>
          </xdr:cNvPr>
          <xdr:cNvSpPr txBox="1"/>
        </xdr:nvSpPr>
        <xdr:spPr>
          <a:xfrm>
            <a:off x="4650579" y="2145268"/>
            <a:ext cx="1763240"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chemeClr val="accent1">
                    <a:lumMod val="75000"/>
                  </a:schemeClr>
                </a:solidFill>
              </a:rPr>
              <a:t>Service Quarters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Wf6fodp2rqPKzfr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393"/>
  <sheetViews>
    <sheetView tabSelected="1" view="pageBreakPreview" zoomScaleNormal="100" zoomScaleSheetLayoutView="100" zoomScalePageLayoutView="85" workbookViewId="0">
      <selection activeCell="I6" sqref="I6"/>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1.3320312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66" t="s">
        <v>374</v>
      </c>
      <c r="B1" s="166"/>
      <c r="C1" s="166"/>
      <c r="D1" s="166"/>
      <c r="E1" s="166"/>
      <c r="F1" s="166"/>
      <c r="G1" s="166"/>
      <c r="H1" s="166"/>
    </row>
    <row r="2" spans="1:26" ht="16.5" customHeight="1" x14ac:dyDescent="0.3">
      <c r="A2" s="167" t="s">
        <v>0</v>
      </c>
      <c r="B2" s="167"/>
      <c r="C2" s="167"/>
      <c r="D2" s="167"/>
      <c r="E2" s="167"/>
      <c r="F2" s="167"/>
      <c r="G2" s="167"/>
      <c r="H2" s="167"/>
    </row>
    <row r="3" spans="1:26" x14ac:dyDescent="0.3">
      <c r="A3" s="136" t="s">
        <v>1</v>
      </c>
      <c r="B3" s="136"/>
      <c r="C3" s="136"/>
      <c r="D3" s="136"/>
      <c r="E3" s="136" t="str">
        <f ca="1">TEXT(TODAY(),"DD/MM/YYYY")</f>
        <v>10/09/2025</v>
      </c>
      <c r="F3" s="136"/>
      <c r="G3" s="136"/>
      <c r="H3" s="136"/>
      <c r="K3" s="50" t="s">
        <v>230</v>
      </c>
      <c r="L3" s="49" t="s">
        <v>228</v>
      </c>
      <c r="M3" s="49" t="s">
        <v>233</v>
      </c>
      <c r="N3" s="49" t="s">
        <v>231</v>
      </c>
      <c r="O3" s="49" t="s">
        <v>351</v>
      </c>
      <c r="P3" s="49" t="s">
        <v>377</v>
      </c>
    </row>
    <row r="4" spans="1:26" ht="15" customHeight="1" x14ac:dyDescent="0.3">
      <c r="A4" s="136" t="s">
        <v>227</v>
      </c>
      <c r="B4" s="136"/>
      <c r="C4" s="136"/>
      <c r="D4" s="136"/>
      <c r="E4" s="136" t="s">
        <v>228</v>
      </c>
      <c r="F4" s="136"/>
      <c r="G4" s="136"/>
      <c r="H4" s="136"/>
      <c r="K4" s="48" t="s">
        <v>229</v>
      </c>
      <c r="L4" s="49" t="s">
        <v>164</v>
      </c>
      <c r="M4" s="49" t="s">
        <v>238</v>
      </c>
      <c r="N4" s="49" t="s">
        <v>240</v>
      </c>
      <c r="O4" s="49" t="s">
        <v>335</v>
      </c>
      <c r="P4" s="49" t="s">
        <v>378</v>
      </c>
    </row>
    <row r="5" spans="1:26" ht="15" customHeight="1" x14ac:dyDescent="0.3">
      <c r="A5" s="136" t="s">
        <v>2</v>
      </c>
      <c r="B5" s="136"/>
      <c r="C5" s="136"/>
      <c r="D5" s="136"/>
      <c r="E5" s="136" t="s">
        <v>236</v>
      </c>
      <c r="F5" s="136"/>
      <c r="G5" s="136"/>
      <c r="H5" s="136"/>
      <c r="K5" s="48"/>
      <c r="L5" s="49" t="s">
        <v>235</v>
      </c>
      <c r="M5" s="49" t="s">
        <v>239</v>
      </c>
      <c r="N5" s="49" t="s">
        <v>241</v>
      </c>
      <c r="O5" s="49" t="s">
        <v>336</v>
      </c>
      <c r="P5" s="49"/>
    </row>
    <row r="6" spans="1:26" x14ac:dyDescent="0.3">
      <c r="A6" s="136" t="s">
        <v>3</v>
      </c>
      <c r="B6" s="136"/>
      <c r="C6" s="136"/>
      <c r="D6" s="136"/>
      <c r="E6" s="169">
        <v>45892</v>
      </c>
      <c r="F6" s="136"/>
      <c r="G6" s="136"/>
      <c r="H6" s="136"/>
      <c r="K6" s="48"/>
      <c r="L6" s="49" t="s">
        <v>236</v>
      </c>
      <c r="M6" s="49" t="s">
        <v>349</v>
      </c>
      <c r="N6" s="49"/>
      <c r="O6" s="49" t="s">
        <v>337</v>
      </c>
      <c r="P6" s="49"/>
    </row>
    <row r="7" spans="1:26" ht="16.5" customHeight="1" x14ac:dyDescent="0.3">
      <c r="A7" s="136" t="s">
        <v>4</v>
      </c>
      <c r="B7" s="136"/>
      <c r="C7" s="136"/>
      <c r="D7" s="136"/>
      <c r="E7" s="136" t="s">
        <v>385</v>
      </c>
      <c r="F7" s="136"/>
      <c r="G7" s="136"/>
      <c r="H7" s="136"/>
      <c r="K7" s="48"/>
      <c r="L7" s="49" t="s">
        <v>237</v>
      </c>
      <c r="M7" s="49"/>
      <c r="N7" s="49"/>
      <c r="O7" s="49" t="s">
        <v>337</v>
      </c>
      <c r="P7" s="49"/>
    </row>
    <row r="8" spans="1:26" ht="15" customHeight="1" x14ac:dyDescent="0.3">
      <c r="A8" s="136" t="s">
        <v>5</v>
      </c>
      <c r="B8" s="136"/>
      <c r="C8" s="136"/>
      <c r="D8" s="136"/>
      <c r="E8" s="136" t="str">
        <f>E7</f>
        <v>Neelkanth Infratech</v>
      </c>
      <c r="F8" s="136"/>
      <c r="G8" s="136"/>
      <c r="H8" s="136"/>
      <c r="K8" s="48"/>
      <c r="L8" s="49"/>
      <c r="M8" s="49"/>
      <c r="N8" s="49"/>
      <c r="O8" s="49" t="s">
        <v>338</v>
      </c>
      <c r="P8" s="49"/>
    </row>
    <row r="9" spans="1:26" x14ac:dyDescent="0.3">
      <c r="A9" s="136" t="s">
        <v>6</v>
      </c>
      <c r="B9" s="136"/>
      <c r="C9" s="136"/>
      <c r="D9" s="136"/>
      <c r="E9" s="168" t="s">
        <v>386</v>
      </c>
      <c r="F9" s="168"/>
      <c r="G9" s="168"/>
      <c r="H9" s="168"/>
      <c r="K9" s="48"/>
      <c r="L9" s="49"/>
      <c r="M9" s="49"/>
      <c r="N9" s="49"/>
      <c r="O9" s="49" t="s">
        <v>339</v>
      </c>
      <c r="P9" s="49"/>
    </row>
    <row r="10" spans="1:26" x14ac:dyDescent="0.3">
      <c r="A10" s="136" t="s">
        <v>161</v>
      </c>
      <c r="B10" s="136"/>
      <c r="C10" s="136"/>
      <c r="D10" s="136"/>
      <c r="E10" s="136" t="s">
        <v>387</v>
      </c>
      <c r="F10" s="136"/>
      <c r="G10" s="136"/>
      <c r="H10" s="136"/>
      <c r="K10" s="48"/>
      <c r="L10" s="49"/>
      <c r="M10" s="49"/>
      <c r="N10" s="49"/>
      <c r="O10" s="49" t="s">
        <v>340</v>
      </c>
      <c r="P10" s="49"/>
    </row>
    <row r="11" spans="1:26" x14ac:dyDescent="0.3">
      <c r="A11" s="136" t="s">
        <v>162</v>
      </c>
      <c r="B11" s="136"/>
      <c r="C11" s="136"/>
      <c r="D11" s="136"/>
      <c r="E11" s="136" t="s">
        <v>388</v>
      </c>
      <c r="F11" s="136"/>
      <c r="G11" s="136"/>
      <c r="H11" s="136"/>
      <c r="O11" s="49" t="s">
        <v>341</v>
      </c>
    </row>
    <row r="12" spans="1:26" x14ac:dyDescent="0.3">
      <c r="A12" s="136" t="s">
        <v>7</v>
      </c>
      <c r="B12" s="136"/>
      <c r="C12" s="136"/>
      <c r="D12" s="136"/>
      <c r="E12" s="136" t="s">
        <v>389</v>
      </c>
      <c r="F12" s="136"/>
      <c r="G12" s="136"/>
      <c r="H12" s="136"/>
    </row>
    <row r="13" spans="1:26" x14ac:dyDescent="0.3">
      <c r="A13" s="136" t="s">
        <v>165</v>
      </c>
      <c r="B13" s="136"/>
      <c r="C13" s="136"/>
      <c r="D13" s="136"/>
      <c r="E13" s="136" t="s">
        <v>28</v>
      </c>
      <c r="F13" s="136"/>
      <c r="G13" s="136"/>
      <c r="H13" s="136"/>
      <c r="S13" s="49" t="s">
        <v>173</v>
      </c>
      <c r="T13" s="49" t="s">
        <v>182</v>
      </c>
      <c r="U13" s="49" t="s">
        <v>166</v>
      </c>
      <c r="V13" s="49" t="s">
        <v>187</v>
      </c>
      <c r="W13" s="49" t="s">
        <v>205</v>
      </c>
      <c r="X13"/>
      <c r="Y13" t="s">
        <v>187</v>
      </c>
      <c r="Z13" t="e">
        <f ca="1">OFFSET($S$13,1,MATCH($G20,$S$13:$W$13,0)-1,15,1)</f>
        <v>#VALUE!</v>
      </c>
    </row>
    <row r="14" spans="1:26" x14ac:dyDescent="0.3">
      <c r="A14" s="136" t="s">
        <v>273</v>
      </c>
      <c r="B14" s="136"/>
      <c r="C14" s="136"/>
      <c r="D14" s="136"/>
      <c r="E14" s="170" t="s">
        <v>390</v>
      </c>
      <c r="F14" s="170"/>
      <c r="G14" s="170"/>
      <c r="H14" s="170"/>
      <c r="S14" s="49" t="s">
        <v>173</v>
      </c>
      <c r="T14" s="49" t="s">
        <v>180</v>
      </c>
      <c r="U14" s="49" t="s">
        <v>202</v>
      </c>
      <c r="V14" s="49" t="s">
        <v>188</v>
      </c>
      <c r="W14" s="49" t="s">
        <v>206</v>
      </c>
      <c r="X14"/>
      <c r="Y14"/>
      <c r="Z14"/>
    </row>
    <row r="15" spans="1:26" x14ac:dyDescent="0.3">
      <c r="A15" s="125" t="s">
        <v>8</v>
      </c>
      <c r="B15" s="125"/>
      <c r="C15" s="125"/>
      <c r="D15" s="125"/>
      <c r="E15" s="170" t="s">
        <v>391</v>
      </c>
      <c r="F15" s="136"/>
      <c r="G15" s="136"/>
      <c r="H15" s="136"/>
      <c r="I15" s="126" t="e">
        <f ca="1">OFFSET($D$5,1,MATCH($J13,$D$5:$H$5,0)-1,15,1)</f>
        <v>#N/A</v>
      </c>
      <c r="J15" s="127"/>
      <c r="K15" s="127"/>
      <c r="L15" s="127"/>
      <c r="M15" s="127"/>
      <c r="N15" s="127"/>
      <c r="O15" s="127"/>
      <c r="P15" s="127"/>
      <c r="S15" s="49" t="s">
        <v>174</v>
      </c>
      <c r="T15" s="49" t="s">
        <v>181</v>
      </c>
      <c r="U15" s="49" t="s">
        <v>203</v>
      </c>
      <c r="V15" s="49" t="s">
        <v>189</v>
      </c>
      <c r="W15" s="49" t="s">
        <v>219</v>
      </c>
      <c r="X15"/>
      <c r="Y15"/>
      <c r="Z15"/>
    </row>
    <row r="16" spans="1:26" ht="32.4" customHeight="1" x14ac:dyDescent="0.3">
      <c r="A16" s="109" t="s">
        <v>9</v>
      </c>
      <c r="B16" s="109"/>
      <c r="C16" s="109" t="str">
        <f>CONCATENATE((IF(OR(E9="",E9="NA"),"",E9)),", ",(IF(OR(A17="",A17="NA"),"",A17)),".",(IF(OR(C17="",C17="NA"),"",C17)),", near ",(IF(OR(C22="",C22="NA"),"",C22)),", ",(IF(OR(C19="",C19="NA"),"",C19)),", ",(IF(OR(C18="",C18="NA"),"",C18)),", ",(IF(OR(G19="",G19="NA"),"",G19)),", ",(IF(OR(C20="",C20="NA"),"",C20)),", ",(IF(OR(C21="",C21="NA"),"",C21)),", ",(IF(OR(G20="",G20="NA"),"",G20))," - ",(IF(OR(G21="",G21="NA"),"",G21)),".")</f>
        <v>Neelkanth Palm Avenue, Plot No.23 &amp; 24, Sector 09, near Mathadi Society, Palm Beach Road, Jijamata Nagar, Ghansoli, Ghansoli West, Thane, Thane - 400701.</v>
      </c>
      <c r="D16" s="109"/>
      <c r="E16" s="109"/>
      <c r="F16" s="109"/>
      <c r="G16" s="109"/>
      <c r="H16" s="109"/>
      <c r="S16" s="49" t="s">
        <v>175</v>
      </c>
      <c r="T16" s="49" t="s">
        <v>183</v>
      </c>
      <c r="U16" s="49" t="s">
        <v>204</v>
      </c>
      <c r="V16" s="49" t="s">
        <v>190</v>
      </c>
      <c r="W16" s="49" t="s">
        <v>207</v>
      </c>
      <c r="X16"/>
      <c r="Y16"/>
      <c r="Z16"/>
    </row>
    <row r="17" spans="1:26" x14ac:dyDescent="0.3">
      <c r="A17" s="170" t="s">
        <v>392</v>
      </c>
      <c r="B17" s="170"/>
      <c r="C17" s="170" t="s">
        <v>393</v>
      </c>
      <c r="D17" s="170"/>
      <c r="E17" s="170"/>
      <c r="F17" s="170"/>
      <c r="G17" s="170"/>
      <c r="H17" s="170"/>
      <c r="S17" s="49" t="s">
        <v>176</v>
      </c>
      <c r="T17" s="49" t="s">
        <v>184</v>
      </c>
      <c r="U17" s="49" t="s">
        <v>166</v>
      </c>
      <c r="V17" s="49" t="s">
        <v>191</v>
      </c>
      <c r="W17" s="49" t="s">
        <v>208</v>
      </c>
      <c r="X17"/>
      <c r="Y17"/>
      <c r="Z17"/>
    </row>
    <row r="18" spans="1:26" ht="15.75" customHeight="1" x14ac:dyDescent="0.3">
      <c r="A18" s="170" t="s">
        <v>157</v>
      </c>
      <c r="B18" s="170"/>
      <c r="C18" s="170" t="s">
        <v>394</v>
      </c>
      <c r="D18" s="170"/>
      <c r="E18" s="170"/>
      <c r="F18" s="170"/>
      <c r="G18" s="170"/>
      <c r="H18" s="170"/>
      <c r="S18" s="49" t="s">
        <v>177</v>
      </c>
      <c r="T18" s="49" t="s">
        <v>182</v>
      </c>
      <c r="U18" s="49"/>
      <c r="V18" s="49" t="s">
        <v>192</v>
      </c>
      <c r="W18" s="49" t="s">
        <v>209</v>
      </c>
      <c r="X18"/>
      <c r="Y18"/>
      <c r="Z18"/>
    </row>
    <row r="19" spans="1:26" ht="15.75" customHeight="1" x14ac:dyDescent="0.3">
      <c r="A19" s="109" t="s">
        <v>10</v>
      </c>
      <c r="B19" s="109"/>
      <c r="C19" s="136" t="s">
        <v>395</v>
      </c>
      <c r="D19" s="136"/>
      <c r="E19" s="170" t="s">
        <v>69</v>
      </c>
      <c r="F19" s="170"/>
      <c r="G19" s="170" t="s">
        <v>397</v>
      </c>
      <c r="H19" s="170"/>
      <c r="S19" s="49" t="s">
        <v>178</v>
      </c>
      <c r="T19" s="49" t="s">
        <v>185</v>
      </c>
      <c r="U19" s="49"/>
      <c r="V19" s="49" t="s">
        <v>193</v>
      </c>
      <c r="W19" s="49" t="s">
        <v>210</v>
      </c>
      <c r="X19"/>
      <c r="Y19"/>
      <c r="Z19"/>
    </row>
    <row r="20" spans="1:26" x14ac:dyDescent="0.3">
      <c r="A20" s="125" t="s">
        <v>12</v>
      </c>
      <c r="B20" s="125"/>
      <c r="C20" s="170" t="s">
        <v>396</v>
      </c>
      <c r="D20" s="170"/>
      <c r="E20" s="170" t="s">
        <v>11</v>
      </c>
      <c r="F20" s="170"/>
      <c r="G20" s="175" t="s">
        <v>173</v>
      </c>
      <c r="H20" s="175"/>
      <c r="S20" s="49" t="s">
        <v>179</v>
      </c>
      <c r="T20" s="49" t="s">
        <v>186</v>
      </c>
      <c r="U20" s="49"/>
      <c r="V20" s="49" t="s">
        <v>194</v>
      </c>
      <c r="W20" s="49" t="s">
        <v>211</v>
      </c>
      <c r="X20"/>
      <c r="Y20"/>
      <c r="Z20"/>
    </row>
    <row r="21" spans="1:26" x14ac:dyDescent="0.3">
      <c r="A21" s="125" t="s">
        <v>70</v>
      </c>
      <c r="B21" s="125"/>
      <c r="C21" s="170" t="s">
        <v>173</v>
      </c>
      <c r="D21" s="170"/>
      <c r="E21" s="170" t="s">
        <v>13</v>
      </c>
      <c r="F21" s="170"/>
      <c r="G21" s="170">
        <v>400701</v>
      </c>
      <c r="H21" s="170"/>
      <c r="S21" s="49"/>
      <c r="T21" s="49"/>
      <c r="U21" s="49"/>
      <c r="V21" s="49" t="s">
        <v>195</v>
      </c>
      <c r="W21" s="49" t="s">
        <v>212</v>
      </c>
      <c r="X21"/>
      <c r="Y21"/>
      <c r="Z21"/>
    </row>
    <row r="22" spans="1:26" ht="32.25" customHeight="1" x14ac:dyDescent="0.3">
      <c r="A22" s="125" t="s">
        <v>116</v>
      </c>
      <c r="B22" s="125"/>
      <c r="C22" s="170" t="s">
        <v>398</v>
      </c>
      <c r="D22" s="170"/>
      <c r="E22" s="170" t="s">
        <v>14</v>
      </c>
      <c r="F22" s="170"/>
      <c r="G22" s="170" t="s">
        <v>399</v>
      </c>
      <c r="H22" s="170"/>
      <c r="S22" s="49"/>
      <c r="T22" s="49"/>
      <c r="U22" s="49"/>
      <c r="V22" s="49" t="s">
        <v>196</v>
      </c>
      <c r="W22" s="49" t="s">
        <v>213</v>
      </c>
      <c r="X22"/>
      <c r="Y22"/>
      <c r="Z22"/>
    </row>
    <row r="23" spans="1:26" ht="15" customHeight="1" x14ac:dyDescent="0.3">
      <c r="A23" s="109" t="s">
        <v>72</v>
      </c>
      <c r="B23" s="109"/>
      <c r="C23" s="109"/>
      <c r="D23" s="109"/>
      <c r="E23" s="136" t="s">
        <v>15</v>
      </c>
      <c r="F23" s="136"/>
      <c r="G23" s="136"/>
      <c r="H23" s="136"/>
      <c r="S23" s="49"/>
      <c r="T23" s="49"/>
      <c r="U23" s="49"/>
      <c r="V23" s="49" t="s">
        <v>197</v>
      </c>
      <c r="W23" s="49" t="s">
        <v>214</v>
      </c>
      <c r="X23"/>
      <c r="Y23"/>
      <c r="Z23"/>
    </row>
    <row r="24" spans="1:26" ht="18.75" customHeight="1" x14ac:dyDescent="0.3">
      <c r="A24" s="109"/>
      <c r="B24" s="109"/>
      <c r="C24" s="109"/>
      <c r="D24" s="109"/>
      <c r="E24" s="136"/>
      <c r="F24" s="136"/>
      <c r="G24" s="136"/>
      <c r="H24" s="136"/>
      <c r="S24" s="49"/>
      <c r="T24" s="49"/>
      <c r="U24" s="49"/>
      <c r="V24" s="49" t="s">
        <v>198</v>
      </c>
      <c r="W24" s="49" t="s">
        <v>215</v>
      </c>
      <c r="X24"/>
      <c r="Y24"/>
      <c r="Z24"/>
    </row>
    <row r="25" spans="1:26" ht="15" customHeight="1" x14ac:dyDescent="0.3">
      <c r="A25" s="109" t="s">
        <v>16</v>
      </c>
      <c r="B25" s="109"/>
      <c r="C25" s="109"/>
      <c r="D25" s="109"/>
      <c r="E25" s="170" t="s">
        <v>17</v>
      </c>
      <c r="F25" s="170"/>
      <c r="G25" s="170"/>
      <c r="H25" s="170"/>
      <c r="S25" s="49"/>
      <c r="T25" s="49"/>
      <c r="U25" s="49"/>
      <c r="V25" s="49" t="s">
        <v>199</v>
      </c>
      <c r="W25" s="49" t="s">
        <v>216</v>
      </c>
      <c r="X25"/>
      <c r="Y25"/>
      <c r="Z25"/>
    </row>
    <row r="26" spans="1:26" ht="15" customHeight="1" x14ac:dyDescent="0.3">
      <c r="A26" s="125" t="s">
        <v>18</v>
      </c>
      <c r="B26" s="125"/>
      <c r="C26" s="125"/>
      <c r="D26" s="125"/>
      <c r="E26" s="170" t="str">
        <f>IF(AND(G20="Mumbai"),"Upper Class","Middle Class")</f>
        <v>Middle Class</v>
      </c>
      <c r="F26" s="170"/>
      <c r="G26" s="170"/>
      <c r="H26" s="170"/>
      <c r="S26" s="49"/>
      <c r="T26" s="49"/>
      <c r="U26" s="49"/>
      <c r="V26" s="49" t="s">
        <v>200</v>
      </c>
      <c r="W26" s="49" t="s">
        <v>217</v>
      </c>
      <c r="X26"/>
      <c r="Y26"/>
      <c r="Z26"/>
    </row>
    <row r="27" spans="1:26" x14ac:dyDescent="0.3">
      <c r="A27" s="125" t="s">
        <v>19</v>
      </c>
      <c r="B27" s="125"/>
      <c r="C27" s="125"/>
      <c r="D27" s="125"/>
      <c r="E27" s="170" t="s">
        <v>20</v>
      </c>
      <c r="F27" s="170"/>
      <c r="G27" s="170"/>
      <c r="H27" s="170"/>
      <c r="S27" s="49"/>
      <c r="T27" s="49"/>
      <c r="U27" s="49"/>
      <c r="V27" s="49" t="s">
        <v>201</v>
      </c>
      <c r="W27" s="49" t="s">
        <v>218</v>
      </c>
      <c r="X27"/>
      <c r="Y27"/>
      <c r="Z27"/>
    </row>
    <row r="28" spans="1:26" ht="15.75" customHeight="1" x14ac:dyDescent="0.3">
      <c r="A28" s="125" t="s">
        <v>21</v>
      </c>
      <c r="B28" s="125"/>
      <c r="C28" s="125"/>
      <c r="D28" s="125"/>
      <c r="E28" s="170" t="str">
        <f>IF(AND(G20="Mumbai"),"Developed","Developing")</f>
        <v>Developing</v>
      </c>
      <c r="F28" s="170"/>
      <c r="G28" s="170"/>
      <c r="H28" s="170"/>
    </row>
    <row r="29" spans="1:26" x14ac:dyDescent="0.3">
      <c r="A29" s="125" t="s">
        <v>22</v>
      </c>
      <c r="B29" s="125"/>
      <c r="C29" s="125"/>
      <c r="D29" s="125"/>
      <c r="E29" s="170" t="s">
        <v>23</v>
      </c>
      <c r="F29" s="170"/>
      <c r="G29" s="170"/>
      <c r="H29" s="170"/>
    </row>
    <row r="30" spans="1:26" ht="15.75" customHeight="1" x14ac:dyDescent="0.3">
      <c r="A30" s="125" t="s">
        <v>77</v>
      </c>
      <c r="B30" s="125"/>
      <c r="C30" s="125"/>
      <c r="D30" s="125"/>
      <c r="E30" s="170" t="s">
        <v>78</v>
      </c>
      <c r="F30" s="170"/>
      <c r="G30" s="170"/>
      <c r="H30" s="170"/>
    </row>
    <row r="31" spans="1:26" ht="15" customHeight="1" x14ac:dyDescent="0.3">
      <c r="A31" s="125" t="s">
        <v>30</v>
      </c>
      <c r="B31" s="125"/>
      <c r="C31" s="125"/>
      <c r="D31" s="125"/>
      <c r="E31" s="170"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70"/>
      <c r="G31" s="170"/>
      <c r="H31" s="170"/>
    </row>
    <row r="32" spans="1:26" ht="15.75" customHeight="1" x14ac:dyDescent="0.3">
      <c r="A32" s="125" t="s">
        <v>89</v>
      </c>
      <c r="B32" s="125"/>
      <c r="C32" s="125"/>
      <c r="D32" s="125"/>
      <c r="E32" s="170" t="s">
        <v>31</v>
      </c>
      <c r="F32" s="170"/>
      <c r="G32" s="170"/>
      <c r="H32" s="170"/>
    </row>
    <row r="33" spans="1:19" s="19" customFormat="1" x14ac:dyDescent="0.3">
      <c r="A33" s="179" t="s">
        <v>90</v>
      </c>
      <c r="B33" s="179"/>
      <c r="C33" s="176" t="s">
        <v>167</v>
      </c>
      <c r="D33" s="177"/>
      <c r="E33" s="178"/>
      <c r="F33" s="176" t="s">
        <v>29</v>
      </c>
      <c r="G33" s="177"/>
      <c r="H33" s="178"/>
      <c r="S33" s="19" t="e">
        <f ca="1">OFFSET($S$13,1,MATCH($G20,$S$13:$W$13,0)-1,15,1)</f>
        <v>#VALUE!</v>
      </c>
    </row>
    <row r="34" spans="1:19" s="19" customFormat="1" x14ac:dyDescent="0.3">
      <c r="A34" s="171" t="s">
        <v>24</v>
      </c>
      <c r="B34" s="171" t="s">
        <v>28</v>
      </c>
      <c r="C34" s="172" t="s">
        <v>402</v>
      </c>
      <c r="D34" s="173"/>
      <c r="E34" s="174"/>
      <c r="F34" s="172" t="s">
        <v>406</v>
      </c>
      <c r="G34" s="173"/>
      <c r="H34" s="174"/>
    </row>
    <row r="35" spans="1:19" x14ac:dyDescent="0.3">
      <c r="A35" s="171" t="s">
        <v>25</v>
      </c>
      <c r="B35" s="171" t="s">
        <v>28</v>
      </c>
      <c r="C35" s="172" t="s">
        <v>403</v>
      </c>
      <c r="D35" s="173"/>
      <c r="E35" s="174"/>
      <c r="F35" s="172" t="s">
        <v>407</v>
      </c>
      <c r="G35" s="173"/>
      <c r="H35" s="174"/>
    </row>
    <row r="36" spans="1:19" s="19" customFormat="1" x14ac:dyDescent="0.3">
      <c r="A36" s="171" t="s">
        <v>27</v>
      </c>
      <c r="B36" s="171" t="s">
        <v>28</v>
      </c>
      <c r="C36" s="172" t="s">
        <v>400</v>
      </c>
      <c r="D36" s="173"/>
      <c r="E36" s="174"/>
      <c r="F36" s="172" t="s">
        <v>405</v>
      </c>
      <c r="G36" s="173"/>
      <c r="H36" s="174"/>
    </row>
    <row r="37" spans="1:19" x14ac:dyDescent="0.3">
      <c r="A37" s="171" t="s">
        <v>26</v>
      </c>
      <c r="B37" s="171" t="s">
        <v>28</v>
      </c>
      <c r="C37" s="172" t="s">
        <v>401</v>
      </c>
      <c r="D37" s="173"/>
      <c r="E37" s="174"/>
      <c r="F37" s="172" t="s">
        <v>404</v>
      </c>
      <c r="G37" s="173"/>
      <c r="H37" s="174"/>
    </row>
    <row r="38" spans="1:19" x14ac:dyDescent="0.3">
      <c r="A38" s="125" t="s">
        <v>274</v>
      </c>
      <c r="B38" s="125"/>
      <c r="C38" s="125"/>
      <c r="D38" s="125"/>
      <c r="E38" s="125"/>
      <c r="F38" s="125"/>
      <c r="G38" s="125"/>
      <c r="H38" s="125"/>
    </row>
    <row r="39" spans="1:19" ht="15.75" customHeight="1" x14ac:dyDescent="0.3">
      <c r="A39" s="125" t="s">
        <v>159</v>
      </c>
      <c r="B39" s="125"/>
      <c r="C39" s="156" t="s">
        <v>383</v>
      </c>
      <c r="D39" s="156"/>
      <c r="E39" s="156"/>
      <c r="F39" s="156"/>
      <c r="G39" s="156"/>
      <c r="H39" s="156"/>
    </row>
    <row r="40" spans="1:19" x14ac:dyDescent="0.3">
      <c r="A40" s="125" t="s">
        <v>156</v>
      </c>
      <c r="B40" s="125"/>
      <c r="C40" s="241" t="s">
        <v>384</v>
      </c>
      <c r="D40" s="170"/>
      <c r="E40" s="170"/>
      <c r="F40" s="170"/>
      <c r="G40" s="170"/>
      <c r="H40" s="170"/>
    </row>
    <row r="41" spans="1:19" x14ac:dyDescent="0.3">
      <c r="A41" s="156" t="s">
        <v>32</v>
      </c>
      <c r="B41" s="156"/>
      <c r="C41" s="156"/>
      <c r="D41" s="156"/>
      <c r="E41" s="156"/>
      <c r="F41" s="156"/>
      <c r="G41" s="156"/>
      <c r="H41" s="156"/>
    </row>
    <row r="42" spans="1:19" x14ac:dyDescent="0.3">
      <c r="A42" s="125" t="s">
        <v>33</v>
      </c>
      <c r="B42" s="125"/>
      <c r="C42" s="125"/>
      <c r="D42" s="125"/>
      <c r="E42" s="222">
        <v>5027.1499999999996</v>
      </c>
      <c r="F42" s="222"/>
      <c r="G42" s="222"/>
      <c r="H42" s="222"/>
    </row>
    <row r="43" spans="1:19" x14ac:dyDescent="0.3">
      <c r="A43" s="125" t="s">
        <v>34</v>
      </c>
      <c r="B43" s="125"/>
      <c r="C43" s="125"/>
      <c r="D43" s="125"/>
      <c r="E43" s="188">
        <f>8043.44/E42</f>
        <v>1.6</v>
      </c>
      <c r="F43" s="188"/>
      <c r="G43" s="188"/>
      <c r="H43" s="188"/>
    </row>
    <row r="44" spans="1:19" x14ac:dyDescent="0.3">
      <c r="A44" s="125" t="s">
        <v>35</v>
      </c>
      <c r="B44" s="125"/>
      <c r="C44" s="125"/>
      <c r="D44" s="125"/>
      <c r="E44" s="188">
        <f>E46/E42-E43</f>
        <v>3.6146882428413716</v>
      </c>
      <c r="F44" s="188"/>
      <c r="G44" s="188"/>
      <c r="H44" s="188"/>
    </row>
    <row r="45" spans="1:19" x14ac:dyDescent="0.3">
      <c r="A45" s="125" t="s">
        <v>36</v>
      </c>
      <c r="B45" s="125"/>
      <c r="C45" s="125"/>
      <c r="D45" s="125"/>
      <c r="E45" s="188">
        <f>E43+E44</f>
        <v>5.2146882428413717</v>
      </c>
      <c r="F45" s="188"/>
      <c r="G45" s="188"/>
      <c r="H45" s="188"/>
    </row>
    <row r="46" spans="1:19" x14ac:dyDescent="0.3">
      <c r="A46" s="125" t="s">
        <v>88</v>
      </c>
      <c r="B46" s="125"/>
      <c r="C46" s="125"/>
      <c r="D46" s="125"/>
      <c r="E46" s="189">
        <v>26215.02</v>
      </c>
      <c r="F46" s="189"/>
      <c r="G46" s="189"/>
      <c r="H46" s="189"/>
    </row>
    <row r="47" spans="1:19" x14ac:dyDescent="0.3">
      <c r="A47" s="136" t="s">
        <v>37</v>
      </c>
      <c r="B47" s="136"/>
      <c r="C47" s="136"/>
      <c r="D47" s="136"/>
      <c r="E47" s="136" t="s">
        <v>408</v>
      </c>
      <c r="F47" s="136"/>
      <c r="G47" s="136"/>
      <c r="H47" s="136"/>
    </row>
    <row r="48" spans="1:19" x14ac:dyDescent="0.3">
      <c r="A48" s="156" t="s">
        <v>38</v>
      </c>
      <c r="B48" s="156"/>
      <c r="C48" s="156"/>
      <c r="D48" s="156"/>
      <c r="E48" s="156"/>
      <c r="F48" s="156"/>
      <c r="G48" s="156"/>
      <c r="H48" s="156"/>
    </row>
    <row r="49" spans="1:24" ht="33.75" customHeight="1" x14ac:dyDescent="0.3">
      <c r="A49" s="106" t="s">
        <v>145</v>
      </c>
      <c r="B49" s="107"/>
      <c r="C49" s="195" t="s">
        <v>253</v>
      </c>
      <c r="D49" s="196"/>
      <c r="E49" s="196"/>
      <c r="F49" s="196"/>
      <c r="G49" s="196"/>
      <c r="H49" s="197"/>
      <c r="R49" t="s">
        <v>247</v>
      </c>
      <c r="S49" s="51" t="s">
        <v>166</v>
      </c>
      <c r="T49" s="51" t="s">
        <v>173</v>
      </c>
      <c r="U49" s="51" t="s">
        <v>187</v>
      </c>
      <c r="V49" s="51" t="s">
        <v>182</v>
      </c>
    </row>
    <row r="50" spans="1:24" ht="15.75" customHeight="1" x14ac:dyDescent="0.3">
      <c r="A50" s="106" t="s">
        <v>39</v>
      </c>
      <c r="B50" s="107"/>
      <c r="C50" s="106" t="s">
        <v>409</v>
      </c>
      <c r="D50" s="190"/>
      <c r="E50" s="107"/>
      <c r="F50" s="17" t="s">
        <v>40</v>
      </c>
      <c r="G50" s="206">
        <v>45478</v>
      </c>
      <c r="H50" s="207"/>
      <c r="R50"/>
      <c r="S50" s="51" t="s">
        <v>248</v>
      </c>
      <c r="T50" s="51" t="s">
        <v>253</v>
      </c>
      <c r="U50" s="51" t="s">
        <v>264</v>
      </c>
      <c r="V50" s="51" t="s">
        <v>269</v>
      </c>
    </row>
    <row r="51" spans="1:24" x14ac:dyDescent="0.3">
      <c r="A51" s="106" t="s">
        <v>41</v>
      </c>
      <c r="B51" s="107"/>
      <c r="C51" s="106" t="str">
        <f>C50</f>
        <v>NRV/A-2364</v>
      </c>
      <c r="D51" s="190"/>
      <c r="E51" s="107"/>
      <c r="F51" s="17" t="s">
        <v>40</v>
      </c>
      <c r="G51" s="206">
        <f>G50</f>
        <v>45478</v>
      </c>
      <c r="H51" s="207"/>
      <c r="R51"/>
      <c r="S51" s="51" t="s">
        <v>249</v>
      </c>
      <c r="T51" s="51" t="s">
        <v>352</v>
      </c>
      <c r="U51" s="51" t="s">
        <v>262</v>
      </c>
      <c r="V51" s="51" t="s">
        <v>270</v>
      </c>
    </row>
    <row r="52" spans="1:24" s="20" customFormat="1" ht="15.75" customHeight="1" x14ac:dyDescent="0.3">
      <c r="A52" s="214" t="s">
        <v>149</v>
      </c>
      <c r="B52" s="215"/>
      <c r="C52" s="214" t="s">
        <v>410</v>
      </c>
      <c r="D52" s="220"/>
      <c r="E52" s="215"/>
      <c r="F52" s="17" t="s">
        <v>40</v>
      </c>
      <c r="G52" s="206">
        <v>45478</v>
      </c>
      <c r="H52" s="207"/>
      <c r="I52" s="19" t="str">
        <f ca="1">IF(G52&gt;EDATE(E3,-48),"NO REMARK","CC REMARK FOR CC")</f>
        <v>NO REMARK</v>
      </c>
      <c r="J52" s="70"/>
      <c r="R52"/>
      <c r="S52" s="51" t="s">
        <v>250</v>
      </c>
      <c r="T52" s="51" t="s">
        <v>255</v>
      </c>
      <c r="U52" s="51" t="s">
        <v>252</v>
      </c>
      <c r="V52" s="51" t="s">
        <v>271</v>
      </c>
    </row>
    <row r="53" spans="1:24" s="20" customFormat="1" ht="33.75" hidden="1" customHeight="1" x14ac:dyDescent="0.3">
      <c r="A53" s="216"/>
      <c r="B53" s="217"/>
      <c r="C53" s="218"/>
      <c r="D53" s="221"/>
      <c r="E53" s="219"/>
      <c r="F53" s="17" t="s">
        <v>115</v>
      </c>
      <c r="G53" s="106" t="s">
        <v>146</v>
      </c>
      <c r="H53" s="107"/>
      <c r="R53"/>
      <c r="S53" s="51" t="s">
        <v>251</v>
      </c>
      <c r="T53" s="51" t="s">
        <v>258</v>
      </c>
      <c r="U53" s="51" t="s">
        <v>265</v>
      </c>
      <c r="V53" s="66" t="s">
        <v>344</v>
      </c>
    </row>
    <row r="54" spans="1:24" s="20" customFormat="1" ht="52.8" customHeight="1" x14ac:dyDescent="0.3">
      <c r="A54" s="218"/>
      <c r="B54" s="219"/>
      <c r="C54" s="106" t="s">
        <v>411</v>
      </c>
      <c r="D54" s="190"/>
      <c r="E54" s="190"/>
      <c r="F54" s="190"/>
      <c r="G54" s="190"/>
      <c r="H54" s="107"/>
      <c r="R54"/>
      <c r="S54" s="51"/>
      <c r="T54" s="51"/>
      <c r="U54" s="51"/>
      <c r="V54" s="66"/>
    </row>
    <row r="55" spans="1:24" s="20" customFormat="1" hidden="1" x14ac:dyDescent="0.3">
      <c r="A55" s="97" t="s">
        <v>275</v>
      </c>
      <c r="B55" s="98"/>
      <c r="C55" s="106">
        <f>C53</f>
        <v>0</v>
      </c>
      <c r="D55" s="190"/>
      <c r="E55" s="107"/>
      <c r="F55" s="17" t="s">
        <v>40</v>
      </c>
      <c r="G55" s="206"/>
      <c r="H55" s="207"/>
      <c r="K55" s="71">
        <f>EDATE(G52,-48)</f>
        <v>44017</v>
      </c>
      <c r="L55" s="20" t="str">
        <f ca="1">IF(G52&gt;EDATE(E3,-48),"NO REMARK","CC REMARK FOR CC")</f>
        <v>NO REMARK</v>
      </c>
      <c r="R55"/>
      <c r="S55" s="51" t="s">
        <v>250</v>
      </c>
      <c r="T55" s="51" t="s">
        <v>255</v>
      </c>
      <c r="U55" s="51" t="s">
        <v>252</v>
      </c>
      <c r="V55" s="51" t="s">
        <v>271</v>
      </c>
    </row>
    <row r="56" spans="1:24" s="20" customFormat="1" ht="32.25" hidden="1" customHeight="1" x14ac:dyDescent="0.3">
      <c r="A56" s="99"/>
      <c r="B56" s="100"/>
      <c r="C56" s="211"/>
      <c r="D56" s="212"/>
      <c r="E56" s="212"/>
      <c r="F56" s="212"/>
      <c r="G56" s="212"/>
      <c r="H56" s="213"/>
      <c r="R56"/>
      <c r="S56" s="51" t="s">
        <v>252</v>
      </c>
      <c r="T56" s="51" t="s">
        <v>256</v>
      </c>
      <c r="U56" s="51" t="s">
        <v>266</v>
      </c>
      <c r="V56" s="67"/>
      <c r="W56" s="18"/>
      <c r="X56" s="18"/>
    </row>
    <row r="57" spans="1:24" s="20" customFormat="1" ht="34.5" hidden="1" customHeight="1" x14ac:dyDescent="0.3">
      <c r="A57" s="97" t="s">
        <v>276</v>
      </c>
      <c r="B57" s="98"/>
      <c r="C57" s="106">
        <f>C56</f>
        <v>0</v>
      </c>
      <c r="D57" s="190"/>
      <c r="E57" s="107"/>
      <c r="F57" s="17" t="s">
        <v>40</v>
      </c>
      <c r="G57" s="206">
        <f>G56</f>
        <v>0</v>
      </c>
      <c r="H57" s="207"/>
      <c r="R57"/>
      <c r="S57" s="67"/>
      <c r="T57" s="51" t="s">
        <v>257</v>
      </c>
      <c r="U57" s="51" t="s">
        <v>267</v>
      </c>
      <c r="V57" s="67"/>
      <c r="W57" s="18"/>
      <c r="X57" s="18"/>
    </row>
    <row r="58" spans="1:24" s="20" customFormat="1" ht="41.25" hidden="1" customHeight="1" x14ac:dyDescent="0.3">
      <c r="A58" s="99"/>
      <c r="B58" s="100"/>
      <c r="C58" s="106"/>
      <c r="D58" s="190"/>
      <c r="E58" s="190"/>
      <c r="F58" s="190"/>
      <c r="G58" s="190"/>
      <c r="H58" s="107"/>
      <c r="R58"/>
      <c r="S58" s="67"/>
      <c r="T58" s="51" t="s">
        <v>259</v>
      </c>
      <c r="U58" s="51" t="s">
        <v>268</v>
      </c>
      <c r="V58" s="67"/>
      <c r="W58" s="18"/>
      <c r="X58" s="18"/>
    </row>
    <row r="59" spans="1:24" s="20" customFormat="1" ht="15.75" hidden="1" customHeight="1" x14ac:dyDescent="0.3">
      <c r="A59" s="97" t="s">
        <v>347</v>
      </c>
      <c r="B59" s="98"/>
      <c r="C59" s="225"/>
      <c r="D59" s="226"/>
      <c r="E59" s="227"/>
      <c r="F59" s="17" t="s">
        <v>40</v>
      </c>
      <c r="G59" s="206"/>
      <c r="H59" s="207"/>
      <c r="R59"/>
      <c r="S59" s="67"/>
      <c r="T59" s="51" t="s">
        <v>260</v>
      </c>
      <c r="U59" s="67" t="s">
        <v>290</v>
      </c>
      <c r="V59" s="67"/>
      <c r="W59" s="18"/>
      <c r="X59" s="18"/>
    </row>
    <row r="60" spans="1:24" s="20" customFormat="1" ht="33.75" hidden="1" customHeight="1" x14ac:dyDescent="0.3">
      <c r="A60" s="223"/>
      <c r="B60" s="224"/>
      <c r="C60" s="228"/>
      <c r="D60" s="229"/>
      <c r="E60" s="230"/>
      <c r="F60" s="17" t="s">
        <v>348</v>
      </c>
      <c r="G60" s="206"/>
      <c r="H60" s="207"/>
      <c r="R60"/>
      <c r="S60" s="67"/>
      <c r="T60" s="51" t="s">
        <v>261</v>
      </c>
      <c r="U60" s="67"/>
      <c r="V60" s="67"/>
      <c r="W60" s="18"/>
      <c r="X60" s="18"/>
    </row>
    <row r="61" spans="1:24" s="20" customFormat="1" ht="33.75" hidden="1" customHeight="1" x14ac:dyDescent="0.3">
      <c r="A61" s="99"/>
      <c r="B61" s="100"/>
      <c r="C61" s="106" t="s">
        <v>370</v>
      </c>
      <c r="D61" s="190"/>
      <c r="E61" s="190"/>
      <c r="F61" s="190"/>
      <c r="G61" s="190"/>
      <c r="H61" s="107"/>
      <c r="R61"/>
      <c r="S61" s="67"/>
      <c r="T61" s="51"/>
      <c r="U61" s="67"/>
      <c r="V61" s="67"/>
      <c r="W61" s="18"/>
      <c r="X61" s="18"/>
    </row>
    <row r="62" spans="1:24" x14ac:dyDescent="0.3">
      <c r="A62" s="132" t="s">
        <v>42</v>
      </c>
      <c r="B62" s="133"/>
      <c r="C62" s="132" t="s">
        <v>100</v>
      </c>
      <c r="D62" s="134"/>
      <c r="E62" s="133"/>
      <c r="F62" s="40" t="s">
        <v>40</v>
      </c>
      <c r="G62" s="137" t="s">
        <v>28</v>
      </c>
      <c r="H62" s="138"/>
      <c r="R62"/>
      <c r="S62" s="67"/>
      <c r="T62" s="51" t="s">
        <v>263</v>
      </c>
      <c r="U62" s="67"/>
      <c r="V62" s="67"/>
    </row>
    <row r="63" spans="1:24" x14ac:dyDescent="0.3">
      <c r="A63" s="157" t="s">
        <v>44</v>
      </c>
      <c r="B63" s="157"/>
      <c r="C63" s="157"/>
      <c r="D63" s="157"/>
      <c r="E63" s="157"/>
      <c r="F63" s="157"/>
      <c r="G63" s="157"/>
      <c r="H63" s="157"/>
      <c r="S63" s="67"/>
      <c r="T63" s="51" t="s">
        <v>272</v>
      </c>
      <c r="U63" s="67"/>
      <c r="V63" s="67"/>
    </row>
    <row r="64" spans="1:24" x14ac:dyDescent="0.3">
      <c r="A64" s="109" t="s">
        <v>87</v>
      </c>
      <c r="B64" s="109"/>
      <c r="C64" s="109"/>
      <c r="D64" s="125">
        <f>E46</f>
        <v>26215.02</v>
      </c>
      <c r="E64" s="125"/>
      <c r="F64" s="125"/>
      <c r="G64" s="125"/>
      <c r="H64" s="125"/>
      <c r="R64"/>
    </row>
    <row r="65" spans="1:19" x14ac:dyDescent="0.3">
      <c r="A65" s="170" t="s">
        <v>45</v>
      </c>
      <c r="B65" s="136"/>
      <c r="C65" s="136"/>
      <c r="D65" s="136" t="s">
        <v>450</v>
      </c>
      <c r="E65" s="136"/>
      <c r="F65" s="136"/>
      <c r="G65" s="136"/>
      <c r="H65" s="136"/>
      <c r="I65" s="21"/>
      <c r="R65"/>
    </row>
    <row r="66" spans="1:19" ht="31.2" customHeight="1" x14ac:dyDescent="0.3">
      <c r="A66" s="192" t="s">
        <v>46</v>
      </c>
      <c r="B66" s="193"/>
      <c r="C66" s="194"/>
      <c r="D66" s="110" t="s">
        <v>412</v>
      </c>
      <c r="E66" s="191"/>
      <c r="F66" s="191"/>
      <c r="G66" s="191"/>
      <c r="H66" s="191"/>
      <c r="R66"/>
    </row>
    <row r="67" spans="1:19" ht="15.75" customHeight="1" x14ac:dyDescent="0.3">
      <c r="A67" s="192" t="s">
        <v>85</v>
      </c>
      <c r="B67" s="193"/>
      <c r="C67" s="193"/>
      <c r="D67" s="200" t="s">
        <v>413</v>
      </c>
      <c r="E67" s="201"/>
      <c r="F67" s="201"/>
      <c r="G67" s="201"/>
      <c r="H67" s="202"/>
      <c r="R67"/>
    </row>
    <row r="68" spans="1:19" ht="15.75" customHeight="1" x14ac:dyDescent="0.3">
      <c r="A68" s="198"/>
      <c r="B68" s="199"/>
      <c r="C68" s="199"/>
      <c r="D68" s="203" t="s">
        <v>414</v>
      </c>
      <c r="E68" s="204"/>
      <c r="F68" s="204"/>
      <c r="G68" s="204"/>
      <c r="H68" s="205"/>
      <c r="R68"/>
    </row>
    <row r="69" spans="1:19" ht="15.75" customHeight="1" x14ac:dyDescent="0.3">
      <c r="A69" s="125" t="s">
        <v>43</v>
      </c>
      <c r="B69" s="125"/>
      <c r="C69" s="125"/>
      <c r="D69" s="242" t="s">
        <v>415</v>
      </c>
      <c r="E69" s="242"/>
      <c r="F69" s="242"/>
      <c r="G69" s="242"/>
      <c r="H69" s="242"/>
      <c r="J69" s="22"/>
      <c r="K69" s="21"/>
      <c r="N69" s="21"/>
      <c r="S69"/>
    </row>
    <row r="70" spans="1:19" ht="15.75" customHeight="1" x14ac:dyDescent="0.3">
      <c r="A70" s="125" t="s">
        <v>83</v>
      </c>
      <c r="B70" s="125"/>
      <c r="C70" s="125"/>
      <c r="D70" s="187" t="str">
        <f>(IF(G62="NA","60 Years After Completion",IF(G62&lt;&gt;"NA",""&amp;60-ROUNDDOWN((E3-G62)/360,0)&amp;" Years"," ")))</f>
        <v>60 Years After Completion</v>
      </c>
      <c r="E70" s="187"/>
      <c r="F70" s="187"/>
      <c r="G70" s="187"/>
      <c r="H70" s="187"/>
      <c r="N70" s="21"/>
      <c r="S70"/>
    </row>
    <row r="71" spans="1:19" ht="15.75" customHeight="1" x14ac:dyDescent="0.3">
      <c r="A71" s="125" t="s">
        <v>84</v>
      </c>
      <c r="B71" s="125"/>
      <c r="C71" s="125"/>
      <c r="D71" s="109" t="s">
        <v>23</v>
      </c>
      <c r="E71" s="109"/>
      <c r="F71" s="109"/>
      <c r="G71" s="109"/>
      <c r="H71" s="109"/>
      <c r="J71" s="23"/>
      <c r="K71" s="23"/>
      <c r="S71"/>
    </row>
    <row r="72" spans="1:19" ht="51" customHeight="1" x14ac:dyDescent="0.3">
      <c r="A72" s="136" t="s">
        <v>416</v>
      </c>
      <c r="B72" s="136"/>
      <c r="C72" s="136"/>
      <c r="D72" s="170" t="s">
        <v>417</v>
      </c>
      <c r="E72" s="109"/>
      <c r="F72" s="109"/>
      <c r="G72" s="109"/>
      <c r="H72" s="109"/>
      <c r="S72"/>
    </row>
    <row r="73" spans="1:19" x14ac:dyDescent="0.3">
      <c r="A73" s="109" t="s">
        <v>142</v>
      </c>
      <c r="B73" s="109"/>
      <c r="C73" s="109"/>
      <c r="D73" s="109" t="s">
        <v>28</v>
      </c>
      <c r="E73" s="109"/>
      <c r="F73" s="109"/>
      <c r="G73" s="109"/>
      <c r="H73" s="109"/>
      <c r="I73" s="24"/>
      <c r="J73" s="24"/>
      <c r="K73" s="24"/>
      <c r="L73" s="24"/>
      <c r="M73" s="24"/>
      <c r="N73" s="24"/>
    </row>
    <row r="74" spans="1:19" ht="15.75" customHeight="1" x14ac:dyDescent="0.3">
      <c r="A74" s="186" t="s">
        <v>82</v>
      </c>
      <c r="B74" s="186"/>
      <c r="C74" s="186"/>
      <c r="D74" s="110" t="str">
        <f ca="1">(IF(G80&gt;95%,"Nothing",IF(G80&gt;0%,"Cement, Aggregate, Steel, etc",IF(G80=0%,"Work not yet Started"))))</f>
        <v>Cement, Aggregate, Steel, etc</v>
      </c>
      <c r="E74" s="110"/>
      <c r="F74" s="110"/>
      <c r="G74" s="110"/>
      <c r="H74" s="110"/>
      <c r="J74" s="23"/>
      <c r="S74"/>
    </row>
    <row r="75" spans="1:19" ht="33.75" customHeight="1" thickBot="1" x14ac:dyDescent="0.35">
      <c r="A75" s="185" t="s">
        <v>113</v>
      </c>
      <c r="B75" s="185"/>
      <c r="C75" s="185"/>
      <c r="D75" s="110" t="str">
        <f ca="1">(IF(D74="Nothing","Yes",IF(D74="Cement, Aggregate, Steel, etc","Under Construction",IF(D74="Work not yet Started","Work not yet Started"))))</f>
        <v>Under Construction</v>
      </c>
      <c r="E75" s="110"/>
      <c r="F75" s="110" t="str">
        <f ca="1">(IF(D74="Nothing","Yes",IF(D74="Cement, Aggregate, Steel, etc","Under Construction",IF(D74="Work not yet Started","Work not yet Started"))))</f>
        <v>Under Construction</v>
      </c>
      <c r="G75" s="110"/>
      <c r="H75" s="110"/>
      <c r="S75"/>
    </row>
    <row r="76" spans="1:19" ht="15.75" customHeight="1" x14ac:dyDescent="0.3">
      <c r="A76" s="209" t="s">
        <v>134</v>
      </c>
      <c r="B76" s="210"/>
      <c r="C76" s="180" t="str">
        <f>D67</f>
        <v>A Wing = G + 1st to 38th Floor</v>
      </c>
      <c r="D76" s="181"/>
      <c r="E76" s="181"/>
      <c r="F76" s="181"/>
      <c r="G76" s="181"/>
      <c r="H76" s="182"/>
      <c r="I76" s="44" t="str">
        <f ca="1">IF(D89=100%,"All work Completed. Possession granted to the Building.",IF(D88=100%,"All work Completed, Waiting for OC",I77&amp;""&amp;I78&amp;""&amp;J77&amp;""&amp;J76&amp;" "&amp;J78))</f>
        <v>Excavation, Plinth Completed, RCC upto 21 Slab, Brickwork upto 19 Floor, Internal Plaster upto 10 Floor, External Plaster upto 10 Floor Completed</v>
      </c>
      <c r="J76" s="45"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21 Slab, Brickwork upto 19 Floor, Internal Plaster upto 10 Floor, External Plaster upto 10 Floor</v>
      </c>
      <c r="S76"/>
    </row>
    <row r="77" spans="1:19" x14ac:dyDescent="0.3">
      <c r="A77" s="15" t="s">
        <v>136</v>
      </c>
      <c r="B77" s="42">
        <f>IF(AND(ISNUMBER(SEARCH("1B",C76))),1,IF(AND(ISNUMBER(SEARCH("2B",C76))),2,IF(AND(ISNUMBER(SEARCH("3B",C76))),3,IF(AND(ISNUMBER(SEARCH("4B",C76))),4,IF(ISNUMBER(SEARCH("5B",C76)),5,0)))))</f>
        <v>0</v>
      </c>
      <c r="C77" s="42" t="s">
        <v>68</v>
      </c>
      <c r="D77" s="42">
        <v>1</v>
      </c>
      <c r="E77" s="42" t="s">
        <v>67</v>
      </c>
      <c r="F77" s="42">
        <v>0</v>
      </c>
      <c r="G77" s="42" t="s">
        <v>76</v>
      </c>
      <c r="H77" s="16">
        <f ca="1">--TRIM(RIGHT(SUBSTITUTE(LEFT(C76,_xlfn.AGGREGATE(16,6,FIND({0,1,2,3,4,5,6,7,8,9},C76,ROW(INDIRECT("1:"&amp;LEN(C76)))),1))," ",REPT(" ",LEN(C76))),LEN(C76)))</f>
        <v>38</v>
      </c>
      <c r="I77" s="46" t="str">
        <f ca="1">IF(D80=100%,"Excavation","")&amp;IF(D81=100%,", Plinth","")&amp;IF(D82=100%,", RCC Slab","")&amp;IF(D83=100%,", Brickwork","")&amp;IF(D84=100%,", Internal Plaster","")&amp;IF(D85=100%,", External Plaster","")&amp;IF(D86=100%,", Flooring","")&amp;IF(D87=100%,", Painting","")&amp;IF(D88=100%,", Building common Amenities","")</f>
        <v>Excavation, Plinth</v>
      </c>
      <c r="J77" s="47"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6.75" customHeight="1" x14ac:dyDescent="0.3">
      <c r="A78" s="208" t="s">
        <v>86</v>
      </c>
      <c r="B78" s="168"/>
      <c r="C78" s="183" t="str">
        <f ca="1">I76</f>
        <v>Excavation, Plinth Completed, RCC upto 21 Slab, Brickwork upto 19 Floor, Internal Plaster upto 10 Floor, External Plaster upto 10 Floor Completed</v>
      </c>
      <c r="D78" s="183"/>
      <c r="E78" s="183"/>
      <c r="F78" s="183"/>
      <c r="G78" s="183"/>
      <c r="H78" s="184"/>
      <c r="I78" s="46" t="str">
        <f ca="1">IF(I77&lt;&gt;""," Completed","")</f>
        <v xml:space="preserve"> Completed</v>
      </c>
      <c r="J78" s="47" t="str">
        <f ca="1">IF(J76&lt;&gt;"","Completed","")</f>
        <v>Completed</v>
      </c>
      <c r="S78"/>
    </row>
    <row r="79" spans="1:19" ht="15.75" customHeight="1" x14ac:dyDescent="0.3">
      <c r="A79" s="104" t="s">
        <v>47</v>
      </c>
      <c r="B79" s="105"/>
      <c r="C79" s="89" t="s">
        <v>133</v>
      </c>
      <c r="D79" s="89" t="s">
        <v>79</v>
      </c>
      <c r="E79" s="111" t="s">
        <v>81</v>
      </c>
      <c r="F79" s="111"/>
      <c r="G79" s="111" t="s">
        <v>80</v>
      </c>
      <c r="H79" s="112"/>
      <c r="I79" s="13" t="s">
        <v>135</v>
      </c>
      <c r="J79" s="25">
        <f ca="1">H77*25%</f>
        <v>9.5</v>
      </c>
      <c r="S79"/>
    </row>
    <row r="80" spans="1:19" x14ac:dyDescent="0.3">
      <c r="A80" s="104" t="s">
        <v>122</v>
      </c>
      <c r="B80" s="105"/>
      <c r="C80" s="89">
        <f ca="1">J81</f>
        <v>38</v>
      </c>
      <c r="D80" s="90">
        <f ca="1">((100/H77)*C80)/100</f>
        <v>1</v>
      </c>
      <c r="E80" s="235">
        <f ca="1">(((C81/H77*10)+(40/(D77+F77+H77)*C82)+(7.5/(H77)*C83)+(7.5/(H77)*C84)+(10/H77*C85)+(10/H77*C86)+(5/H77*C87)+(5/H77*C88)+(5/H77*C89))/100)</f>
        <v>0.39893724696356264</v>
      </c>
      <c r="F80" s="243"/>
      <c r="G80" s="235">
        <f ca="1">((((C80/H77)*20)+((C81/H77)*25)+(30/(H77+F77+D77)*C82)+(5/H77*C83)+(5/H77*C84)+(5/H77*C85)+(5/H77*C86)+(0/H77*C87)+(0/H77*C88)+(5/H77*C89))/100)</f>
        <v>0.66285425101214568</v>
      </c>
      <c r="H80" s="236"/>
      <c r="I80" s="13" t="s">
        <v>95</v>
      </c>
      <c r="J80" s="26">
        <f ca="1">H77*50%</f>
        <v>19</v>
      </c>
    </row>
    <row r="81" spans="1:19" x14ac:dyDescent="0.3">
      <c r="A81" s="104" t="s">
        <v>48</v>
      </c>
      <c r="B81" s="105"/>
      <c r="C81" s="89">
        <f ca="1">J89</f>
        <v>38</v>
      </c>
      <c r="D81" s="90">
        <f ca="1">((100/H77)*C81)/100</f>
        <v>1</v>
      </c>
      <c r="E81" s="237"/>
      <c r="F81" s="244"/>
      <c r="G81" s="237"/>
      <c r="H81" s="238"/>
      <c r="I81" s="13" t="s">
        <v>96</v>
      </c>
      <c r="J81" s="26">
        <f ca="1">H77</f>
        <v>38</v>
      </c>
      <c r="L81" s="87"/>
      <c r="S81"/>
    </row>
    <row r="82" spans="1:19" ht="15.75" customHeight="1" x14ac:dyDescent="0.3">
      <c r="A82" s="104" t="s">
        <v>123</v>
      </c>
      <c r="B82" s="105"/>
      <c r="C82" s="89">
        <v>21</v>
      </c>
      <c r="D82" s="90">
        <f ca="1">((100/(D77+F77+H77))*C82)/100</f>
        <v>0.53846153846153855</v>
      </c>
      <c r="E82" s="237"/>
      <c r="F82" s="244"/>
      <c r="G82" s="237"/>
      <c r="H82" s="238"/>
      <c r="I82" s="13" t="s">
        <v>97</v>
      </c>
      <c r="J82" s="27">
        <f ca="1">(IF(B77&gt;1,(H77/(B77+2)),H77/4))</f>
        <v>9.5</v>
      </c>
      <c r="S82"/>
    </row>
    <row r="83" spans="1:19" ht="15.75" customHeight="1" x14ac:dyDescent="0.3">
      <c r="A83" s="104" t="s">
        <v>130</v>
      </c>
      <c r="B83" s="105" t="s">
        <v>124</v>
      </c>
      <c r="C83" s="89">
        <v>19</v>
      </c>
      <c r="D83" s="90">
        <f ca="1">((100/H77)*C83)/100</f>
        <v>0.5</v>
      </c>
      <c r="E83" s="237"/>
      <c r="F83" s="244"/>
      <c r="G83" s="237"/>
      <c r="H83" s="238"/>
      <c r="I83" s="13" t="s">
        <v>98</v>
      </c>
      <c r="J83" s="27">
        <f ca="1">(IF(B77&gt;1,(H77/(B77+2)+J82),H77/4+J82))</f>
        <v>19</v>
      </c>
    </row>
    <row r="84" spans="1:19" ht="15.75" customHeight="1" x14ac:dyDescent="0.3">
      <c r="A84" s="104" t="s">
        <v>131</v>
      </c>
      <c r="B84" s="105" t="s">
        <v>124</v>
      </c>
      <c r="C84" s="89">
        <v>10</v>
      </c>
      <c r="D84" s="90">
        <f ca="1">((100/H77)*C84)/100</f>
        <v>0.26315789473684215</v>
      </c>
      <c r="E84" s="237"/>
      <c r="F84" s="244"/>
      <c r="G84" s="237"/>
      <c r="H84" s="238"/>
      <c r="I84" s="13" t="s">
        <v>140</v>
      </c>
      <c r="J84" s="27">
        <f>(IF(B77&gt;1,(H77/(B77+2)+J83),0))</f>
        <v>0</v>
      </c>
    </row>
    <row r="85" spans="1:19" ht="15" customHeight="1" x14ac:dyDescent="0.3">
      <c r="A85" s="104" t="s">
        <v>129</v>
      </c>
      <c r="B85" s="105" t="s">
        <v>126</v>
      </c>
      <c r="C85" s="89">
        <v>10</v>
      </c>
      <c r="D85" s="90">
        <f ca="1">((100/(H77))*C85)/100</f>
        <v>0.26315789473684215</v>
      </c>
      <c r="E85" s="237"/>
      <c r="F85" s="244"/>
      <c r="G85" s="237"/>
      <c r="H85" s="238"/>
      <c r="I85" s="13" t="s">
        <v>137</v>
      </c>
      <c r="J85" s="27">
        <f>(IF(B77&gt;2,(H77/(B77+2)+J84),0))</f>
        <v>0</v>
      </c>
    </row>
    <row r="86" spans="1:19" ht="15.75" customHeight="1" x14ac:dyDescent="0.3">
      <c r="A86" s="104" t="s">
        <v>125</v>
      </c>
      <c r="B86" s="105" t="s">
        <v>125</v>
      </c>
      <c r="C86" s="89">
        <v>0</v>
      </c>
      <c r="D86" s="90">
        <f ca="1">((100/H77)*C86)/100</f>
        <v>0</v>
      </c>
      <c r="E86" s="237"/>
      <c r="F86" s="244"/>
      <c r="G86" s="237"/>
      <c r="H86" s="238"/>
      <c r="I86" s="13" t="s">
        <v>138</v>
      </c>
      <c r="J86" s="28">
        <f>(IF(B77&gt;3,(H77/(B77+2)+J85),0))</f>
        <v>0</v>
      </c>
    </row>
    <row r="87" spans="1:19" ht="15.75" customHeight="1" x14ac:dyDescent="0.3">
      <c r="A87" s="104" t="s">
        <v>132</v>
      </c>
      <c r="B87" s="105"/>
      <c r="C87" s="89">
        <v>0</v>
      </c>
      <c r="D87" s="90">
        <f ca="1">((100/H77)*C87)/100</f>
        <v>0</v>
      </c>
      <c r="E87" s="237"/>
      <c r="F87" s="244"/>
      <c r="G87" s="237"/>
      <c r="H87" s="238"/>
      <c r="I87" s="13" t="s">
        <v>139</v>
      </c>
      <c r="J87" s="27">
        <f>(IF(B77&gt;4,(H77/(B77+2)+J86),0))</f>
        <v>0</v>
      </c>
    </row>
    <row r="88" spans="1:19" ht="15.75" customHeight="1" x14ac:dyDescent="0.3">
      <c r="A88" s="104" t="s">
        <v>127</v>
      </c>
      <c r="B88" s="105" t="s">
        <v>127</v>
      </c>
      <c r="C88" s="89">
        <v>0</v>
      </c>
      <c r="D88" s="90">
        <f ca="1">((100/(H77))*C88)/100</f>
        <v>0</v>
      </c>
      <c r="E88" s="237"/>
      <c r="F88" s="244"/>
      <c r="G88" s="237"/>
      <c r="H88" s="238"/>
      <c r="I88" s="13" t="s">
        <v>141</v>
      </c>
      <c r="J88" s="27">
        <f ca="1">(IF(B77=1,(H77/(B77+3)+J83),IF(B77=0,(H77/4+J83),IF(B77&gt;1,0))))</f>
        <v>28.5</v>
      </c>
    </row>
    <row r="89" spans="1:19" ht="16.2" thickBot="1" x14ac:dyDescent="0.35">
      <c r="A89" s="113" t="s">
        <v>128</v>
      </c>
      <c r="B89" s="114"/>
      <c r="C89" s="91">
        <v>0</v>
      </c>
      <c r="D89" s="92">
        <f ca="1">((100/(H77))*C89)/100</f>
        <v>0</v>
      </c>
      <c r="E89" s="239"/>
      <c r="F89" s="245"/>
      <c r="G89" s="239"/>
      <c r="H89" s="240"/>
      <c r="I89" s="14" t="s">
        <v>99</v>
      </c>
      <c r="J89" s="29">
        <f ca="1">(IF(B77&gt;1.5,(H77/(B77+2)+J83+MAX(0,J84-J83)+MAX(0,J85-J84)+MAX(0,J86-J85)+MAX(0,J87-J86)+MAX(0,J88-J87)),IF(B77=1,(H77/(B77+3)+J88),IF(B77=0,H77/4+J88))))</f>
        <v>38</v>
      </c>
    </row>
    <row r="90" spans="1:19" ht="15.75" customHeight="1" x14ac:dyDescent="0.3">
      <c r="A90" s="209" t="s">
        <v>134</v>
      </c>
      <c r="B90" s="210"/>
      <c r="C90" s="180" t="str">
        <f>D68</f>
        <v>B Wing = G + 1st to 38th Floor</v>
      </c>
      <c r="D90" s="181"/>
      <c r="E90" s="181"/>
      <c r="F90" s="181"/>
      <c r="G90" s="181"/>
      <c r="H90" s="182"/>
      <c r="I90" s="44" t="str">
        <f ca="1">IF(D103=100%,"All work Completed. Possession granted to the Building.",IF(D102=100%,"All work Completed, Waiting for OC",I91&amp;""&amp;I92&amp;""&amp;J91&amp;""&amp;J90&amp;" "&amp;J92))</f>
        <v>Excavation, Plinth Completed, RCC upto 21 Slab, Brickwork upto 19 Floor, Internal Plaster upto 10 Floor, External Plaster upto 10 Floor Completed</v>
      </c>
      <c r="J90" s="45"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RCC upto 21 Slab, Brickwork upto 19 Floor, Internal Plaster upto 10 Floor, External Plaster upto 10 Floor</v>
      </c>
      <c r="S90"/>
    </row>
    <row r="91" spans="1:19" x14ac:dyDescent="0.3">
      <c r="A91" s="15" t="s">
        <v>136</v>
      </c>
      <c r="B91" s="42">
        <f>IF(AND(ISNUMBER(SEARCH("1B",C90))),1,IF(AND(ISNUMBER(SEARCH("2B",C90))),2,IF(AND(ISNUMBER(SEARCH("3B",C90))),3,IF(AND(ISNUMBER(SEARCH("4B",C90))),4,IF(ISNUMBER(SEARCH("5B",C90)),5,0)))))</f>
        <v>0</v>
      </c>
      <c r="C91" s="42" t="s">
        <v>68</v>
      </c>
      <c r="D91" s="42">
        <v>1</v>
      </c>
      <c r="E91" s="42" t="s">
        <v>67</v>
      </c>
      <c r="F91" s="42">
        <v>0</v>
      </c>
      <c r="G91" s="43" t="s">
        <v>76</v>
      </c>
      <c r="H91" s="16">
        <f ca="1">--TRIM(RIGHT(SUBSTITUTE(LEFT(C90,_xlfn.AGGREGATE(16,6,FIND({0,1,2,3,4,5,6,7,8,9},C90,ROW(INDIRECT("1:"&amp;LEN(C90)))),1))," ",REPT(" ",LEN(C90))),LEN(C90)))</f>
        <v>38</v>
      </c>
      <c r="I91" s="46" t="str">
        <f ca="1">IF(D94=100%,"Excavation","")&amp;IF(D95=100%,", Plinth","")&amp;IF(D96=100%,", RCC Slab","")&amp;IF(D97=100%,", Brickwork","")&amp;IF(D98=100%,", Internal Plaster","")&amp;IF(D99=100%,", External Plaster","")&amp;IF(D100=100%,", Flooring","")&amp;IF(D101=100%,", Painting","")&amp;IF(D102=100%,", Building common Amenities","")</f>
        <v>Excavation, Plinth</v>
      </c>
      <c r="J91" s="47"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36.75" customHeight="1" x14ac:dyDescent="0.3">
      <c r="A92" s="208" t="s">
        <v>86</v>
      </c>
      <c r="B92" s="168"/>
      <c r="C92" s="183" t="str">
        <f ca="1">I90</f>
        <v>Excavation, Plinth Completed, RCC upto 21 Slab, Brickwork upto 19 Floor, Internal Plaster upto 10 Floor, External Plaster upto 10 Floor Completed</v>
      </c>
      <c r="D92" s="183"/>
      <c r="E92" s="183"/>
      <c r="F92" s="183"/>
      <c r="G92" s="183"/>
      <c r="H92" s="184"/>
      <c r="I92" s="46" t="str">
        <f ca="1">IF(I91&lt;&gt;""," Completed","")</f>
        <v xml:space="preserve"> Completed</v>
      </c>
      <c r="J92" s="47" t="str">
        <f ca="1">IF(J90&lt;&gt;"","Completed","")</f>
        <v>Completed</v>
      </c>
      <c r="S92"/>
    </row>
    <row r="93" spans="1:19" ht="15.75" customHeight="1" x14ac:dyDescent="0.3">
      <c r="A93" s="104" t="s">
        <v>47</v>
      </c>
      <c r="B93" s="105"/>
      <c r="C93" s="89" t="s">
        <v>133</v>
      </c>
      <c r="D93" s="89" t="s">
        <v>79</v>
      </c>
      <c r="E93" s="111" t="s">
        <v>81</v>
      </c>
      <c r="F93" s="111"/>
      <c r="G93" s="111" t="s">
        <v>80</v>
      </c>
      <c r="H93" s="112"/>
      <c r="I93" s="13" t="s">
        <v>135</v>
      </c>
      <c r="J93" s="25">
        <f ca="1">H91*25%</f>
        <v>9.5</v>
      </c>
      <c r="S93"/>
    </row>
    <row r="94" spans="1:19" x14ac:dyDescent="0.3">
      <c r="A94" s="104" t="s">
        <v>122</v>
      </c>
      <c r="B94" s="105"/>
      <c r="C94" s="89">
        <f ca="1">J95</f>
        <v>38</v>
      </c>
      <c r="D94" s="90">
        <f ca="1">((100/H91)*C94)/100</f>
        <v>1</v>
      </c>
      <c r="E94" s="235">
        <f ca="1">(((C95/H91*10)+(40/(D91+F91+H91)*C96)+(7.5/(H91)*C97)+(7.5/(H91)*C98)+(10/H91*C99)+(10/H91*C100)+(5/H91*C101)+(5/H91*C102)+(5/H91*C103))/100)</f>
        <v>0.39893724696356264</v>
      </c>
      <c r="F94" s="243"/>
      <c r="G94" s="235">
        <f ca="1">((((C94/H91)*20)+((C95/H91)*25)+(30/(H91+F91+D91)*C96)+(5/H91*C97)+(5/H91*C98)+(5/H91*C99)+(5/H91*C100)+(0/H91*C101)+(0/H91*C102)+(5/H91*C103))/100)</f>
        <v>0.66285425101214568</v>
      </c>
      <c r="H94" s="236"/>
      <c r="I94" s="13" t="s">
        <v>95</v>
      </c>
      <c r="J94" s="26">
        <f ca="1">H91*50%</f>
        <v>19</v>
      </c>
    </row>
    <row r="95" spans="1:19" x14ac:dyDescent="0.3">
      <c r="A95" s="104" t="s">
        <v>48</v>
      </c>
      <c r="B95" s="105"/>
      <c r="C95" s="89">
        <f ca="1">J103</f>
        <v>38</v>
      </c>
      <c r="D95" s="90">
        <f ca="1">((100/H91)*C95)/100</f>
        <v>1</v>
      </c>
      <c r="E95" s="237"/>
      <c r="F95" s="244"/>
      <c r="G95" s="237"/>
      <c r="H95" s="238"/>
      <c r="I95" s="13" t="s">
        <v>96</v>
      </c>
      <c r="J95" s="26">
        <f ca="1">H91</f>
        <v>38</v>
      </c>
      <c r="S95"/>
    </row>
    <row r="96" spans="1:19" ht="15.75" customHeight="1" x14ac:dyDescent="0.3">
      <c r="A96" s="104" t="s">
        <v>123</v>
      </c>
      <c r="B96" s="105"/>
      <c r="C96" s="89">
        <v>21</v>
      </c>
      <c r="D96" s="90">
        <f ca="1">((100/(D91+F91+H91))*C96)/100</f>
        <v>0.53846153846153855</v>
      </c>
      <c r="E96" s="237"/>
      <c r="F96" s="244"/>
      <c r="G96" s="237"/>
      <c r="H96" s="238"/>
      <c r="I96" s="13" t="s">
        <v>97</v>
      </c>
      <c r="J96" s="27">
        <f ca="1">(IF(B91&gt;1,(H91/(B91+2)),H91/4))</f>
        <v>9.5</v>
      </c>
      <c r="S96"/>
    </row>
    <row r="97" spans="1:22" ht="15.75" customHeight="1" x14ac:dyDescent="0.3">
      <c r="A97" s="104" t="s">
        <v>130</v>
      </c>
      <c r="B97" s="105" t="s">
        <v>124</v>
      </c>
      <c r="C97" s="89">
        <v>19</v>
      </c>
      <c r="D97" s="90">
        <f ca="1">((100/H91)*C97)/100</f>
        <v>0.5</v>
      </c>
      <c r="E97" s="237"/>
      <c r="F97" s="244"/>
      <c r="G97" s="237"/>
      <c r="H97" s="238"/>
      <c r="I97" s="13" t="s">
        <v>98</v>
      </c>
      <c r="J97" s="27">
        <f ca="1">(IF(B91&gt;1,(H91/(B91+2)+J96),H91/4+J96))</f>
        <v>19</v>
      </c>
    </row>
    <row r="98" spans="1:22" ht="15.75" customHeight="1" x14ac:dyDescent="0.3">
      <c r="A98" s="104" t="s">
        <v>131</v>
      </c>
      <c r="B98" s="105" t="s">
        <v>124</v>
      </c>
      <c r="C98" s="89">
        <v>10</v>
      </c>
      <c r="D98" s="90">
        <f ca="1">((100/H91)*C98)/100</f>
        <v>0.26315789473684215</v>
      </c>
      <c r="E98" s="237"/>
      <c r="F98" s="244"/>
      <c r="G98" s="237"/>
      <c r="H98" s="238"/>
      <c r="I98" s="13" t="s">
        <v>140</v>
      </c>
      <c r="J98" s="27">
        <f>(IF(B91&gt;1,(H91/(B91+2)+J97),0))</f>
        <v>0</v>
      </c>
    </row>
    <row r="99" spans="1:22" ht="15" customHeight="1" x14ac:dyDescent="0.3">
      <c r="A99" s="104" t="s">
        <v>129</v>
      </c>
      <c r="B99" s="105" t="s">
        <v>126</v>
      </c>
      <c r="C99" s="89">
        <v>10</v>
      </c>
      <c r="D99" s="90">
        <f ca="1">((100/(H91))*C99)/100</f>
        <v>0.26315789473684215</v>
      </c>
      <c r="E99" s="237"/>
      <c r="F99" s="244"/>
      <c r="G99" s="237"/>
      <c r="H99" s="238"/>
      <c r="I99" s="13" t="s">
        <v>137</v>
      </c>
      <c r="J99" s="27">
        <f>(IF(B91&gt;2,(H91/(B91+2)+J98),0))</f>
        <v>0</v>
      </c>
    </row>
    <row r="100" spans="1:22" ht="15.75" customHeight="1" x14ac:dyDescent="0.3">
      <c r="A100" s="104" t="s">
        <v>125</v>
      </c>
      <c r="B100" s="105" t="s">
        <v>125</v>
      </c>
      <c r="C100" s="89">
        <v>0</v>
      </c>
      <c r="D100" s="90">
        <f ca="1">((100/H91)*C100)/100</f>
        <v>0</v>
      </c>
      <c r="E100" s="237"/>
      <c r="F100" s="244"/>
      <c r="G100" s="237"/>
      <c r="H100" s="238"/>
      <c r="I100" s="13" t="s">
        <v>138</v>
      </c>
      <c r="J100" s="28">
        <f>(IF(B91&gt;3,(H91/(B91+2)+J99),0))</f>
        <v>0</v>
      </c>
    </row>
    <row r="101" spans="1:22" ht="15.75" customHeight="1" x14ac:dyDescent="0.3">
      <c r="A101" s="104" t="s">
        <v>132</v>
      </c>
      <c r="B101" s="105"/>
      <c r="C101" s="89">
        <v>0</v>
      </c>
      <c r="D101" s="90">
        <f ca="1">((100/H91)*C101)/100</f>
        <v>0</v>
      </c>
      <c r="E101" s="237"/>
      <c r="F101" s="244"/>
      <c r="G101" s="237"/>
      <c r="H101" s="238"/>
      <c r="I101" s="13" t="s">
        <v>139</v>
      </c>
      <c r="J101" s="27">
        <f>(IF(B91&gt;4,(H91/(B91+2)+J100),0))</f>
        <v>0</v>
      </c>
    </row>
    <row r="102" spans="1:22" ht="15.75" customHeight="1" x14ac:dyDescent="0.3">
      <c r="A102" s="104" t="s">
        <v>127</v>
      </c>
      <c r="B102" s="105" t="s">
        <v>127</v>
      </c>
      <c r="C102" s="89">
        <v>0</v>
      </c>
      <c r="D102" s="90">
        <f ca="1">((100/(H91))*C102)/100</f>
        <v>0</v>
      </c>
      <c r="E102" s="237"/>
      <c r="F102" s="244"/>
      <c r="G102" s="237"/>
      <c r="H102" s="238"/>
      <c r="I102" s="13" t="s">
        <v>141</v>
      </c>
      <c r="J102" s="27">
        <f ca="1">(IF(B91=1,(H91/(B91+3)+J97),IF(B91=0,(H91/4+J97),IF(B91&gt;1,0))))</f>
        <v>28.5</v>
      </c>
    </row>
    <row r="103" spans="1:22" ht="16.2" thickBot="1" x14ac:dyDescent="0.35">
      <c r="A103" s="113" t="s">
        <v>128</v>
      </c>
      <c r="B103" s="114"/>
      <c r="C103" s="91">
        <v>0</v>
      </c>
      <c r="D103" s="92">
        <f ca="1">((100/(H91))*C103)/100</f>
        <v>0</v>
      </c>
      <c r="E103" s="239"/>
      <c r="F103" s="245"/>
      <c r="G103" s="239"/>
      <c r="H103" s="240"/>
      <c r="I103" s="14" t="s">
        <v>99</v>
      </c>
      <c r="J103" s="29">
        <f ca="1">(IF(B91&gt;1.5,(H91/(B91+2)+J97+MAX(0,J98-J97)+MAX(0,J99-J98)+MAX(0,J100-J99)+MAX(0,J101-J100)+MAX(0,J102-J101)),IF(B91=1,(H91/(B91+3)+J102),IF(B91=0,H91/4+J102))))</f>
        <v>38</v>
      </c>
    </row>
    <row r="104" spans="1:22" x14ac:dyDescent="0.3">
      <c r="A104" s="146" t="s">
        <v>151</v>
      </c>
      <c r="B104" s="146"/>
      <c r="C104" s="146"/>
      <c r="D104" s="146"/>
      <c r="E104" s="146"/>
      <c r="F104" s="152" t="s">
        <v>155</v>
      </c>
      <c r="G104" s="152"/>
      <c r="H104" s="152"/>
      <c r="R104" t="s">
        <v>247</v>
      </c>
      <c r="S104" t="s">
        <v>166</v>
      </c>
      <c r="T104" t="s">
        <v>173</v>
      </c>
      <c r="U104" t="s">
        <v>187</v>
      </c>
      <c r="V104" t="s">
        <v>182</v>
      </c>
    </row>
    <row r="105" spans="1:22" x14ac:dyDescent="0.3">
      <c r="A105" s="125" t="s">
        <v>153</v>
      </c>
      <c r="B105" s="125"/>
      <c r="C105" s="125"/>
      <c r="D105" s="125"/>
      <c r="E105" s="125"/>
      <c r="F105" s="124">
        <v>14000</v>
      </c>
      <c r="G105" s="124"/>
      <c r="H105" s="124"/>
      <c r="R105"/>
      <c r="S105">
        <v>800000</v>
      </c>
      <c r="T105">
        <v>150000</v>
      </c>
      <c r="U105">
        <v>100000</v>
      </c>
      <c r="V105">
        <v>100000</v>
      </c>
    </row>
    <row r="106" spans="1:22" x14ac:dyDescent="0.3">
      <c r="A106" s="125" t="s">
        <v>152</v>
      </c>
      <c r="B106" s="125"/>
      <c r="C106" s="125"/>
      <c r="D106" s="125"/>
      <c r="E106" s="125"/>
      <c r="F106" s="124">
        <v>22000</v>
      </c>
      <c r="G106" s="124"/>
      <c r="H106" s="124"/>
      <c r="R106"/>
      <c r="S106">
        <v>900000</v>
      </c>
      <c r="T106">
        <v>200000</v>
      </c>
      <c r="U106">
        <v>150000</v>
      </c>
      <c r="V106">
        <v>150000</v>
      </c>
    </row>
    <row r="107" spans="1:22" hidden="1" x14ac:dyDescent="0.3">
      <c r="A107" s="125" t="s">
        <v>154</v>
      </c>
      <c r="B107" s="125"/>
      <c r="C107" s="125"/>
      <c r="D107" s="125"/>
      <c r="E107" s="125"/>
      <c r="F107" s="124" t="s">
        <v>418</v>
      </c>
      <c r="G107" s="124"/>
      <c r="H107" s="124"/>
      <c r="R107"/>
      <c r="S107">
        <v>1000000</v>
      </c>
      <c r="T107">
        <v>250000</v>
      </c>
      <c r="U107">
        <v>200000</v>
      </c>
      <c r="V107">
        <v>200000</v>
      </c>
    </row>
    <row r="108" spans="1:22" s="30" customFormat="1" x14ac:dyDescent="0.3">
      <c r="A108" s="125" t="s">
        <v>420</v>
      </c>
      <c r="B108" s="125"/>
      <c r="C108" s="125"/>
      <c r="D108" s="125"/>
      <c r="E108" s="125"/>
      <c r="F108" s="124">
        <v>50</v>
      </c>
      <c r="G108" s="124"/>
      <c r="H108" s="124"/>
      <c r="R108"/>
      <c r="S108">
        <v>1100000</v>
      </c>
      <c r="T108">
        <v>300000</v>
      </c>
      <c r="U108">
        <v>250000</v>
      </c>
      <c r="V108" s="20">
        <v>250000</v>
      </c>
    </row>
    <row r="109" spans="1:22" s="30" customFormat="1" x14ac:dyDescent="0.3">
      <c r="A109" s="125" t="s">
        <v>421</v>
      </c>
      <c r="B109" s="125"/>
      <c r="C109" s="125"/>
      <c r="D109" s="125"/>
      <c r="E109" s="125"/>
      <c r="F109" s="124">
        <v>400000</v>
      </c>
      <c r="G109" s="124"/>
      <c r="H109" s="124"/>
      <c r="R109"/>
      <c r="S109">
        <v>1200000</v>
      </c>
      <c r="T109">
        <v>350000</v>
      </c>
      <c r="U109">
        <v>300000</v>
      </c>
      <c r="V109">
        <v>300000</v>
      </c>
    </row>
    <row r="110" spans="1:22" s="30" customFormat="1" x14ac:dyDescent="0.3">
      <c r="A110" s="125" t="s">
        <v>419</v>
      </c>
      <c r="B110" s="125"/>
      <c r="C110" s="125"/>
      <c r="D110" s="125"/>
      <c r="E110" s="125"/>
      <c r="F110" s="124">
        <v>600000</v>
      </c>
      <c r="G110" s="124"/>
      <c r="H110" s="124"/>
      <c r="R110"/>
      <c r="S110">
        <v>1300000</v>
      </c>
      <c r="T110">
        <v>400000</v>
      </c>
      <c r="U110">
        <v>350000</v>
      </c>
      <c r="V110" s="20">
        <v>400000</v>
      </c>
    </row>
    <row r="111" spans="1:22" s="30" customFormat="1" hidden="1" x14ac:dyDescent="0.3">
      <c r="A111" s="125" t="s">
        <v>91</v>
      </c>
      <c r="B111" s="125"/>
      <c r="C111" s="125"/>
      <c r="D111" s="125"/>
      <c r="E111" s="125"/>
      <c r="F111" s="124"/>
      <c r="G111" s="124"/>
      <c r="H111" s="124"/>
      <c r="R111"/>
      <c r="S111">
        <v>1400000</v>
      </c>
      <c r="T111">
        <v>500000</v>
      </c>
      <c r="U111">
        <v>400000</v>
      </c>
      <c r="V111"/>
    </row>
    <row r="112" spans="1:22" s="30" customFormat="1" hidden="1" x14ac:dyDescent="0.3">
      <c r="A112" s="125" t="s">
        <v>92</v>
      </c>
      <c r="B112" s="125"/>
      <c r="C112" s="125"/>
      <c r="D112" s="125"/>
      <c r="E112" s="125"/>
      <c r="F112" s="124"/>
      <c r="G112" s="124"/>
      <c r="H112" s="124"/>
      <c r="R112"/>
      <c r="S112">
        <v>1500000</v>
      </c>
      <c r="T112">
        <v>600000</v>
      </c>
      <c r="U112">
        <v>500000</v>
      </c>
      <c r="V112" s="20"/>
    </row>
    <row r="113" spans="1:22" s="30" customFormat="1" x14ac:dyDescent="0.3">
      <c r="A113" s="125" t="s">
        <v>93</v>
      </c>
      <c r="B113" s="125"/>
      <c r="C113" s="125"/>
      <c r="D113" s="125"/>
      <c r="E113" s="125"/>
      <c r="F113" s="124">
        <v>150000</v>
      </c>
      <c r="G113" s="124"/>
      <c r="H113" s="124"/>
      <c r="R113"/>
      <c r="S113">
        <v>1600000</v>
      </c>
      <c r="T113">
        <v>700000</v>
      </c>
      <c r="U113">
        <v>600000</v>
      </c>
      <c r="V113"/>
    </row>
    <row r="114" spans="1:22" s="30" customFormat="1" hidden="1" x14ac:dyDescent="0.3">
      <c r="A114" s="125" t="s">
        <v>94</v>
      </c>
      <c r="B114" s="125"/>
      <c r="C114" s="125"/>
      <c r="D114" s="125"/>
      <c r="E114" s="125"/>
      <c r="F114" s="124"/>
      <c r="G114" s="124"/>
      <c r="H114" s="124"/>
      <c r="R114"/>
      <c r="S114">
        <v>1700000</v>
      </c>
      <c r="T114">
        <v>800000</v>
      </c>
      <c r="U114"/>
      <c r="V114" s="20"/>
    </row>
    <row r="115" spans="1:22" x14ac:dyDescent="0.3">
      <c r="A115" s="125" t="s">
        <v>49</v>
      </c>
      <c r="B115" s="125"/>
      <c r="C115" s="125"/>
      <c r="D115" s="125"/>
      <c r="E115" s="125"/>
      <c r="F115" s="124">
        <v>800000</v>
      </c>
      <c r="G115" s="124"/>
      <c r="H115" s="124"/>
      <c r="R115"/>
      <c r="S115">
        <v>1800000</v>
      </c>
      <c r="T115">
        <v>900000</v>
      </c>
      <c r="U115"/>
    </row>
    <row r="116" spans="1:22" s="31" customFormat="1" x14ac:dyDescent="0.3">
      <c r="A116" s="156" t="s">
        <v>50</v>
      </c>
      <c r="B116" s="156"/>
      <c r="C116" s="156"/>
      <c r="D116" s="156"/>
      <c r="E116" s="156"/>
      <c r="F116" s="124">
        <f>F105*0.8</f>
        <v>11200</v>
      </c>
      <c r="G116" s="124"/>
      <c r="H116" s="124"/>
      <c r="R116" s="18"/>
      <c r="S116" s="18"/>
      <c r="T116">
        <v>1000000</v>
      </c>
      <c r="U116"/>
      <c r="V116" s="18"/>
    </row>
    <row r="117" spans="1:22" s="32" customFormat="1" ht="15.75" customHeight="1" x14ac:dyDescent="0.3">
      <c r="A117" s="155" t="s">
        <v>71</v>
      </c>
      <c r="B117" s="155"/>
      <c r="C117" s="155"/>
      <c r="D117" s="155"/>
      <c r="E117" s="155"/>
      <c r="F117" s="155"/>
      <c r="G117" s="155"/>
      <c r="H117" s="155"/>
      <c r="R117"/>
      <c r="S117" s="18"/>
      <c r="T117"/>
      <c r="U117"/>
      <c r="V117" s="18"/>
    </row>
    <row r="118" spans="1:22" s="32" customFormat="1" ht="15.75" customHeight="1" x14ac:dyDescent="0.3">
      <c r="A118" s="129" t="s">
        <v>51</v>
      </c>
      <c r="B118" s="129"/>
      <c r="C118" s="135" t="s">
        <v>74</v>
      </c>
      <c r="D118" s="135"/>
      <c r="E118" s="115" t="s">
        <v>52</v>
      </c>
      <c r="F118" s="115"/>
      <c r="G118" s="129" t="s">
        <v>53</v>
      </c>
      <c r="H118" s="129"/>
      <c r="R118"/>
      <c r="S118" s="18"/>
      <c r="T118"/>
      <c r="U118" s="18"/>
      <c r="V118" s="18"/>
    </row>
    <row r="119" spans="1:22" s="32" customFormat="1" x14ac:dyDescent="0.3">
      <c r="A119" s="252" t="s">
        <v>440</v>
      </c>
      <c r="B119" s="41" t="s">
        <v>423</v>
      </c>
      <c r="C119" s="139">
        <f>COUNT(D136:D145)</f>
        <v>10</v>
      </c>
      <c r="D119" s="140"/>
      <c r="E119" s="139">
        <f t="shared" ref="E119" si="0">SUM(F136:F145)</f>
        <v>7240.3615439999985</v>
      </c>
      <c r="F119" s="140"/>
      <c r="G119" s="139">
        <f t="shared" ref="G119" si="1">SUM(H136:H145)</f>
        <v>11222.560393199999</v>
      </c>
      <c r="H119" s="140"/>
      <c r="R119"/>
      <c r="S119" s="18"/>
      <c r="T119"/>
      <c r="U119" s="18"/>
      <c r="V119" s="18"/>
    </row>
    <row r="120" spans="1:22" s="32" customFormat="1" x14ac:dyDescent="0.3">
      <c r="A120" s="253"/>
      <c r="B120" s="41" t="s">
        <v>426</v>
      </c>
      <c r="C120" s="139">
        <f>COUNT(D148:D156)</f>
        <v>9</v>
      </c>
      <c r="D120" s="140"/>
      <c r="E120" s="139">
        <f t="shared" ref="E120" si="2">SUM(F148:F156)</f>
        <v>6323.6131919999998</v>
      </c>
      <c r="F120" s="140"/>
      <c r="G120" s="139">
        <f t="shared" ref="G120" si="3">SUM(H148:H156)</f>
        <v>9801.6004475999998</v>
      </c>
      <c r="H120" s="140"/>
      <c r="R120"/>
      <c r="S120" s="18"/>
      <c r="T120"/>
      <c r="U120" s="18"/>
      <c r="V120" s="18"/>
    </row>
    <row r="121" spans="1:22" s="32" customFormat="1" x14ac:dyDescent="0.3">
      <c r="A121" s="155" t="s">
        <v>144</v>
      </c>
      <c r="B121" s="155"/>
      <c r="C121" s="248">
        <f>SUM(C119:D120)</f>
        <v>19</v>
      </c>
      <c r="D121" s="135"/>
      <c r="E121" s="248">
        <f>SUM(E119:F120)</f>
        <v>13563.974735999998</v>
      </c>
      <c r="F121" s="135"/>
      <c r="G121" s="248">
        <f>SUM(G119:H120)</f>
        <v>21024.160840799999</v>
      </c>
      <c r="H121" s="135"/>
      <c r="R121"/>
      <c r="S121" s="18"/>
      <c r="T121"/>
      <c r="U121" s="18"/>
      <c r="V121" s="18"/>
    </row>
    <row r="122" spans="1:22" s="32" customFormat="1" x14ac:dyDescent="0.3">
      <c r="A122" s="155" t="s">
        <v>66</v>
      </c>
      <c r="B122" s="155"/>
      <c r="C122" s="155"/>
      <c r="D122" s="155"/>
      <c r="E122" s="155"/>
      <c r="F122" s="155"/>
      <c r="G122" s="155"/>
      <c r="H122" s="155"/>
      <c r="T122"/>
    </row>
    <row r="123" spans="1:22" s="32" customFormat="1" ht="15.75" customHeight="1" x14ac:dyDescent="0.3">
      <c r="A123" s="129" t="s">
        <v>51</v>
      </c>
      <c r="B123" s="129"/>
      <c r="C123" s="135" t="s">
        <v>74</v>
      </c>
      <c r="D123" s="135"/>
      <c r="E123" s="115" t="s">
        <v>52</v>
      </c>
      <c r="F123" s="115"/>
      <c r="G123" s="129" t="s">
        <v>53</v>
      </c>
      <c r="H123" s="129"/>
      <c r="T123"/>
    </row>
    <row r="124" spans="1:22" s="32" customFormat="1" x14ac:dyDescent="0.3">
      <c r="A124" s="252" t="s">
        <v>441</v>
      </c>
      <c r="B124" s="41" t="s">
        <v>423</v>
      </c>
      <c r="C124" s="139">
        <f>COUNT(D164:D167)*24+COUNT(D169:D172)*7+COUNT(D174:D176)</f>
        <v>127</v>
      </c>
      <c r="D124" s="139"/>
      <c r="E124" s="139">
        <f t="shared" ref="E124" si="4">SUM(F164:F167)*24+SUM(F169:F172)*7+SUM(F174:F176)</f>
        <v>89665.648488000006</v>
      </c>
      <c r="F124" s="139"/>
      <c r="G124" s="139">
        <f t="shared" ref="G124" si="5">SUM(H164:H167)*24+SUM(H169:H172)*7+SUM(H174:H176)</f>
        <v>134498.47273199999</v>
      </c>
      <c r="H124" s="139"/>
      <c r="T124"/>
    </row>
    <row r="125" spans="1:22" s="32" customFormat="1" x14ac:dyDescent="0.3">
      <c r="A125" s="253"/>
      <c r="B125" s="41" t="s">
        <v>426</v>
      </c>
      <c r="C125" s="139">
        <f>COUNT(D184:D187)*24+COUNT(D189:D192)*7+COUNT(D194:D195,D197)</f>
        <v>127</v>
      </c>
      <c r="D125" s="139"/>
      <c r="E125" s="139">
        <f t="shared" ref="E125" si="6">SUM(F184:F187)*24+SUM(F189:F192)*7+SUM(F194:F195,F197)</f>
        <v>99162.682632000011</v>
      </c>
      <c r="F125" s="139"/>
      <c r="G125" s="139">
        <f t="shared" ref="G125" si="7">SUM(H184:H187)*24+SUM(H189:H192)*7+SUM(H194:H195,H197)</f>
        <v>148744.02394799999</v>
      </c>
      <c r="H125" s="139"/>
      <c r="T125"/>
    </row>
    <row r="126" spans="1:22" s="32" customFormat="1" ht="31.2" customHeight="1" x14ac:dyDescent="0.3">
      <c r="A126" s="96" t="s">
        <v>447</v>
      </c>
      <c r="B126" s="96" t="s">
        <v>426</v>
      </c>
      <c r="C126" s="254">
        <f>COUNT(D180:D181)*5</f>
        <v>10</v>
      </c>
      <c r="D126" s="255"/>
      <c r="E126" s="254">
        <f>SUM(F180:F181)*5</f>
        <v>3712.2344999999996</v>
      </c>
      <c r="F126" s="255"/>
      <c r="G126" s="254">
        <f>SUM(H180:H181)*5</f>
        <v>5568.3517499999998</v>
      </c>
      <c r="H126" s="255"/>
      <c r="T126"/>
    </row>
    <row r="127" spans="1:22" s="32" customFormat="1" x14ac:dyDescent="0.3">
      <c r="A127" s="155" t="s">
        <v>448</v>
      </c>
      <c r="B127" s="155"/>
      <c r="C127" s="248">
        <f>C124+C125</f>
        <v>254</v>
      </c>
      <c r="D127" s="135"/>
      <c r="E127" s="248">
        <f>E124+E125</f>
        <v>188828.33112000002</v>
      </c>
      <c r="F127" s="135"/>
      <c r="G127" s="248">
        <f>G124+G125</f>
        <v>283242.49667999998</v>
      </c>
      <c r="H127" s="135"/>
      <c r="T127"/>
    </row>
    <row r="128" spans="1:22" s="32" customFormat="1" ht="16.2" thickBot="1" x14ac:dyDescent="0.35">
      <c r="A128" s="246" t="s">
        <v>449</v>
      </c>
      <c r="B128" s="247"/>
      <c r="C128" s="141">
        <f>C126</f>
        <v>10</v>
      </c>
      <c r="D128" s="142"/>
      <c r="E128" s="141">
        <f>E126</f>
        <v>3712.2344999999996</v>
      </c>
      <c r="F128" s="142"/>
      <c r="G128" s="141">
        <f>G126</f>
        <v>5568.3517499999998</v>
      </c>
      <c r="H128" s="142"/>
      <c r="T128"/>
    </row>
    <row r="129" spans="1:20" s="32" customFormat="1" ht="16.2" thickBot="1" x14ac:dyDescent="0.35">
      <c r="A129" s="161" t="s">
        <v>160</v>
      </c>
      <c r="B129" s="162"/>
      <c r="C129" s="164">
        <f>C121+C128+C127</f>
        <v>283</v>
      </c>
      <c r="D129" s="165"/>
      <c r="E129" s="164">
        <f>E121+E128+E127</f>
        <v>206104.54035600001</v>
      </c>
      <c r="F129" s="165"/>
      <c r="G129" s="164">
        <f>G121+G128+G127</f>
        <v>309835.00927079999</v>
      </c>
      <c r="H129" s="165"/>
      <c r="T129"/>
    </row>
    <row r="130" spans="1:20" s="31" customFormat="1" x14ac:dyDescent="0.3">
      <c r="A130" s="116" t="s">
        <v>350</v>
      </c>
      <c r="B130" s="116"/>
      <c r="C130" s="116"/>
      <c r="D130" s="116"/>
      <c r="E130" s="116"/>
      <c r="F130" s="116"/>
      <c r="G130" s="116"/>
      <c r="H130" s="116"/>
      <c r="T130" s="32"/>
    </row>
    <row r="131" spans="1:20" x14ac:dyDescent="0.3">
      <c r="A131" s="128" t="s">
        <v>168</v>
      </c>
      <c r="B131" s="128"/>
      <c r="C131" s="128"/>
      <c r="D131" s="128"/>
      <c r="E131" s="128"/>
      <c r="F131" s="128"/>
      <c r="G131" s="128"/>
      <c r="H131" s="128"/>
      <c r="T131" s="32"/>
    </row>
    <row r="132" spans="1:20" ht="47.25" customHeight="1" x14ac:dyDescent="0.3">
      <c r="A132" s="119" t="s">
        <v>422</v>
      </c>
      <c r="B132" s="119" t="s">
        <v>169</v>
      </c>
      <c r="C132" s="119" t="s">
        <v>54</v>
      </c>
      <c r="D132" s="119" t="s">
        <v>226</v>
      </c>
      <c r="E132" s="150" t="s">
        <v>150</v>
      </c>
      <c r="F132" s="119" t="s">
        <v>55</v>
      </c>
      <c r="G132" s="150" t="s">
        <v>56</v>
      </c>
      <c r="H132" s="93" t="s">
        <v>143</v>
      </c>
      <c r="T132" s="32"/>
    </row>
    <row r="133" spans="1:20" s="34" customFormat="1" x14ac:dyDescent="0.3">
      <c r="A133" s="120"/>
      <c r="B133" s="120"/>
      <c r="C133" s="120"/>
      <c r="D133" s="120"/>
      <c r="E133" s="151"/>
      <c r="F133" s="120"/>
      <c r="G133" s="151"/>
      <c r="H133" s="94">
        <v>0.55000000000000004</v>
      </c>
      <c r="T133" s="32"/>
    </row>
    <row r="134" spans="1:20" s="34" customFormat="1" x14ac:dyDescent="0.3">
      <c r="A134" s="249" t="s">
        <v>423</v>
      </c>
      <c r="B134" s="250"/>
      <c r="C134" s="250"/>
      <c r="D134" s="250"/>
      <c r="E134" s="250"/>
      <c r="F134" s="250"/>
      <c r="G134" s="250"/>
      <c r="H134" s="251"/>
      <c r="J134" s="33"/>
      <c r="T134" s="32"/>
    </row>
    <row r="135" spans="1:20" s="34" customFormat="1" x14ac:dyDescent="0.3">
      <c r="A135" s="232" t="s">
        <v>424</v>
      </c>
      <c r="B135" s="233"/>
      <c r="C135" s="233"/>
      <c r="D135" s="233"/>
      <c r="E135" s="233"/>
      <c r="F135" s="233"/>
      <c r="G135" s="233"/>
      <c r="H135" s="234"/>
      <c r="J135" s="95">
        <v>10.763999999999999</v>
      </c>
      <c r="T135" s="32"/>
    </row>
    <row r="136" spans="1:20" s="34" customFormat="1" ht="15.75" customHeight="1" x14ac:dyDescent="0.3">
      <c r="A136" s="130">
        <v>1</v>
      </c>
      <c r="B136" s="131"/>
      <c r="C136" s="95" t="s">
        <v>425</v>
      </c>
      <c r="D136" s="95">
        <f>(66.11)*10.764</f>
        <v>711.60803999999996</v>
      </c>
      <c r="E136" s="95">
        <v>0</v>
      </c>
      <c r="F136" s="95">
        <f>D136+(IF(E136&lt;201,E136,IF(E136&lt;301,E136/2,E136/3)))</f>
        <v>711.60803999999996</v>
      </c>
      <c r="G136" s="95">
        <v>0</v>
      </c>
      <c r="H136" s="95">
        <f>(F136+(IF(G136&lt;101,G136,IF(G136&lt;201,G136/2,IF(G136&lt;=301,G136/3,G136/4)))))*(($H$133)+1)</f>
        <v>1102.9924619999999</v>
      </c>
      <c r="I136" s="33"/>
      <c r="L136" s="231"/>
      <c r="M136" s="231"/>
      <c r="N136" s="33"/>
      <c r="T136" s="32"/>
    </row>
    <row r="137" spans="1:20" s="34" customFormat="1" ht="15.75" customHeight="1" x14ac:dyDescent="0.3">
      <c r="A137" s="130">
        <f>A136+1</f>
        <v>2</v>
      </c>
      <c r="B137" s="131"/>
      <c r="C137" s="95" t="s">
        <v>425</v>
      </c>
      <c r="D137" s="95">
        <f>(71.252)*10.764</f>
        <v>766.95652799999993</v>
      </c>
      <c r="E137" s="95">
        <v>0</v>
      </c>
      <c r="F137" s="95">
        <f>D137+(IF(E137&lt;201,E137,IF(E137&lt;301,E137/2,E137/3)))</f>
        <v>766.95652799999993</v>
      </c>
      <c r="G137" s="95">
        <v>0</v>
      </c>
      <c r="H137" s="95">
        <f>(F137+(IF(G137&lt;101,G137,IF(G137&lt;201,G137/2,IF(G137&lt;=301,G137/3,G137/4)))))*(($H$133)+1)</f>
        <v>1188.7826184</v>
      </c>
      <c r="I137" s="33"/>
      <c r="L137" s="231"/>
      <c r="M137" s="231"/>
      <c r="N137" s="33"/>
      <c r="T137" s="31"/>
    </row>
    <row r="138" spans="1:20" s="34" customFormat="1" ht="15.75" customHeight="1" x14ac:dyDescent="0.3">
      <c r="A138" s="130">
        <f>A137+1</f>
        <v>3</v>
      </c>
      <c r="B138" s="131"/>
      <c r="C138" s="95" t="s">
        <v>425</v>
      </c>
      <c r="D138" s="95">
        <f>(68.595)*10.764</f>
        <v>738.35657999999989</v>
      </c>
      <c r="E138" s="95">
        <v>0</v>
      </c>
      <c r="F138" s="95">
        <f>D138+(IF(E138&lt;201,E138,IF(E138&lt;301,E138/2,E138/3)))</f>
        <v>738.35657999999989</v>
      </c>
      <c r="G138" s="95">
        <v>0</v>
      </c>
      <c r="H138" s="95">
        <f>(F138+(IF(G138&lt;101,G138,IF(G138&lt;201,G138/2,IF(G138&lt;=301,G138/3,G138/4)))))*(($H$133)+1)</f>
        <v>1144.4526989999999</v>
      </c>
      <c r="I138" s="33"/>
      <c r="L138" s="231"/>
      <c r="M138" s="231"/>
      <c r="N138" s="33"/>
      <c r="T138" s="18"/>
    </row>
    <row r="139" spans="1:20" s="34" customFormat="1" ht="15.75" customHeight="1" x14ac:dyDescent="0.3">
      <c r="A139" s="130">
        <f>A138+1</f>
        <v>4</v>
      </c>
      <c r="B139" s="131"/>
      <c r="C139" s="95" t="s">
        <v>425</v>
      </c>
      <c r="D139" s="95">
        <f>(69.673)*10.764</f>
        <v>749.96017199999994</v>
      </c>
      <c r="E139" s="95">
        <v>0</v>
      </c>
      <c r="F139" s="95">
        <f>D139+(IF(E139&lt;201,E139,IF(E139&lt;301,E139/2,E139/3)))</f>
        <v>749.96017199999994</v>
      </c>
      <c r="G139" s="95">
        <v>0</v>
      </c>
      <c r="H139" s="95">
        <f>(F139+(IF(G139&lt;101,G139,IF(G139&lt;201,G139/2,IF(G139&lt;=301,G139/3,G139/4)))))*(($H$133)+1)</f>
        <v>1162.4382665999999</v>
      </c>
      <c r="I139" s="33"/>
      <c r="L139" s="231"/>
      <c r="M139" s="231"/>
      <c r="N139" s="33"/>
      <c r="T139" s="18"/>
    </row>
    <row r="140" spans="1:20" s="34" customFormat="1" ht="15.75" customHeight="1" x14ac:dyDescent="0.3">
      <c r="A140" s="130">
        <f t="shared" ref="A140:A145" si="8">A139+1</f>
        <v>5</v>
      </c>
      <c r="B140" s="131"/>
      <c r="C140" s="95" t="s">
        <v>425</v>
      </c>
      <c r="D140" s="95">
        <f>(70.134)*10.764</f>
        <v>754.92237599999999</v>
      </c>
      <c r="E140" s="95">
        <v>0</v>
      </c>
      <c r="F140" s="95">
        <f t="shared" ref="F140:F145" si="9">D140+(IF(E140&lt;201,E140,IF(E140&lt;301,E140/2,E140/3)))</f>
        <v>754.92237599999999</v>
      </c>
      <c r="G140" s="95">
        <v>0</v>
      </c>
      <c r="H140" s="95">
        <f t="shared" ref="H140:H145" si="10">(F140+(IF(G140&lt;101,G140,IF(G140&lt;201,G140/2,IF(G140&lt;=301,G140/3,G140/4)))))*(($H$133)+1)</f>
        <v>1170.1296828</v>
      </c>
      <c r="I140" s="33"/>
      <c r="L140" s="231"/>
      <c r="M140" s="231"/>
      <c r="N140" s="33"/>
      <c r="T140" s="18"/>
    </row>
    <row r="141" spans="1:20" s="34" customFormat="1" ht="15.75" customHeight="1" x14ac:dyDescent="0.3">
      <c r="A141" s="130">
        <f t="shared" si="8"/>
        <v>6</v>
      </c>
      <c r="B141" s="131"/>
      <c r="C141" s="95" t="s">
        <v>425</v>
      </c>
      <c r="D141" s="95">
        <f>(71.393)*10.764</f>
        <v>768.47425199999998</v>
      </c>
      <c r="E141" s="95">
        <v>0</v>
      </c>
      <c r="F141" s="95">
        <f t="shared" si="9"/>
        <v>768.47425199999998</v>
      </c>
      <c r="G141" s="95">
        <v>0</v>
      </c>
      <c r="H141" s="95">
        <f t="shared" si="10"/>
        <v>1191.1350906</v>
      </c>
      <c r="I141" s="33"/>
      <c r="L141" s="231"/>
      <c r="M141" s="231"/>
      <c r="N141" s="33"/>
      <c r="T141" s="18"/>
    </row>
    <row r="142" spans="1:20" s="34" customFormat="1" ht="15.75" customHeight="1" x14ac:dyDescent="0.3">
      <c r="A142" s="130">
        <f t="shared" si="8"/>
        <v>7</v>
      </c>
      <c r="B142" s="131"/>
      <c r="C142" s="95" t="s">
        <v>425</v>
      </c>
      <c r="D142" s="95">
        <f>(55.65)*10.764</f>
        <v>599.01659999999993</v>
      </c>
      <c r="E142" s="95">
        <v>0</v>
      </c>
      <c r="F142" s="95">
        <f t="shared" si="9"/>
        <v>599.01659999999993</v>
      </c>
      <c r="G142" s="95">
        <v>0</v>
      </c>
      <c r="H142" s="95">
        <f t="shared" si="10"/>
        <v>928.47572999999988</v>
      </c>
      <c r="I142" s="33"/>
      <c r="L142" s="231"/>
      <c r="M142" s="231"/>
      <c r="N142" s="33"/>
      <c r="T142" s="18"/>
    </row>
    <row r="143" spans="1:20" s="34" customFormat="1" ht="15.75" customHeight="1" x14ac:dyDescent="0.3">
      <c r="A143" s="130">
        <f t="shared" si="8"/>
        <v>8</v>
      </c>
      <c r="B143" s="131"/>
      <c r="C143" s="95" t="s">
        <v>425</v>
      </c>
      <c r="D143" s="95">
        <f>(57.216)*10.764</f>
        <v>615.87302399999999</v>
      </c>
      <c r="E143" s="95">
        <v>0</v>
      </c>
      <c r="F143" s="95">
        <f t="shared" si="9"/>
        <v>615.87302399999999</v>
      </c>
      <c r="G143" s="95">
        <v>0</v>
      </c>
      <c r="H143" s="95">
        <f t="shared" si="10"/>
        <v>954.60318719999998</v>
      </c>
      <c r="I143" s="33"/>
      <c r="L143" s="231"/>
      <c r="M143" s="231"/>
      <c r="N143" s="33"/>
      <c r="T143" s="18"/>
    </row>
    <row r="144" spans="1:20" s="34" customFormat="1" ht="15.75" customHeight="1" x14ac:dyDescent="0.3">
      <c r="A144" s="130">
        <f t="shared" si="8"/>
        <v>9</v>
      </c>
      <c r="B144" s="131"/>
      <c r="C144" s="95" t="s">
        <v>425</v>
      </c>
      <c r="D144" s="95">
        <f>(71.72)*10.764</f>
        <v>771.99407999999994</v>
      </c>
      <c r="E144" s="95">
        <v>0</v>
      </c>
      <c r="F144" s="95">
        <f t="shared" si="9"/>
        <v>771.99407999999994</v>
      </c>
      <c r="G144" s="95">
        <v>0</v>
      </c>
      <c r="H144" s="95">
        <f t="shared" si="10"/>
        <v>1196.5908239999999</v>
      </c>
      <c r="I144" s="33"/>
      <c r="L144" s="231"/>
      <c r="M144" s="231"/>
      <c r="N144" s="33"/>
      <c r="T144" s="18"/>
    </row>
    <row r="145" spans="1:20" s="34" customFormat="1" ht="15.75" customHeight="1" x14ac:dyDescent="0.3">
      <c r="A145" s="130">
        <f t="shared" si="8"/>
        <v>10</v>
      </c>
      <c r="B145" s="131"/>
      <c r="C145" s="95" t="s">
        <v>425</v>
      </c>
      <c r="D145" s="95">
        <f>(70.903)*10.764</f>
        <v>763.19989199999998</v>
      </c>
      <c r="E145" s="95">
        <v>0</v>
      </c>
      <c r="F145" s="95">
        <f t="shared" si="9"/>
        <v>763.19989199999998</v>
      </c>
      <c r="G145" s="95">
        <v>0</v>
      </c>
      <c r="H145" s="95">
        <f t="shared" si="10"/>
        <v>1182.9598326</v>
      </c>
      <c r="I145" s="33"/>
      <c r="L145" s="231"/>
      <c r="M145" s="231"/>
      <c r="N145" s="33"/>
      <c r="T145" s="18"/>
    </row>
    <row r="146" spans="1:20" s="34" customFormat="1" x14ac:dyDescent="0.3">
      <c r="A146" s="249" t="s">
        <v>426</v>
      </c>
      <c r="B146" s="250"/>
      <c r="C146" s="250"/>
      <c r="D146" s="250"/>
      <c r="E146" s="250"/>
      <c r="F146" s="250"/>
      <c r="G146" s="250"/>
      <c r="H146" s="251"/>
      <c r="J146" s="33"/>
      <c r="T146" s="32"/>
    </row>
    <row r="147" spans="1:20" s="34" customFormat="1" x14ac:dyDescent="0.3">
      <c r="A147" s="232" t="s">
        <v>424</v>
      </c>
      <c r="B147" s="233"/>
      <c r="C147" s="233"/>
      <c r="D147" s="233"/>
      <c r="E147" s="233"/>
      <c r="F147" s="233"/>
      <c r="G147" s="233"/>
      <c r="H147" s="234"/>
      <c r="J147" s="33"/>
      <c r="T147" s="32"/>
    </row>
    <row r="148" spans="1:20" s="34" customFormat="1" ht="15.75" customHeight="1" x14ac:dyDescent="0.3">
      <c r="A148" s="130">
        <v>1</v>
      </c>
      <c r="B148" s="131"/>
      <c r="C148" s="95" t="s">
        <v>425</v>
      </c>
      <c r="D148" s="95">
        <f>(58.472)*10.764</f>
        <v>629.392608</v>
      </c>
      <c r="E148" s="95">
        <v>0</v>
      </c>
      <c r="F148" s="95">
        <f>D148+(IF(E148&lt;201,E148,IF(E148&lt;301,E148/2,E148/3)))</f>
        <v>629.392608</v>
      </c>
      <c r="G148" s="95">
        <v>0</v>
      </c>
      <c r="H148" s="95">
        <f>(F148+(IF(G148&lt;101,G148,IF(G148&lt;201,G148/2,IF(G148&lt;=301,G148/3,G148/4)))))*(($H$133)+1)</f>
        <v>975.55854239999996</v>
      </c>
      <c r="I148" s="33"/>
      <c r="L148" s="231"/>
      <c r="M148" s="231"/>
      <c r="N148" s="33"/>
      <c r="T148" s="32"/>
    </row>
    <row r="149" spans="1:20" s="34" customFormat="1" ht="15.75" customHeight="1" x14ac:dyDescent="0.3">
      <c r="A149" s="130">
        <f>A148+1</f>
        <v>2</v>
      </c>
      <c r="B149" s="131"/>
      <c r="C149" s="95" t="s">
        <v>425</v>
      </c>
      <c r="D149" s="95">
        <f>(56.106)*10.764</f>
        <v>603.92498399999999</v>
      </c>
      <c r="E149" s="95">
        <v>0</v>
      </c>
      <c r="F149" s="95">
        <f>D149+(IF(E149&lt;201,E149,IF(E149&lt;301,E149/2,E149/3)))</f>
        <v>603.92498399999999</v>
      </c>
      <c r="G149" s="95">
        <v>0</v>
      </c>
      <c r="H149" s="95">
        <f>(F149+(IF(G149&lt;101,G149,IF(G149&lt;201,G149/2,IF(G149&lt;=301,G149/3,G149/4)))))*(($H$133)+1)</f>
        <v>936.0837252</v>
      </c>
      <c r="I149" s="33"/>
      <c r="L149" s="231"/>
      <c r="M149" s="231"/>
      <c r="N149" s="33"/>
      <c r="T149" s="31"/>
    </row>
    <row r="150" spans="1:20" s="34" customFormat="1" ht="15.75" customHeight="1" x14ac:dyDescent="0.3">
      <c r="A150" s="130">
        <f>A149+1</f>
        <v>3</v>
      </c>
      <c r="B150" s="131"/>
      <c r="C150" s="95" t="s">
        <v>425</v>
      </c>
      <c r="D150" s="95">
        <f>(71.999)*10.764</f>
        <v>774.99723599999993</v>
      </c>
      <c r="E150" s="95">
        <v>0</v>
      </c>
      <c r="F150" s="95">
        <f>D150+(IF(E150&lt;201,E150,IF(E150&lt;301,E150/2,E150/3)))</f>
        <v>774.99723599999993</v>
      </c>
      <c r="G150" s="95">
        <v>0</v>
      </c>
      <c r="H150" s="95">
        <f>(F150+(IF(G150&lt;101,G150,IF(G150&lt;201,G150/2,IF(G150&lt;=301,G150/3,G150/4)))))*(($H$133)+1)</f>
        <v>1201.2457158</v>
      </c>
      <c r="I150" s="33"/>
      <c r="L150" s="231"/>
      <c r="M150" s="231"/>
      <c r="N150" s="33"/>
      <c r="T150" s="18"/>
    </row>
    <row r="151" spans="1:20" s="34" customFormat="1" ht="15.75" customHeight="1" x14ac:dyDescent="0.3">
      <c r="A151" s="130">
        <f>A150+1</f>
        <v>4</v>
      </c>
      <c r="B151" s="131"/>
      <c r="C151" s="95" t="s">
        <v>425</v>
      </c>
      <c r="D151" s="95">
        <f>(70.133)*10.764</f>
        <v>754.91161199999988</v>
      </c>
      <c r="E151" s="95">
        <v>0</v>
      </c>
      <c r="F151" s="95">
        <f>D151+(IF(E151&lt;201,E151,IF(E151&lt;301,E151/2,E151/3)))</f>
        <v>754.91161199999988</v>
      </c>
      <c r="G151" s="95">
        <v>0</v>
      </c>
      <c r="H151" s="95">
        <f>(F151+(IF(G151&lt;101,G151,IF(G151&lt;201,G151/2,IF(G151&lt;=301,G151/3,G151/4)))))*(($H$133)+1)</f>
        <v>1170.1129985999999</v>
      </c>
      <c r="I151" s="33"/>
      <c r="L151" s="231"/>
      <c r="M151" s="231"/>
      <c r="N151" s="33"/>
      <c r="T151" s="18"/>
    </row>
    <row r="152" spans="1:20" s="34" customFormat="1" ht="15.75" customHeight="1" x14ac:dyDescent="0.3">
      <c r="A152" s="130">
        <f t="shared" ref="A152:A156" si="11">A151+1</f>
        <v>5</v>
      </c>
      <c r="B152" s="131"/>
      <c r="C152" s="95" t="s">
        <v>425</v>
      </c>
      <c r="D152" s="95">
        <f>(69.672)*10.764</f>
        <v>749.94940799999995</v>
      </c>
      <c r="E152" s="95">
        <v>0</v>
      </c>
      <c r="F152" s="95">
        <f t="shared" ref="F152:F156" si="12">D152+(IF(E152&lt;201,E152,IF(E152&lt;301,E152/2,E152/3)))</f>
        <v>749.94940799999995</v>
      </c>
      <c r="G152" s="95">
        <v>0</v>
      </c>
      <c r="H152" s="95">
        <f t="shared" ref="H152:H156" si="13">(F152+(IF(G152&lt;101,G152,IF(G152&lt;201,G152/2,IF(G152&lt;=301,G152/3,G152/4)))))*(($H$133)+1)</f>
        <v>1162.4215824</v>
      </c>
      <c r="I152" s="33"/>
      <c r="L152" s="231"/>
      <c r="M152" s="231"/>
      <c r="N152" s="33"/>
      <c r="T152" s="18"/>
    </row>
    <row r="153" spans="1:20" s="34" customFormat="1" ht="15.75" customHeight="1" x14ac:dyDescent="0.3">
      <c r="A153" s="130">
        <f t="shared" si="11"/>
        <v>6</v>
      </c>
      <c r="B153" s="131"/>
      <c r="C153" s="95" t="s">
        <v>425</v>
      </c>
      <c r="D153" s="95">
        <f>(69.165)*10.764</f>
        <v>744.49206000000004</v>
      </c>
      <c r="E153" s="95">
        <v>0</v>
      </c>
      <c r="F153" s="95">
        <f t="shared" si="12"/>
        <v>744.49206000000004</v>
      </c>
      <c r="G153" s="95">
        <v>0</v>
      </c>
      <c r="H153" s="95">
        <f t="shared" si="13"/>
        <v>1153.9626930000002</v>
      </c>
      <c r="I153" s="33"/>
      <c r="L153" s="231"/>
      <c r="M153" s="231"/>
      <c r="N153" s="33"/>
      <c r="T153" s="18"/>
    </row>
    <row r="154" spans="1:20" s="34" customFormat="1" ht="15.75" customHeight="1" x14ac:dyDescent="0.3">
      <c r="A154" s="130">
        <f t="shared" si="11"/>
        <v>7</v>
      </c>
      <c r="B154" s="131"/>
      <c r="C154" s="95" t="s">
        <v>425</v>
      </c>
      <c r="D154" s="95">
        <f>(54.806)*10.764</f>
        <v>589.93178399999988</v>
      </c>
      <c r="E154" s="95">
        <v>0</v>
      </c>
      <c r="F154" s="95">
        <f t="shared" si="12"/>
        <v>589.93178399999988</v>
      </c>
      <c r="G154" s="95">
        <v>0</v>
      </c>
      <c r="H154" s="95">
        <f t="shared" si="13"/>
        <v>914.39426519999984</v>
      </c>
      <c r="I154" s="33"/>
      <c r="L154" s="231"/>
      <c r="M154" s="231"/>
      <c r="N154" s="33"/>
      <c r="T154" s="18"/>
    </row>
    <row r="155" spans="1:20" s="34" customFormat="1" ht="15.75" customHeight="1" x14ac:dyDescent="0.3">
      <c r="A155" s="130">
        <f t="shared" si="11"/>
        <v>8</v>
      </c>
      <c r="B155" s="131"/>
      <c r="C155" s="95" t="s">
        <v>425</v>
      </c>
      <c r="D155" s="95">
        <f>(69.15)*10.764</f>
        <v>744.3306</v>
      </c>
      <c r="E155" s="95">
        <v>0</v>
      </c>
      <c r="F155" s="95">
        <f t="shared" si="12"/>
        <v>744.3306</v>
      </c>
      <c r="G155" s="95">
        <v>0</v>
      </c>
      <c r="H155" s="95">
        <f t="shared" si="13"/>
        <v>1153.71243</v>
      </c>
      <c r="I155" s="33"/>
      <c r="L155" s="231"/>
      <c r="M155" s="231"/>
      <c r="N155" s="33"/>
      <c r="T155" s="18"/>
    </row>
    <row r="156" spans="1:20" s="34" customFormat="1" ht="15.75" customHeight="1" x14ac:dyDescent="0.3">
      <c r="A156" s="130">
        <f t="shared" si="11"/>
        <v>9</v>
      </c>
      <c r="B156" s="131"/>
      <c r="C156" s="95" t="s">
        <v>425</v>
      </c>
      <c r="D156" s="95">
        <f>(67.975)*10.764</f>
        <v>731.6828999999999</v>
      </c>
      <c r="E156" s="95">
        <v>0</v>
      </c>
      <c r="F156" s="95">
        <f t="shared" si="12"/>
        <v>731.6828999999999</v>
      </c>
      <c r="G156" s="95">
        <v>0</v>
      </c>
      <c r="H156" s="95">
        <f t="shared" si="13"/>
        <v>1134.1084949999999</v>
      </c>
      <c r="I156" s="33"/>
      <c r="L156" s="231"/>
      <c r="M156" s="231"/>
      <c r="N156" s="33"/>
      <c r="T156" s="18"/>
    </row>
    <row r="157" spans="1:20" s="34" customFormat="1" x14ac:dyDescent="0.3">
      <c r="A157" s="101"/>
      <c r="B157" s="102"/>
      <c r="C157" s="102"/>
      <c r="D157" s="102"/>
      <c r="E157" s="102"/>
      <c r="F157" s="102"/>
      <c r="G157" s="102"/>
      <c r="H157" s="103"/>
      <c r="I157" s="33"/>
      <c r="N157" s="33"/>
    </row>
    <row r="158" spans="1:20" ht="47.25" customHeight="1" x14ac:dyDescent="0.3">
      <c r="A158" s="117" t="s">
        <v>114</v>
      </c>
      <c r="B158" s="119" t="s">
        <v>170</v>
      </c>
      <c r="C158" s="119" t="s">
        <v>54</v>
      </c>
      <c r="D158" s="119" t="s">
        <v>371</v>
      </c>
      <c r="E158" s="119" t="s">
        <v>225</v>
      </c>
      <c r="F158" s="119" t="s">
        <v>55</v>
      </c>
      <c r="G158" s="150" t="s">
        <v>56</v>
      </c>
      <c r="H158" s="93" t="s">
        <v>143</v>
      </c>
      <c r="I158" s="33"/>
      <c r="T158" s="34"/>
    </row>
    <row r="159" spans="1:20" s="34" customFormat="1" x14ac:dyDescent="0.3">
      <c r="A159" s="118"/>
      <c r="B159" s="120"/>
      <c r="C159" s="120"/>
      <c r="D159" s="120"/>
      <c r="E159" s="120"/>
      <c r="F159" s="120"/>
      <c r="G159" s="151"/>
      <c r="H159" s="94">
        <v>0.5</v>
      </c>
      <c r="I159" s="33"/>
    </row>
    <row r="160" spans="1:20" s="34" customFormat="1" x14ac:dyDescent="0.3">
      <c r="A160" s="249" t="s">
        <v>423</v>
      </c>
      <c r="B160" s="250"/>
      <c r="C160" s="250"/>
      <c r="D160" s="250"/>
      <c r="E160" s="250"/>
      <c r="F160" s="250"/>
      <c r="G160" s="250"/>
      <c r="H160" s="251"/>
      <c r="J160" s="33"/>
      <c r="T160" s="32"/>
    </row>
    <row r="161" spans="1:20" s="34" customFormat="1" x14ac:dyDescent="0.3">
      <c r="A161" s="143" t="s">
        <v>427</v>
      </c>
      <c r="B161" s="144"/>
      <c r="C161" s="144"/>
      <c r="D161" s="144"/>
      <c r="E161" s="144"/>
      <c r="F161" s="144"/>
      <c r="G161" s="144"/>
      <c r="H161" s="145"/>
      <c r="I161" s="34">
        <v>5</v>
      </c>
      <c r="J161" s="33"/>
    </row>
    <row r="162" spans="1:20" s="34" customFormat="1" x14ac:dyDescent="0.3">
      <c r="A162" s="143" t="s">
        <v>428</v>
      </c>
      <c r="B162" s="144"/>
      <c r="C162" s="144"/>
      <c r="D162" s="144"/>
      <c r="E162" s="144"/>
      <c r="F162" s="144"/>
      <c r="G162" s="144"/>
      <c r="H162" s="145"/>
      <c r="I162" s="34">
        <v>1</v>
      </c>
      <c r="J162" s="33"/>
    </row>
    <row r="163" spans="1:20" s="34" customFormat="1" ht="40.799999999999997" customHeight="1" x14ac:dyDescent="0.3">
      <c r="A163" s="143" t="s">
        <v>431</v>
      </c>
      <c r="B163" s="144"/>
      <c r="C163" s="144"/>
      <c r="D163" s="144"/>
      <c r="E163" s="144"/>
      <c r="F163" s="144"/>
      <c r="G163" s="144"/>
      <c r="H163" s="145"/>
      <c r="I163" s="34">
        <f>4+4+4+4+4+4</f>
        <v>24</v>
      </c>
      <c r="J163" s="33"/>
    </row>
    <row r="164" spans="1:20" s="34" customFormat="1" ht="15.75" customHeight="1" x14ac:dyDescent="0.3">
      <c r="A164" s="39">
        <v>1</v>
      </c>
      <c r="B164" s="39" t="s">
        <v>442</v>
      </c>
      <c r="C164" s="39" t="s">
        <v>429</v>
      </c>
      <c r="D164" s="39">
        <f>(63.093)*10.764</f>
        <v>679.13305200000002</v>
      </c>
      <c r="E164" s="39">
        <f>(4.575)*10.764</f>
        <v>49.2453</v>
      </c>
      <c r="F164" s="39">
        <f>D164+E164</f>
        <v>728.37835200000006</v>
      </c>
      <c r="G164" s="39">
        <v>0</v>
      </c>
      <c r="H164" s="39">
        <f>F164*(($H$159)+1)+(IF(G164&lt;101,G164,IF(G164&lt;201,G164/2,IF(G164&lt;=301,G164/3,G164/4))))</f>
        <v>1092.567528</v>
      </c>
      <c r="I164" s="33"/>
      <c r="J164" s="39">
        <v>10.763999999999999</v>
      </c>
      <c r="L164" s="231"/>
      <c r="M164" s="231"/>
      <c r="N164" s="33"/>
    </row>
    <row r="165" spans="1:20" s="34" customFormat="1" ht="15.75" customHeight="1" x14ac:dyDescent="0.3">
      <c r="A165" s="39">
        <f>A164+1</f>
        <v>2</v>
      </c>
      <c r="B165" s="39" t="s">
        <v>442</v>
      </c>
      <c r="C165" s="39" t="s">
        <v>429</v>
      </c>
      <c r="D165" s="39">
        <f>(62.678)*10.764</f>
        <v>674.66599199999996</v>
      </c>
      <c r="E165" s="39">
        <f>(4.575)*10.764</f>
        <v>49.2453</v>
      </c>
      <c r="F165" s="39">
        <f>D165+E165</f>
        <v>723.911292</v>
      </c>
      <c r="G165" s="39">
        <v>0</v>
      </c>
      <c r="H165" s="39">
        <f>F165*(($H$159)+1)+(IF(G165&lt;101,G165,IF(G165&lt;201,G165/2,IF(G165&lt;=301,G165/3,G165/4))))</f>
        <v>1085.8669380000001</v>
      </c>
      <c r="I165" s="33"/>
      <c r="L165" s="231"/>
      <c r="M165" s="231"/>
      <c r="N165" s="33"/>
    </row>
    <row r="166" spans="1:20" s="34" customFormat="1" ht="15.75" customHeight="1" x14ac:dyDescent="0.3">
      <c r="A166" s="39">
        <f>A165+1</f>
        <v>3</v>
      </c>
      <c r="B166" s="39" t="s">
        <v>442</v>
      </c>
      <c r="C166" s="39" t="s">
        <v>429</v>
      </c>
      <c r="D166" s="39">
        <f>(58.819)*10.764</f>
        <v>633.12771599999996</v>
      </c>
      <c r="E166" s="39">
        <f>(4.575)*10.764</f>
        <v>49.2453</v>
      </c>
      <c r="F166" s="39">
        <f>D166+E166</f>
        <v>682.37301600000001</v>
      </c>
      <c r="G166" s="39">
        <v>0</v>
      </c>
      <c r="H166" s="39">
        <f>F166*(($H$159)+1)+(IF(G166&lt;101,G166,IF(G166&lt;201,G166/2,IF(G166&lt;=301,G166/3,G166/4))))</f>
        <v>1023.559524</v>
      </c>
      <c r="I166" s="33"/>
      <c r="L166" s="231"/>
      <c r="M166" s="231"/>
      <c r="N166" s="33"/>
    </row>
    <row r="167" spans="1:20" s="34" customFormat="1" ht="15.75" customHeight="1" x14ac:dyDescent="0.3">
      <c r="A167" s="39">
        <f>A166+1</f>
        <v>4</v>
      </c>
      <c r="B167" s="39" t="s">
        <v>442</v>
      </c>
      <c r="C167" s="39" t="s">
        <v>429</v>
      </c>
      <c r="D167" s="39">
        <f>(59.427)*10.764</f>
        <v>639.6722279999999</v>
      </c>
      <c r="E167" s="39">
        <f>(4.575)*10.764</f>
        <v>49.2453</v>
      </c>
      <c r="F167" s="39">
        <f>D167+E167</f>
        <v>688.91752799999995</v>
      </c>
      <c r="G167" s="39">
        <v>0</v>
      </c>
      <c r="H167" s="39">
        <f>F167*(($H$159)+1)+(IF(G167&lt;101,G167,IF(G167&lt;201,G167/2,IF(G167&lt;=301,G167/3,G167/4))))</f>
        <v>1033.3762919999999</v>
      </c>
      <c r="I167" s="33"/>
      <c r="L167" s="231"/>
      <c r="M167" s="231"/>
      <c r="N167" s="33"/>
      <c r="T167" s="18"/>
    </row>
    <row r="168" spans="1:20" s="34" customFormat="1" ht="40.799999999999997" customHeight="1" x14ac:dyDescent="0.3">
      <c r="A168" s="143" t="s">
        <v>430</v>
      </c>
      <c r="B168" s="144"/>
      <c r="C168" s="144"/>
      <c r="D168" s="144"/>
      <c r="E168" s="144"/>
      <c r="F168" s="144"/>
      <c r="G168" s="144"/>
      <c r="H168" s="145"/>
      <c r="I168" s="34">
        <v>7</v>
      </c>
      <c r="J168" s="33"/>
    </row>
    <row r="169" spans="1:20" s="34" customFormat="1" ht="15.75" customHeight="1" x14ac:dyDescent="0.3">
      <c r="A169" s="39">
        <v>1</v>
      </c>
      <c r="B169" s="39" t="s">
        <v>442</v>
      </c>
      <c r="C169" s="39" t="s">
        <v>429</v>
      </c>
      <c r="D169" s="39">
        <f>(63.093)*10.764</f>
        <v>679.13305200000002</v>
      </c>
      <c r="E169" s="39">
        <f>(4.575)*10.764</f>
        <v>49.2453</v>
      </c>
      <c r="F169" s="39">
        <f>D169+E169</f>
        <v>728.37835200000006</v>
      </c>
      <c r="G169" s="39">
        <v>0</v>
      </c>
      <c r="H169" s="39">
        <f>F169*(($H$159)+1)+(IF(G169&lt;101,G169,IF(G169&lt;201,G169/2,IF(G169&lt;=301,G169/3,G169/4))))</f>
        <v>1092.567528</v>
      </c>
      <c r="I169" s="33"/>
      <c r="J169" s="39">
        <v>10.763999999999999</v>
      </c>
      <c r="L169" s="231"/>
      <c r="M169" s="231"/>
      <c r="N169" s="33"/>
    </row>
    <row r="170" spans="1:20" s="34" customFormat="1" ht="15.75" customHeight="1" x14ac:dyDescent="0.3">
      <c r="A170" s="39">
        <f>A169+1</f>
        <v>2</v>
      </c>
      <c r="B170" s="39" t="s">
        <v>442</v>
      </c>
      <c r="C170" s="39" t="s">
        <v>429</v>
      </c>
      <c r="D170" s="39">
        <f>(62.678)*10.764</f>
        <v>674.66599199999996</v>
      </c>
      <c r="E170" s="39">
        <f>(4.575)*10.764</f>
        <v>49.2453</v>
      </c>
      <c r="F170" s="39">
        <f>D170+E170</f>
        <v>723.911292</v>
      </c>
      <c r="G170" s="39">
        <v>0</v>
      </c>
      <c r="H170" s="39">
        <f>F170*(($H$159)+1)+(IF(G170&lt;101,G170,IF(G170&lt;201,G170/2,IF(G170&lt;=301,G170/3,G170/4))))</f>
        <v>1085.8669380000001</v>
      </c>
      <c r="I170" s="33"/>
      <c r="L170" s="231"/>
      <c r="M170" s="231"/>
      <c r="N170" s="33"/>
    </row>
    <row r="171" spans="1:20" s="34" customFormat="1" ht="15.75" customHeight="1" x14ac:dyDescent="0.3">
      <c r="A171" s="39">
        <f>A170+1</f>
        <v>3</v>
      </c>
      <c r="B171" s="39" t="s">
        <v>442</v>
      </c>
      <c r="C171" s="39" t="s">
        <v>429</v>
      </c>
      <c r="D171" s="39">
        <f>(58.819)*10.764</f>
        <v>633.12771599999996</v>
      </c>
      <c r="E171" s="39">
        <f>(4.575)*10.764</f>
        <v>49.2453</v>
      </c>
      <c r="F171" s="39">
        <f>D171+E171</f>
        <v>682.37301600000001</v>
      </c>
      <c r="G171" s="39">
        <v>0</v>
      </c>
      <c r="H171" s="39">
        <f>F171*(($H$159)+1)+(IF(G171&lt;101,G171,IF(G171&lt;201,G171/2,IF(G171&lt;=301,G171/3,G171/4))))</f>
        <v>1023.559524</v>
      </c>
      <c r="I171" s="33"/>
      <c r="L171" s="231"/>
      <c r="M171" s="231"/>
      <c r="N171" s="33"/>
    </row>
    <row r="172" spans="1:20" s="34" customFormat="1" ht="15.75" customHeight="1" x14ac:dyDescent="0.3">
      <c r="A172" s="39">
        <f>A171+1</f>
        <v>4</v>
      </c>
      <c r="B172" s="39" t="s">
        <v>442</v>
      </c>
      <c r="C172" s="39" t="s">
        <v>429</v>
      </c>
      <c r="D172" s="39">
        <f>(59.427)*10.764</f>
        <v>639.6722279999999</v>
      </c>
      <c r="E172" s="39">
        <f>(4.575)*10.764</f>
        <v>49.2453</v>
      </c>
      <c r="F172" s="39">
        <f>D172+E172</f>
        <v>688.91752799999995</v>
      </c>
      <c r="G172" s="39">
        <v>0</v>
      </c>
      <c r="H172" s="39">
        <f>F172*(($H$159)+1)+(IF(G172&lt;101,G172,IF(G172&lt;201,G172/2,IF(G172&lt;=301,G172/3,G172/4))))</f>
        <v>1033.3762919999999</v>
      </c>
      <c r="I172" s="33"/>
      <c r="L172" s="231"/>
      <c r="M172" s="231"/>
      <c r="N172" s="33"/>
      <c r="T172" s="18"/>
    </row>
    <row r="173" spans="1:20" s="34" customFormat="1" x14ac:dyDescent="0.3">
      <c r="A173" s="143" t="s">
        <v>432</v>
      </c>
      <c r="B173" s="144"/>
      <c r="C173" s="144"/>
      <c r="D173" s="144"/>
      <c r="E173" s="144"/>
      <c r="F173" s="144"/>
      <c r="G173" s="144"/>
      <c r="H173" s="145"/>
      <c r="I173" s="34">
        <v>1</v>
      </c>
      <c r="J173" s="33"/>
    </row>
    <row r="174" spans="1:20" s="34" customFormat="1" ht="15.75" customHeight="1" x14ac:dyDescent="0.3">
      <c r="A174" s="39">
        <v>1</v>
      </c>
      <c r="B174" s="39" t="s">
        <v>442</v>
      </c>
      <c r="C174" s="39" t="s">
        <v>429</v>
      </c>
      <c r="D174" s="39">
        <f>(63.093)*10.764</f>
        <v>679.13305200000002</v>
      </c>
      <c r="E174" s="39">
        <f>(4.575)*10.764</f>
        <v>49.2453</v>
      </c>
      <c r="F174" s="39">
        <f>D174+E174</f>
        <v>728.37835200000006</v>
      </c>
      <c r="G174" s="39">
        <v>0</v>
      </c>
      <c r="H174" s="39">
        <f>F174*(($H$159)+1)+(IF(G174&lt;101,G174,IF(G174&lt;201,G174/2,IF(G174&lt;=301,G174/3,G174/4))))</f>
        <v>1092.567528</v>
      </c>
      <c r="I174" s="33"/>
      <c r="J174" s="39">
        <v>10.763999999999999</v>
      </c>
      <c r="L174" s="231"/>
      <c r="M174" s="231"/>
      <c r="N174" s="33"/>
    </row>
    <row r="175" spans="1:20" s="34" customFormat="1" ht="15.75" customHeight="1" x14ac:dyDescent="0.3">
      <c r="A175" s="39">
        <f>A174+1</f>
        <v>2</v>
      </c>
      <c r="B175" s="39" t="s">
        <v>442</v>
      </c>
      <c r="C175" s="39" t="s">
        <v>429</v>
      </c>
      <c r="D175" s="39">
        <f>(62.678)*10.764</f>
        <v>674.66599199999996</v>
      </c>
      <c r="E175" s="39">
        <f>(4.575)*10.764</f>
        <v>49.2453</v>
      </c>
      <c r="F175" s="39">
        <f>D175+E175</f>
        <v>723.911292</v>
      </c>
      <c r="G175" s="39">
        <v>0</v>
      </c>
      <c r="H175" s="39">
        <f>F175*(($H$159)+1)+(IF(G175&lt;101,G175,IF(G175&lt;201,G175/2,IF(G175&lt;=301,G175/3,G175/4))))</f>
        <v>1085.8669380000001</v>
      </c>
      <c r="I175" s="33"/>
      <c r="L175" s="231"/>
      <c r="M175" s="231"/>
      <c r="N175" s="33"/>
    </row>
    <row r="176" spans="1:20" s="34" customFormat="1" ht="15.75" customHeight="1" x14ac:dyDescent="0.3">
      <c r="A176" s="39">
        <f>A175+1</f>
        <v>3</v>
      </c>
      <c r="B176" s="39" t="s">
        <v>442</v>
      </c>
      <c r="C176" s="39" t="s">
        <v>429</v>
      </c>
      <c r="D176" s="39">
        <f>(58.819)*10.764</f>
        <v>633.12771599999996</v>
      </c>
      <c r="E176" s="39">
        <f>(4.575)*10.764</f>
        <v>49.2453</v>
      </c>
      <c r="F176" s="39">
        <f>D176+E176</f>
        <v>682.37301600000001</v>
      </c>
      <c r="G176" s="39">
        <v>0</v>
      </c>
      <c r="H176" s="39">
        <f>F176*(($H$159)+1)+(IF(G176&lt;101,G176,IF(G176&lt;201,G176/2,IF(G176&lt;=301,G176/3,G176/4))))</f>
        <v>1023.559524</v>
      </c>
      <c r="I176" s="33"/>
      <c r="L176" s="231"/>
      <c r="M176" s="231"/>
      <c r="N176" s="33"/>
    </row>
    <row r="177" spans="1:20" s="34" customFormat="1" ht="15.75" customHeight="1" x14ac:dyDescent="0.3">
      <c r="A177" s="39">
        <f>A176+1</f>
        <v>4</v>
      </c>
      <c r="B177" s="39" t="s">
        <v>443</v>
      </c>
      <c r="C177" s="101" t="s">
        <v>433</v>
      </c>
      <c r="D177" s="102"/>
      <c r="E177" s="102"/>
      <c r="F177" s="102"/>
      <c r="G177" s="102"/>
      <c r="H177" s="103"/>
      <c r="I177" s="33"/>
      <c r="L177" s="231"/>
      <c r="M177" s="231"/>
      <c r="N177" s="33"/>
      <c r="T177" s="18"/>
    </row>
    <row r="178" spans="1:20" s="34" customFormat="1" x14ac:dyDescent="0.3">
      <c r="A178" s="249" t="s">
        <v>426</v>
      </c>
      <c r="B178" s="250"/>
      <c r="C178" s="250"/>
      <c r="D178" s="250"/>
      <c r="E178" s="250"/>
      <c r="F178" s="250"/>
      <c r="G178" s="250"/>
      <c r="H178" s="251"/>
      <c r="J178" s="33"/>
      <c r="T178" s="32"/>
    </row>
    <row r="179" spans="1:20" s="34" customFormat="1" x14ac:dyDescent="0.3">
      <c r="A179" s="143" t="s">
        <v>446</v>
      </c>
      <c r="B179" s="144"/>
      <c r="C179" s="144"/>
      <c r="D179" s="144"/>
      <c r="E179" s="144"/>
      <c r="F179" s="144"/>
      <c r="G179" s="144"/>
      <c r="H179" s="145"/>
      <c r="J179" s="33"/>
    </row>
    <row r="180" spans="1:20" s="34" customFormat="1" ht="31.8" customHeight="1" x14ac:dyDescent="0.3">
      <c r="A180" s="39">
        <v>1</v>
      </c>
      <c r="B180" s="39" t="s">
        <v>444</v>
      </c>
      <c r="C180" s="39" t="s">
        <v>445</v>
      </c>
      <c r="D180" s="39">
        <f>(39.47)*10.764</f>
        <v>424.85507999999999</v>
      </c>
      <c r="E180" s="39">
        <v>0</v>
      </c>
      <c r="F180" s="39">
        <f>D180+E180</f>
        <v>424.85507999999999</v>
      </c>
      <c r="G180" s="39">
        <v>0</v>
      </c>
      <c r="H180" s="39">
        <f>F180*(($H$159)+1)+(IF(G180&lt;101,G180,IF(G180&lt;201,G180/2,IF(G180&lt;=301,G180/3,G180/4))))</f>
        <v>637.28261999999995</v>
      </c>
      <c r="I180" s="33"/>
      <c r="J180" s="39">
        <f>4.21*5.32+2.975*4.005+2*1.2</f>
        <v>36.712074999999999</v>
      </c>
      <c r="L180" s="231"/>
      <c r="M180" s="231"/>
      <c r="N180" s="33"/>
    </row>
    <row r="181" spans="1:20" s="34" customFormat="1" ht="31.8" customHeight="1" x14ac:dyDescent="0.3">
      <c r="A181" s="39">
        <f>A180+1</f>
        <v>2</v>
      </c>
      <c r="B181" s="39" t="s">
        <v>444</v>
      </c>
      <c r="C181" s="39" t="s">
        <v>445</v>
      </c>
      <c r="D181" s="39">
        <f>(29.505)*10.764</f>
        <v>317.59181999999998</v>
      </c>
      <c r="E181" s="39">
        <v>0</v>
      </c>
      <c r="F181" s="39">
        <f>D181+E181</f>
        <v>317.59181999999998</v>
      </c>
      <c r="G181" s="39">
        <v>0</v>
      </c>
      <c r="H181" s="39">
        <f>F181*(($H$159)+1)+(IF(G181&lt;101,G181,IF(G181&lt;201,G181/2,IF(G181&lt;=301,G181/3,G181/4))))</f>
        <v>476.38772999999998</v>
      </c>
      <c r="I181" s="33"/>
      <c r="L181" s="231"/>
      <c r="M181" s="231"/>
      <c r="N181" s="33"/>
    </row>
    <row r="182" spans="1:20" s="34" customFormat="1" x14ac:dyDescent="0.3">
      <c r="A182" s="143" t="s">
        <v>434</v>
      </c>
      <c r="B182" s="144"/>
      <c r="C182" s="144"/>
      <c r="D182" s="144"/>
      <c r="E182" s="144"/>
      <c r="F182" s="144"/>
      <c r="G182" s="144"/>
      <c r="H182" s="145"/>
      <c r="J182" s="33"/>
    </row>
    <row r="183" spans="1:20" s="34" customFormat="1" ht="40.799999999999997" customHeight="1" x14ac:dyDescent="0.3">
      <c r="A183" s="143" t="s">
        <v>431</v>
      </c>
      <c r="B183" s="144"/>
      <c r="C183" s="144"/>
      <c r="D183" s="144"/>
      <c r="E183" s="144"/>
      <c r="F183" s="144"/>
      <c r="G183" s="144"/>
      <c r="H183" s="145"/>
      <c r="J183" s="33"/>
    </row>
    <row r="184" spans="1:20" s="34" customFormat="1" ht="15.75" customHeight="1" x14ac:dyDescent="0.3">
      <c r="A184" s="39">
        <v>1</v>
      </c>
      <c r="B184" s="39" t="s">
        <v>442</v>
      </c>
      <c r="C184" s="39" t="s">
        <v>435</v>
      </c>
      <c r="D184" s="39">
        <f>(89.129)*10.764</f>
        <v>959.38455599999998</v>
      </c>
      <c r="E184" s="39">
        <f>(4.575)*10.764</f>
        <v>49.2453</v>
      </c>
      <c r="F184" s="39">
        <f>D184+E184</f>
        <v>1008.629856</v>
      </c>
      <c r="G184" s="39">
        <v>0</v>
      </c>
      <c r="H184" s="39">
        <f>F184*(($H$159)+1)+(IF(G184&lt;101,G184,IF(G184&lt;201,G184/2,IF(G184&lt;=301,G184/3,G184/4))))</f>
        <v>1512.944784</v>
      </c>
      <c r="I184" s="33"/>
      <c r="J184" s="39">
        <v>10.763999999999999</v>
      </c>
      <c r="L184" s="231"/>
      <c r="M184" s="231"/>
      <c r="N184" s="33"/>
    </row>
    <row r="185" spans="1:20" s="34" customFormat="1" ht="15.75" customHeight="1" x14ac:dyDescent="0.3">
      <c r="A185" s="39">
        <f>A184+1</f>
        <v>2</v>
      </c>
      <c r="B185" s="39" t="s">
        <v>442</v>
      </c>
      <c r="C185" s="39" t="s">
        <v>429</v>
      </c>
      <c r="D185" s="39">
        <f>(63.689)*10.764</f>
        <v>685.54839599999991</v>
      </c>
      <c r="E185" s="39">
        <f>(4.575)*10.764</f>
        <v>49.2453</v>
      </c>
      <c r="F185" s="39">
        <f>D185+E185</f>
        <v>734.79369599999995</v>
      </c>
      <c r="G185" s="39">
        <v>0</v>
      </c>
      <c r="H185" s="39">
        <f>F185*(($H$159)+1)+(IF(G185&lt;101,G185,IF(G185&lt;201,G185/2,IF(G185&lt;=301,G185/3,G185/4))))</f>
        <v>1102.190544</v>
      </c>
      <c r="I185" s="33"/>
      <c r="L185" s="231"/>
      <c r="M185" s="231"/>
      <c r="N185" s="33"/>
    </row>
    <row r="186" spans="1:20" s="34" customFormat="1" ht="15.75" customHeight="1" x14ac:dyDescent="0.3">
      <c r="A186" s="39">
        <f>A185+1</f>
        <v>3</v>
      </c>
      <c r="B186" s="39" t="s">
        <v>442</v>
      </c>
      <c r="C186" s="39" t="s">
        <v>429</v>
      </c>
      <c r="D186" s="39">
        <f>(59.755)*10.764</f>
        <v>643.20281999999997</v>
      </c>
      <c r="E186" s="39">
        <f>(4.575)*10.764</f>
        <v>49.2453</v>
      </c>
      <c r="F186" s="39">
        <f>D186+E186</f>
        <v>692.44812000000002</v>
      </c>
      <c r="G186" s="39">
        <v>0</v>
      </c>
      <c r="H186" s="39">
        <f>F186*(($H$159)+1)+(IF(G186&lt;101,G186,IF(G186&lt;201,G186/2,IF(G186&lt;=301,G186/3,G186/4))))</f>
        <v>1038.67218</v>
      </c>
      <c r="I186" s="33"/>
      <c r="L186" s="231"/>
      <c r="M186" s="231"/>
      <c r="N186" s="33"/>
    </row>
    <row r="187" spans="1:20" s="34" customFormat="1" ht="15.75" customHeight="1" x14ac:dyDescent="0.3">
      <c r="A187" s="39">
        <f>A186+1</f>
        <v>4</v>
      </c>
      <c r="B187" s="39" t="s">
        <v>442</v>
      </c>
      <c r="C187" s="39" t="s">
        <v>429</v>
      </c>
      <c r="D187" s="39">
        <f>(59.026)*10.764</f>
        <v>635.355864</v>
      </c>
      <c r="E187" s="39">
        <f>(4.575)*10.764</f>
        <v>49.2453</v>
      </c>
      <c r="F187" s="39">
        <f>D187+E187</f>
        <v>684.60116400000004</v>
      </c>
      <c r="G187" s="39">
        <v>0</v>
      </c>
      <c r="H187" s="39">
        <f>F187*(($H$159)+1)+(IF(G187&lt;101,G187,IF(G187&lt;201,G187/2,IF(G187&lt;=301,G187/3,G187/4))))</f>
        <v>1026.901746</v>
      </c>
      <c r="I187" s="33"/>
      <c r="L187" s="231"/>
      <c r="M187" s="231"/>
      <c r="N187" s="33"/>
      <c r="T187" s="18"/>
    </row>
    <row r="188" spans="1:20" s="34" customFormat="1" ht="40.799999999999997" customHeight="1" x14ac:dyDescent="0.3">
      <c r="A188" s="143" t="s">
        <v>430</v>
      </c>
      <c r="B188" s="144"/>
      <c r="C188" s="144"/>
      <c r="D188" s="144"/>
      <c r="E188" s="144"/>
      <c r="F188" s="144"/>
      <c r="G188" s="144"/>
      <c r="H188" s="145"/>
      <c r="J188" s="33"/>
    </row>
    <row r="189" spans="1:20" s="34" customFormat="1" ht="15.75" customHeight="1" x14ac:dyDescent="0.3">
      <c r="A189" s="39">
        <v>1</v>
      </c>
      <c r="B189" s="39" t="s">
        <v>442</v>
      </c>
      <c r="C189" s="39" t="s">
        <v>435</v>
      </c>
      <c r="D189" s="39">
        <f>(89.129)*10.764</f>
        <v>959.38455599999998</v>
      </c>
      <c r="E189" s="39">
        <f>(4.575)*10.764</f>
        <v>49.2453</v>
      </c>
      <c r="F189" s="39">
        <f>D189+E189</f>
        <v>1008.629856</v>
      </c>
      <c r="G189" s="39">
        <v>0</v>
      </c>
      <c r="H189" s="39">
        <f>F189*(($H$159)+1)+(IF(G189&lt;101,G189,IF(G189&lt;201,G189/2,IF(G189&lt;=301,G189/3,G189/4))))</f>
        <v>1512.944784</v>
      </c>
      <c r="I189" s="33"/>
      <c r="J189" s="39">
        <v>10.763999999999999</v>
      </c>
      <c r="L189" s="231"/>
      <c r="M189" s="231"/>
      <c r="N189" s="33"/>
    </row>
    <row r="190" spans="1:20" s="34" customFormat="1" ht="15.75" customHeight="1" x14ac:dyDescent="0.3">
      <c r="A190" s="39">
        <f>A189+1</f>
        <v>2</v>
      </c>
      <c r="B190" s="39" t="s">
        <v>442</v>
      </c>
      <c r="C190" s="39" t="s">
        <v>429</v>
      </c>
      <c r="D190" s="39">
        <f>(63.689)*10.764</f>
        <v>685.54839599999991</v>
      </c>
      <c r="E190" s="39">
        <f>(4.575)*10.764</f>
        <v>49.2453</v>
      </c>
      <c r="F190" s="39">
        <f>D190+E190</f>
        <v>734.79369599999995</v>
      </c>
      <c r="G190" s="39">
        <v>0</v>
      </c>
      <c r="H190" s="39">
        <f>F190*(($H$159)+1)+(IF(G190&lt;101,G190,IF(G190&lt;201,G190/2,IF(G190&lt;=301,G190/3,G190/4))))</f>
        <v>1102.190544</v>
      </c>
      <c r="I190" s="33"/>
      <c r="L190" s="231"/>
      <c r="M190" s="231"/>
      <c r="N190" s="33"/>
    </row>
    <row r="191" spans="1:20" s="34" customFormat="1" ht="15.75" customHeight="1" x14ac:dyDescent="0.3">
      <c r="A191" s="39">
        <f>A190+1</f>
        <v>3</v>
      </c>
      <c r="B191" s="39" t="s">
        <v>442</v>
      </c>
      <c r="C191" s="39" t="s">
        <v>429</v>
      </c>
      <c r="D191" s="39">
        <f>(59.755)*10.764</f>
        <v>643.20281999999997</v>
      </c>
      <c r="E191" s="39">
        <f>(4.575)*10.764</f>
        <v>49.2453</v>
      </c>
      <c r="F191" s="39">
        <f>D191+E191</f>
        <v>692.44812000000002</v>
      </c>
      <c r="G191" s="39">
        <v>0</v>
      </c>
      <c r="H191" s="39">
        <f>F191*(($H$159)+1)+(IF(G191&lt;101,G191,IF(G191&lt;201,G191/2,IF(G191&lt;=301,G191/3,G191/4))))</f>
        <v>1038.67218</v>
      </c>
      <c r="I191" s="33"/>
      <c r="L191" s="231"/>
      <c r="M191" s="231"/>
      <c r="N191" s="33"/>
    </row>
    <row r="192" spans="1:20" s="34" customFormat="1" ht="15.75" customHeight="1" x14ac:dyDescent="0.3">
      <c r="A192" s="39">
        <f>A191+1</f>
        <v>4</v>
      </c>
      <c r="B192" s="39" t="s">
        <v>442</v>
      </c>
      <c r="C192" s="39" t="s">
        <v>429</v>
      </c>
      <c r="D192" s="39">
        <f>(59.026)*10.764</f>
        <v>635.355864</v>
      </c>
      <c r="E192" s="39">
        <f>(4.575)*10.764</f>
        <v>49.2453</v>
      </c>
      <c r="F192" s="39">
        <f>D192+E192</f>
        <v>684.60116400000004</v>
      </c>
      <c r="G192" s="39">
        <v>0</v>
      </c>
      <c r="H192" s="39">
        <f>F192*(($H$159)+1)+(IF(G192&lt;101,G192,IF(G192&lt;201,G192/2,IF(G192&lt;=301,G192/3,G192/4))))</f>
        <v>1026.901746</v>
      </c>
      <c r="I192" s="33"/>
      <c r="L192" s="231"/>
      <c r="M192" s="231"/>
      <c r="N192" s="33"/>
      <c r="T192" s="18"/>
    </row>
    <row r="193" spans="1:20" s="34" customFormat="1" x14ac:dyDescent="0.3">
      <c r="A193" s="143" t="s">
        <v>432</v>
      </c>
      <c r="B193" s="144"/>
      <c r="C193" s="144"/>
      <c r="D193" s="144"/>
      <c r="E193" s="144"/>
      <c r="F193" s="144"/>
      <c r="G193" s="144"/>
      <c r="H193" s="145"/>
      <c r="J193" s="33"/>
    </row>
    <row r="194" spans="1:20" s="34" customFormat="1" ht="15.75" customHeight="1" x14ac:dyDescent="0.3">
      <c r="A194" s="39">
        <v>1</v>
      </c>
      <c r="B194" s="39" t="s">
        <v>442</v>
      </c>
      <c r="C194" s="39" t="s">
        <v>435</v>
      </c>
      <c r="D194" s="39">
        <f>(89.129)*10.764</f>
        <v>959.38455599999998</v>
      </c>
      <c r="E194" s="39">
        <f>(4.575)*10.764</f>
        <v>49.2453</v>
      </c>
      <c r="F194" s="39">
        <f>D194+E194</f>
        <v>1008.629856</v>
      </c>
      <c r="G194" s="39">
        <v>0</v>
      </c>
      <c r="H194" s="39">
        <f>F194*(($H$159)+1)+(IF(G194&lt;101,G194,IF(G194&lt;201,G194/2,IF(G194&lt;=301,G194/3,G194/4))))</f>
        <v>1512.944784</v>
      </c>
      <c r="I194" s="33"/>
      <c r="J194" s="39">
        <v>10.763999999999999</v>
      </c>
      <c r="L194" s="231"/>
      <c r="M194" s="231"/>
      <c r="N194" s="33"/>
    </row>
    <row r="195" spans="1:20" s="34" customFormat="1" ht="15.75" customHeight="1" x14ac:dyDescent="0.3">
      <c r="A195" s="39">
        <f>A194+1</f>
        <v>2</v>
      </c>
      <c r="B195" s="39" t="s">
        <v>442</v>
      </c>
      <c r="C195" s="39" t="s">
        <v>429</v>
      </c>
      <c r="D195" s="39">
        <f>(63.689)*10.764</f>
        <v>685.54839599999991</v>
      </c>
      <c r="E195" s="39">
        <f>(4.575)*10.764</f>
        <v>49.2453</v>
      </c>
      <c r="F195" s="39">
        <f>D195+E195</f>
        <v>734.79369599999995</v>
      </c>
      <c r="G195" s="39">
        <v>0</v>
      </c>
      <c r="H195" s="39">
        <f>F195*(($H$159)+1)+(IF(G195&lt;101,G195,IF(G195&lt;201,G195/2,IF(G195&lt;=301,G195/3,G195/4))))</f>
        <v>1102.190544</v>
      </c>
      <c r="I195" s="33"/>
      <c r="L195" s="231"/>
      <c r="M195" s="231"/>
      <c r="N195" s="33"/>
    </row>
    <row r="196" spans="1:20" s="34" customFormat="1" ht="15.75" customHeight="1" x14ac:dyDescent="0.3">
      <c r="A196" s="39">
        <f>A195+1</f>
        <v>3</v>
      </c>
      <c r="B196" s="39" t="s">
        <v>443</v>
      </c>
      <c r="C196" s="101" t="s">
        <v>433</v>
      </c>
      <c r="D196" s="102"/>
      <c r="E196" s="102"/>
      <c r="F196" s="102"/>
      <c r="G196" s="102"/>
      <c r="H196" s="103"/>
      <c r="I196" s="33"/>
      <c r="L196" s="231"/>
      <c r="M196" s="231"/>
      <c r="N196" s="33"/>
    </row>
    <row r="197" spans="1:20" s="34" customFormat="1" ht="15.75" customHeight="1" x14ac:dyDescent="0.3">
      <c r="A197" s="39">
        <f>A196+1</f>
        <v>4</v>
      </c>
      <c r="B197" s="39" t="s">
        <v>442</v>
      </c>
      <c r="C197" s="39" t="s">
        <v>429</v>
      </c>
      <c r="D197" s="39">
        <f>(59.026)*10.764</f>
        <v>635.355864</v>
      </c>
      <c r="E197" s="39">
        <f>(4.575)*10.764</f>
        <v>49.2453</v>
      </c>
      <c r="F197" s="39">
        <f>D197+E197</f>
        <v>684.60116400000004</v>
      </c>
      <c r="G197" s="39">
        <v>0</v>
      </c>
      <c r="H197" s="39">
        <f>F197*(($H$159)+1)+(IF(G197&lt;101,G197,IF(G197&lt;201,G197/2,IF(G197&lt;=301,G197/3,G197/4))))</f>
        <v>1026.901746</v>
      </c>
      <c r="I197" s="33"/>
      <c r="L197" s="231"/>
      <c r="M197" s="231"/>
      <c r="N197" s="33"/>
      <c r="T197" s="18"/>
    </row>
    <row r="198" spans="1:20" s="32" customFormat="1" x14ac:dyDescent="0.3">
      <c r="A198" s="108" t="s">
        <v>64</v>
      </c>
      <c r="B198" s="108"/>
      <c r="C198" s="108"/>
      <c r="D198" s="108"/>
      <c r="E198" s="108"/>
      <c r="F198" s="108"/>
      <c r="G198" s="108"/>
      <c r="H198" s="108"/>
      <c r="T198" s="34"/>
    </row>
    <row r="199" spans="1:20" s="32" customFormat="1" x14ac:dyDescent="0.3">
      <c r="A199" s="41">
        <v>1</v>
      </c>
      <c r="B199" s="147" t="s">
        <v>436</v>
      </c>
      <c r="C199" s="148"/>
      <c r="D199" s="148"/>
      <c r="E199" s="148"/>
      <c r="F199" s="148"/>
      <c r="G199" s="148"/>
      <c r="H199" s="149"/>
      <c r="T199" s="34"/>
    </row>
    <row r="200" spans="1:20" s="32" customFormat="1" x14ac:dyDescent="0.3">
      <c r="A200" s="41">
        <f>A199+1</f>
        <v>2</v>
      </c>
      <c r="B200" s="147" t="str">
        <f>(IF(H158="Saleable area Loading :","We have considered Saleable area of Flats as per our Calculation.","We considered Saleable area of Flat as per Builder area Sheet."))</f>
        <v>We have considered Saleable area of Flats as per our Calculation.</v>
      </c>
      <c r="C200" s="148"/>
      <c r="D200" s="148"/>
      <c r="E200" s="148"/>
      <c r="F200" s="148"/>
      <c r="G200" s="148"/>
      <c r="H200" s="149"/>
      <c r="T200" s="34"/>
    </row>
    <row r="201" spans="1:20" s="32" customFormat="1" x14ac:dyDescent="0.3">
      <c r="A201" s="41">
        <f t="shared" ref="A201:A212" si="14">A200+1</f>
        <v>3</v>
      </c>
      <c r="B201" s="147" t="str">
        <f>(IF(H132="Saleable area Loading :","We have considered Saleable area of Commercial as per our Calculation.","We considered Saleable area of Commercial as per Builder area Sheet."))</f>
        <v>We have considered Saleable area of Commercial as per our Calculation.</v>
      </c>
      <c r="C201" s="148"/>
      <c r="D201" s="148"/>
      <c r="E201" s="148"/>
      <c r="F201" s="148"/>
      <c r="G201" s="148"/>
      <c r="H201" s="149"/>
      <c r="T201" s="34"/>
    </row>
    <row r="202" spans="1:20" s="32" customFormat="1" x14ac:dyDescent="0.3">
      <c r="A202" s="41">
        <f t="shared" si="14"/>
        <v>4</v>
      </c>
      <c r="B202" s="147" t="s">
        <v>117</v>
      </c>
      <c r="C202" s="148"/>
      <c r="D202" s="148"/>
      <c r="E202" s="148"/>
      <c r="F202" s="148"/>
      <c r="G202" s="148"/>
      <c r="H202" s="149"/>
      <c r="T202" s="34"/>
    </row>
    <row r="203" spans="1:20" s="32" customFormat="1" x14ac:dyDescent="0.3">
      <c r="A203" s="41">
        <f t="shared" si="14"/>
        <v>5</v>
      </c>
      <c r="B203" s="147" t="s">
        <v>437</v>
      </c>
      <c r="C203" s="148"/>
      <c r="D203" s="148"/>
      <c r="E203" s="148"/>
      <c r="F203" s="148"/>
      <c r="G203" s="148"/>
      <c r="H203" s="149"/>
      <c r="T203" s="34"/>
    </row>
    <row r="204" spans="1:20" s="32" customFormat="1" x14ac:dyDescent="0.3">
      <c r="A204" s="41">
        <f t="shared" si="14"/>
        <v>6</v>
      </c>
      <c r="B204" s="158" t="s">
        <v>147</v>
      </c>
      <c r="C204" s="159"/>
      <c r="D204" s="159"/>
      <c r="E204" s="159"/>
      <c r="F204" s="159"/>
      <c r="G204" s="159"/>
      <c r="H204" s="160"/>
    </row>
    <row r="205" spans="1:20" s="32" customFormat="1" x14ac:dyDescent="0.3">
      <c r="A205" s="41">
        <f t="shared" si="14"/>
        <v>7</v>
      </c>
      <c r="B205" s="158" t="s">
        <v>118</v>
      </c>
      <c r="C205" s="159"/>
      <c r="D205" s="159"/>
      <c r="E205" s="159"/>
      <c r="F205" s="159"/>
      <c r="G205" s="159"/>
      <c r="H205" s="160"/>
    </row>
    <row r="206" spans="1:20" s="32" customFormat="1" ht="34.5" customHeight="1" x14ac:dyDescent="0.3">
      <c r="A206" s="41">
        <f t="shared" si="14"/>
        <v>8</v>
      </c>
      <c r="B206" s="147" t="s">
        <v>148</v>
      </c>
      <c r="C206" s="148"/>
      <c r="D206" s="148"/>
      <c r="E206" s="148"/>
      <c r="F206" s="148"/>
      <c r="G206" s="148"/>
      <c r="H206" s="149"/>
    </row>
    <row r="207" spans="1:20" s="32" customFormat="1" ht="17.399999999999999" customHeight="1" x14ac:dyDescent="0.3">
      <c r="A207" s="41">
        <f t="shared" si="14"/>
        <v>9</v>
      </c>
      <c r="B207" s="158" t="s">
        <v>119</v>
      </c>
      <c r="C207" s="159"/>
      <c r="D207" s="159"/>
      <c r="E207" s="159"/>
      <c r="F207" s="159"/>
      <c r="G207" s="159"/>
      <c r="H207" s="160"/>
    </row>
    <row r="208" spans="1:20" s="32" customFormat="1" ht="32.25" hidden="1" customHeight="1" x14ac:dyDescent="0.3">
      <c r="A208" s="41">
        <f t="shared" si="14"/>
        <v>10</v>
      </c>
      <c r="B208" s="121" t="s">
        <v>171</v>
      </c>
      <c r="C208" s="122"/>
      <c r="D208" s="122"/>
      <c r="E208" s="122"/>
      <c r="F208" s="122"/>
      <c r="G208" s="122"/>
      <c r="H208" s="123"/>
    </row>
    <row r="209" spans="1:20" s="32" customFormat="1" ht="38.25" hidden="1" customHeight="1" x14ac:dyDescent="0.3">
      <c r="A209" s="41">
        <f t="shared" si="14"/>
        <v>11</v>
      </c>
      <c r="B209" s="121" t="s">
        <v>343</v>
      </c>
      <c r="C209" s="122"/>
      <c r="D209" s="122"/>
      <c r="E209" s="122"/>
      <c r="F209" s="122"/>
      <c r="G209" s="122"/>
      <c r="H209" s="123"/>
    </row>
    <row r="210" spans="1:20" s="32" customFormat="1" hidden="1" x14ac:dyDescent="0.3">
      <c r="A210" s="41">
        <f t="shared" si="14"/>
        <v>12</v>
      </c>
      <c r="B210" s="121" t="s">
        <v>345</v>
      </c>
      <c r="C210" s="122"/>
      <c r="D210" s="122"/>
      <c r="E210" s="122"/>
      <c r="F210" s="122"/>
      <c r="G210" s="122"/>
      <c r="H210" s="123"/>
    </row>
    <row r="211" spans="1:20" s="32" customFormat="1" hidden="1" x14ac:dyDescent="0.3">
      <c r="A211" s="41">
        <f t="shared" si="14"/>
        <v>13</v>
      </c>
      <c r="B211" s="121" t="str">
        <f ca="1">IF(G52&gt;EDATE(E3,-48),"NO REMARK FOR CC","REMARK FOR CC")</f>
        <v>NO REMARK FOR CC</v>
      </c>
      <c r="C211" s="122"/>
      <c r="D211" s="122"/>
      <c r="E211" s="122"/>
      <c r="F211" s="122"/>
      <c r="G211" s="122"/>
      <c r="H211" s="123"/>
    </row>
    <row r="212" spans="1:20" s="32" customFormat="1" ht="81.75" hidden="1" customHeight="1" x14ac:dyDescent="0.3">
      <c r="A212" s="41">
        <f t="shared" si="14"/>
        <v>14</v>
      </c>
      <c r="B212" s="121" t="s">
        <v>346</v>
      </c>
      <c r="C212" s="122"/>
      <c r="D212" s="122"/>
      <c r="E212" s="122"/>
      <c r="F212" s="122"/>
      <c r="G212" s="122"/>
      <c r="H212" s="123"/>
    </row>
    <row r="213" spans="1:20" s="32" customFormat="1" ht="33.6" customHeight="1" x14ac:dyDescent="0.3">
      <c r="A213" s="41">
        <v>10</v>
      </c>
      <c r="B213" s="158" t="s">
        <v>451</v>
      </c>
      <c r="C213" s="159"/>
      <c r="D213" s="159"/>
      <c r="E213" s="159"/>
      <c r="F213" s="159"/>
      <c r="G213" s="159"/>
      <c r="H213" s="160"/>
    </row>
    <row r="214" spans="1:20" x14ac:dyDescent="0.3">
      <c r="A214" s="157" t="s">
        <v>57</v>
      </c>
      <c r="B214" s="157"/>
      <c r="C214" s="157"/>
      <c r="D214" s="157"/>
      <c r="E214" s="157"/>
      <c r="F214" s="157"/>
      <c r="G214" s="157"/>
      <c r="H214" s="157"/>
      <c r="T214" s="32"/>
    </row>
    <row r="215" spans="1:20" x14ac:dyDescent="0.3">
      <c r="A215" s="125" t="s">
        <v>58</v>
      </c>
      <c r="B215" s="125"/>
      <c r="C215" s="125"/>
      <c r="D215" s="125"/>
      <c r="E215" s="125"/>
      <c r="F215" s="125"/>
      <c r="G215" s="125"/>
      <c r="H215" s="125"/>
      <c r="T215" s="32"/>
    </row>
    <row r="216" spans="1:20" ht="15.75" customHeight="1" x14ac:dyDescent="0.3">
      <c r="A216" s="163" t="s">
        <v>59</v>
      </c>
      <c r="B216" s="163"/>
      <c r="C216" s="163"/>
      <c r="D216" s="163"/>
      <c r="E216" s="163"/>
      <c r="F216" s="163"/>
      <c r="G216" s="163"/>
      <c r="H216" s="163"/>
      <c r="T216" s="32"/>
    </row>
    <row r="217" spans="1:20" x14ac:dyDescent="0.3">
      <c r="A217" s="125" t="s">
        <v>60</v>
      </c>
      <c r="B217" s="125"/>
      <c r="C217" s="125"/>
      <c r="D217" s="125"/>
      <c r="E217" s="125"/>
      <c r="F217" s="125"/>
      <c r="G217" s="125"/>
      <c r="H217" s="125"/>
      <c r="T217" s="32"/>
    </row>
    <row r="218" spans="1:20" x14ac:dyDescent="0.3">
      <c r="A218" s="125" t="s">
        <v>61</v>
      </c>
      <c r="B218" s="125"/>
      <c r="C218" s="125"/>
      <c r="D218" s="125"/>
      <c r="E218" s="125"/>
      <c r="F218" s="125"/>
      <c r="G218" s="125"/>
      <c r="H218" s="125"/>
      <c r="T218" s="32"/>
    </row>
    <row r="219" spans="1:20" x14ac:dyDescent="0.3">
      <c r="A219" s="125" t="s">
        <v>120</v>
      </c>
      <c r="B219" s="125"/>
      <c r="C219" s="125"/>
      <c r="D219" s="125"/>
      <c r="E219" s="125"/>
      <c r="F219" s="125"/>
      <c r="G219" s="125"/>
      <c r="H219" s="125"/>
      <c r="T219" s="32"/>
    </row>
    <row r="220" spans="1:20" ht="33.9" customHeight="1" x14ac:dyDescent="0.3">
      <c r="A220" s="109" t="s">
        <v>121</v>
      </c>
      <c r="B220" s="109"/>
      <c r="C220" s="109"/>
      <c r="D220" s="109"/>
      <c r="E220" s="109"/>
      <c r="F220" s="109"/>
      <c r="G220" s="109"/>
      <c r="H220" s="109"/>
    </row>
    <row r="221" spans="1:20" x14ac:dyDescent="0.3">
      <c r="A221" s="154" t="s">
        <v>73</v>
      </c>
      <c r="B221" s="154"/>
      <c r="C221" s="154" t="s">
        <v>439</v>
      </c>
      <c r="D221" s="154"/>
      <c r="E221" s="154" t="s">
        <v>101</v>
      </c>
      <c r="F221" s="154"/>
      <c r="G221" s="154" t="s">
        <v>438</v>
      </c>
      <c r="H221" s="154"/>
    </row>
    <row r="222" spans="1:20" x14ac:dyDescent="0.3">
      <c r="A222" s="153" t="s">
        <v>75</v>
      </c>
      <c r="B222" s="153"/>
      <c r="C222" s="153"/>
      <c r="D222" s="153"/>
      <c r="E222" s="153"/>
      <c r="F222" s="153"/>
      <c r="G222" s="153"/>
      <c r="H222" s="153"/>
    </row>
    <row r="223" spans="1:20" x14ac:dyDescent="0.3">
      <c r="A223" s="153"/>
      <c r="B223" s="153"/>
      <c r="C223" s="153"/>
      <c r="D223" s="153"/>
      <c r="E223" s="153"/>
      <c r="F223" s="153"/>
      <c r="G223" s="153"/>
      <c r="H223" s="153"/>
    </row>
    <row r="224" spans="1:20" x14ac:dyDescent="0.3">
      <c r="A224" s="153"/>
      <c r="B224" s="153"/>
      <c r="C224" s="153"/>
      <c r="D224" s="153"/>
      <c r="E224" s="153"/>
      <c r="F224" s="153"/>
      <c r="G224" s="153"/>
      <c r="H224" s="153"/>
    </row>
    <row r="225" spans="1:8" x14ac:dyDescent="0.3">
      <c r="A225" s="153"/>
      <c r="B225" s="153"/>
      <c r="C225" s="153"/>
      <c r="D225" s="153"/>
      <c r="E225" s="153"/>
      <c r="F225" s="153"/>
      <c r="G225" s="153"/>
      <c r="H225" s="153"/>
    </row>
    <row r="226" spans="1:8" x14ac:dyDescent="0.3">
      <c r="A226" s="35" t="s">
        <v>62</v>
      </c>
      <c r="B226" s="36"/>
      <c r="C226" s="36"/>
      <c r="D226" s="35" t="str">
        <f>E9</f>
        <v>Neelkanth Palm Avenue</v>
      </c>
      <c r="F226" s="36"/>
      <c r="G226" s="36"/>
      <c r="H226" s="36"/>
    </row>
    <row r="227" spans="1:8" x14ac:dyDescent="0.3">
      <c r="A227" s="36"/>
      <c r="B227" s="36"/>
      <c r="C227" s="36"/>
      <c r="D227" s="36"/>
      <c r="E227" s="36"/>
      <c r="F227" s="36"/>
      <c r="G227" s="36"/>
      <c r="H227" s="36"/>
    </row>
    <row r="228" spans="1:8" x14ac:dyDescent="0.3">
      <c r="A228" s="36"/>
      <c r="B228" s="36"/>
      <c r="C228" s="36"/>
      <c r="D228" s="36"/>
      <c r="E228" s="36"/>
      <c r="F228" s="36"/>
      <c r="G228" s="36"/>
      <c r="H228" s="36"/>
    </row>
    <row r="229" spans="1:8" ht="15" customHeight="1" x14ac:dyDescent="0.3"/>
    <row r="268" spans="1:1" x14ac:dyDescent="0.3">
      <c r="A268" s="38" t="s">
        <v>452</v>
      </c>
    </row>
    <row r="310" spans="1:1" x14ac:dyDescent="0.3">
      <c r="A310" s="38" t="s">
        <v>158</v>
      </c>
    </row>
    <row r="352" spans="1:1" x14ac:dyDescent="0.3">
      <c r="A352" s="38" t="s">
        <v>63</v>
      </c>
    </row>
    <row r="392" hidden="1" x14ac:dyDescent="0.3"/>
    <row r="393" hidden="1" x14ac:dyDescent="0.3"/>
  </sheetData>
  <mergeCells count="390">
    <mergeCell ref="B213:H213"/>
    <mergeCell ref="A119:A120"/>
    <mergeCell ref="A124:A125"/>
    <mergeCell ref="L180:M180"/>
    <mergeCell ref="L181:M181"/>
    <mergeCell ref="C126:D126"/>
    <mergeCell ref="E126:F126"/>
    <mergeCell ref="G126:H126"/>
    <mergeCell ref="A127:B127"/>
    <mergeCell ref="C127:D127"/>
    <mergeCell ref="E127:F127"/>
    <mergeCell ref="G127:H127"/>
    <mergeCell ref="A193:H193"/>
    <mergeCell ref="L194:M194"/>
    <mergeCell ref="L195:M195"/>
    <mergeCell ref="L196:M196"/>
    <mergeCell ref="L197:M197"/>
    <mergeCell ref="C196:H196"/>
    <mergeCell ref="L192:M192"/>
    <mergeCell ref="A173:H173"/>
    <mergeCell ref="L174:M174"/>
    <mergeCell ref="L175:M175"/>
    <mergeCell ref="L176:M176"/>
    <mergeCell ref="L177:M177"/>
    <mergeCell ref="C177:H177"/>
    <mergeCell ref="L187:M187"/>
    <mergeCell ref="A188:H188"/>
    <mergeCell ref="L189:M189"/>
    <mergeCell ref="L190:M190"/>
    <mergeCell ref="L191:M191"/>
    <mergeCell ref="A178:H178"/>
    <mergeCell ref="A179:H179"/>
    <mergeCell ref="A182:H182"/>
    <mergeCell ref="A183:H183"/>
    <mergeCell ref="L184:M184"/>
    <mergeCell ref="L185:M185"/>
    <mergeCell ref="L186:M186"/>
    <mergeCell ref="L170:M170"/>
    <mergeCell ref="L171:M171"/>
    <mergeCell ref="L172:M172"/>
    <mergeCell ref="A155:B155"/>
    <mergeCell ref="L155:M155"/>
    <mergeCell ref="A156:B156"/>
    <mergeCell ref="L156:M156"/>
    <mergeCell ref="A160:H160"/>
    <mergeCell ref="A161:H161"/>
    <mergeCell ref="A162:H162"/>
    <mergeCell ref="L167:M167"/>
    <mergeCell ref="L164:M164"/>
    <mergeCell ref="L165:M165"/>
    <mergeCell ref="L166:M166"/>
    <mergeCell ref="L151:M151"/>
    <mergeCell ref="A152:B152"/>
    <mergeCell ref="L152:M152"/>
    <mergeCell ref="A153:B153"/>
    <mergeCell ref="L153:M153"/>
    <mergeCell ref="A154:B154"/>
    <mergeCell ref="L154:M154"/>
    <mergeCell ref="A168:H168"/>
    <mergeCell ref="L169:M169"/>
    <mergeCell ref="L145:M145"/>
    <mergeCell ref="A146:H146"/>
    <mergeCell ref="A147:H147"/>
    <mergeCell ref="A148:B148"/>
    <mergeCell ref="L148:M148"/>
    <mergeCell ref="A149:B149"/>
    <mergeCell ref="L149:M149"/>
    <mergeCell ref="A150:B150"/>
    <mergeCell ref="L150:M150"/>
    <mergeCell ref="L140:M140"/>
    <mergeCell ref="A141:B141"/>
    <mergeCell ref="L141:M141"/>
    <mergeCell ref="A142:B142"/>
    <mergeCell ref="L142:M142"/>
    <mergeCell ref="A143:B143"/>
    <mergeCell ref="L143:M143"/>
    <mergeCell ref="A144:B144"/>
    <mergeCell ref="L144:M144"/>
    <mergeCell ref="B212:H212"/>
    <mergeCell ref="C132:C133"/>
    <mergeCell ref="B158:B159"/>
    <mergeCell ref="B201:H201"/>
    <mergeCell ref="A93:B93"/>
    <mergeCell ref="E93:F93"/>
    <mergeCell ref="E94:F103"/>
    <mergeCell ref="A82:B82"/>
    <mergeCell ref="E80:F89"/>
    <mergeCell ref="G80:H89"/>
    <mergeCell ref="B209:H209"/>
    <mergeCell ref="A109:E109"/>
    <mergeCell ref="A128:B128"/>
    <mergeCell ref="E128:F128"/>
    <mergeCell ref="A114:E114"/>
    <mergeCell ref="G128:H128"/>
    <mergeCell ref="C120:D120"/>
    <mergeCell ref="E120:F120"/>
    <mergeCell ref="G120:H120"/>
    <mergeCell ref="A121:B121"/>
    <mergeCell ref="C121:D121"/>
    <mergeCell ref="E121:F121"/>
    <mergeCell ref="G121:H121"/>
    <mergeCell ref="A134:H134"/>
    <mergeCell ref="A99:B99"/>
    <mergeCell ref="G93:H93"/>
    <mergeCell ref="B207:H207"/>
    <mergeCell ref="B205:H205"/>
    <mergeCell ref="A136:B136"/>
    <mergeCell ref="A40:B40"/>
    <mergeCell ref="C40:H40"/>
    <mergeCell ref="F132:F133"/>
    <mergeCell ref="C119:D119"/>
    <mergeCell ref="E119:F119"/>
    <mergeCell ref="B132:B133"/>
    <mergeCell ref="A132:A133"/>
    <mergeCell ref="C158:C159"/>
    <mergeCell ref="G158:G159"/>
    <mergeCell ref="G129:H129"/>
    <mergeCell ref="C54:H54"/>
    <mergeCell ref="A64:C64"/>
    <mergeCell ref="A69:C69"/>
    <mergeCell ref="A70:C70"/>
    <mergeCell ref="D69:H69"/>
    <mergeCell ref="A65:C65"/>
    <mergeCell ref="G60:H60"/>
    <mergeCell ref="A101:B101"/>
    <mergeCell ref="A140:B140"/>
    <mergeCell ref="A38:H38"/>
    <mergeCell ref="L139:M139"/>
    <mergeCell ref="L138:M138"/>
    <mergeCell ref="L137:M137"/>
    <mergeCell ref="L136:M136"/>
    <mergeCell ref="A87:B87"/>
    <mergeCell ref="C124:D124"/>
    <mergeCell ref="E124:F124"/>
    <mergeCell ref="G124:H124"/>
    <mergeCell ref="A105:E105"/>
    <mergeCell ref="A90:B90"/>
    <mergeCell ref="C90:H90"/>
    <mergeCell ref="A135:H135"/>
    <mergeCell ref="E132:E133"/>
    <mergeCell ref="A94:B94"/>
    <mergeCell ref="C92:H92"/>
    <mergeCell ref="A95:B95"/>
    <mergeCell ref="A96:B96"/>
    <mergeCell ref="G94:H103"/>
    <mergeCell ref="A97:B97"/>
    <mergeCell ref="F106:H106"/>
    <mergeCell ref="A106:E106"/>
    <mergeCell ref="E129:F129"/>
    <mergeCell ref="A92:B92"/>
    <mergeCell ref="F37:H37"/>
    <mergeCell ref="C51:E51"/>
    <mergeCell ref="C50:E50"/>
    <mergeCell ref="G50:H50"/>
    <mergeCell ref="A51:B51"/>
    <mergeCell ref="G57:H57"/>
    <mergeCell ref="G59:H59"/>
    <mergeCell ref="G51:H51"/>
    <mergeCell ref="A39:B39"/>
    <mergeCell ref="C39:H39"/>
    <mergeCell ref="C56:H56"/>
    <mergeCell ref="A52:B54"/>
    <mergeCell ref="C55:E55"/>
    <mergeCell ref="C52:E53"/>
    <mergeCell ref="C57:E57"/>
    <mergeCell ref="G55:H55"/>
    <mergeCell ref="A57:B58"/>
    <mergeCell ref="E42:H42"/>
    <mergeCell ref="A41:H41"/>
    <mergeCell ref="A59:B61"/>
    <mergeCell ref="C61:H61"/>
    <mergeCell ref="C59:E60"/>
    <mergeCell ref="E43:H43"/>
    <mergeCell ref="A43:D43"/>
    <mergeCell ref="A79:B79"/>
    <mergeCell ref="A46:D46"/>
    <mergeCell ref="A47:D47"/>
    <mergeCell ref="D70:H70"/>
    <mergeCell ref="A44:D44"/>
    <mergeCell ref="E44:H44"/>
    <mergeCell ref="E45:H45"/>
    <mergeCell ref="E46:H46"/>
    <mergeCell ref="E47:H47"/>
    <mergeCell ref="C58:H58"/>
    <mergeCell ref="A48:H48"/>
    <mergeCell ref="D66:H66"/>
    <mergeCell ref="A66:C66"/>
    <mergeCell ref="A45:D45"/>
    <mergeCell ref="A49:B49"/>
    <mergeCell ref="C49:H49"/>
    <mergeCell ref="A67:C68"/>
    <mergeCell ref="D67:H67"/>
    <mergeCell ref="D68:H68"/>
    <mergeCell ref="G53:H53"/>
    <mergeCell ref="G52:H52"/>
    <mergeCell ref="A63:H63"/>
    <mergeCell ref="A78:B78"/>
    <mergeCell ref="A76:B76"/>
    <mergeCell ref="C76:H76"/>
    <mergeCell ref="A71:C71"/>
    <mergeCell ref="D71:H71"/>
    <mergeCell ref="C78:H78"/>
    <mergeCell ref="A72:C72"/>
    <mergeCell ref="D72:H72"/>
    <mergeCell ref="A75:C75"/>
    <mergeCell ref="D75:H75"/>
    <mergeCell ref="A74:C74"/>
    <mergeCell ref="E26:H26"/>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E13:H13"/>
    <mergeCell ref="A37:B37"/>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14:H14"/>
    <mergeCell ref="A15:D15"/>
    <mergeCell ref="A11:D11"/>
    <mergeCell ref="E11:H11"/>
    <mergeCell ref="A23:D24"/>
    <mergeCell ref="A28:D28"/>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22:H225"/>
    <mergeCell ref="A221:B221"/>
    <mergeCell ref="E221:F221"/>
    <mergeCell ref="C221:D221"/>
    <mergeCell ref="G221:H221"/>
    <mergeCell ref="A117:H117"/>
    <mergeCell ref="A115:E115"/>
    <mergeCell ref="F115:H115"/>
    <mergeCell ref="A116:E116"/>
    <mergeCell ref="F116:H116"/>
    <mergeCell ref="A217:H217"/>
    <mergeCell ref="A122:H122"/>
    <mergeCell ref="A220:H220"/>
    <mergeCell ref="A218:H218"/>
    <mergeCell ref="A214:H214"/>
    <mergeCell ref="G123:H123"/>
    <mergeCell ref="B204:H204"/>
    <mergeCell ref="D132:D133"/>
    <mergeCell ref="G125:H125"/>
    <mergeCell ref="B208:H208"/>
    <mergeCell ref="A129:B129"/>
    <mergeCell ref="A219:H219"/>
    <mergeCell ref="A216:H216"/>
    <mergeCell ref="C129:D129"/>
    <mergeCell ref="B206:H206"/>
    <mergeCell ref="G132:G133"/>
    <mergeCell ref="B199:H199"/>
    <mergeCell ref="B200:H200"/>
    <mergeCell ref="B202:H202"/>
    <mergeCell ref="F104:H104"/>
    <mergeCell ref="F109:H109"/>
    <mergeCell ref="A139:B139"/>
    <mergeCell ref="A138:B138"/>
    <mergeCell ref="F110:H110"/>
    <mergeCell ref="A123:B123"/>
    <mergeCell ref="D158:D159"/>
    <mergeCell ref="E158:E159"/>
    <mergeCell ref="B203:H203"/>
    <mergeCell ref="A112:E112"/>
    <mergeCell ref="C125:D125"/>
    <mergeCell ref="E125:F125"/>
    <mergeCell ref="A145:B145"/>
    <mergeCell ref="A151:B151"/>
    <mergeCell ref="F111:H111"/>
    <mergeCell ref="C118:D118"/>
    <mergeCell ref="C128:D128"/>
    <mergeCell ref="A163:H163"/>
    <mergeCell ref="A102:B102"/>
    <mergeCell ref="A107:E107"/>
    <mergeCell ref="A104:E104"/>
    <mergeCell ref="F108:H108"/>
    <mergeCell ref="A108:E108"/>
    <mergeCell ref="B211:H211"/>
    <mergeCell ref="B210:H210"/>
    <mergeCell ref="F107:H107"/>
    <mergeCell ref="A111:E111"/>
    <mergeCell ref="A215:H215"/>
    <mergeCell ref="A110:E110"/>
    <mergeCell ref="A86:B86"/>
    <mergeCell ref="I15:P15"/>
    <mergeCell ref="F114:H114"/>
    <mergeCell ref="F112:H112"/>
    <mergeCell ref="A131:H131"/>
    <mergeCell ref="G118:H118"/>
    <mergeCell ref="A113:E113"/>
    <mergeCell ref="A137:B137"/>
    <mergeCell ref="A62:B62"/>
    <mergeCell ref="C62:E62"/>
    <mergeCell ref="D64:H64"/>
    <mergeCell ref="F113:H113"/>
    <mergeCell ref="E118:F118"/>
    <mergeCell ref="A118:B118"/>
    <mergeCell ref="C123:D123"/>
    <mergeCell ref="D73:H73"/>
    <mergeCell ref="D65:H65"/>
    <mergeCell ref="G62:H62"/>
    <mergeCell ref="A55:B56"/>
    <mergeCell ref="A157:H157"/>
    <mergeCell ref="A85:B85"/>
    <mergeCell ref="A50:B50"/>
    <mergeCell ref="A198:H198"/>
    <mergeCell ref="A73:C73"/>
    <mergeCell ref="D74:H74"/>
    <mergeCell ref="A80:B80"/>
    <mergeCell ref="G79:H79"/>
    <mergeCell ref="A88:B88"/>
    <mergeCell ref="A89:B89"/>
    <mergeCell ref="A84:B84"/>
    <mergeCell ref="A83:B83"/>
    <mergeCell ref="E79:F79"/>
    <mergeCell ref="A81:B81"/>
    <mergeCell ref="E123:F123"/>
    <mergeCell ref="A130:H130"/>
    <mergeCell ref="A158:A159"/>
    <mergeCell ref="F158:F159"/>
    <mergeCell ref="A98:B98"/>
    <mergeCell ref="A100:B100"/>
    <mergeCell ref="F105:H105"/>
    <mergeCell ref="G119:H119"/>
    <mergeCell ref="A103:B103"/>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2:E133" xr:uid="{00000000-0002-0000-0000-000003000000}">
      <formula1>"Attached Loft area,Attached Otla area,Attached Mezzanine area"</formula1>
    </dataValidation>
    <dataValidation type="list" allowBlank="1" showInputMessage="1" showErrorMessage="1" sqref="G221:H221" xr:uid="{00000000-0002-0000-0000-000004000000}">
      <formula1>"Kunal Kadam,Pranita Mhatre,Shruti Fule,Pooja Kawale,Gaurav Panchal,Shruti Tathare, Dipti Gothawade,Saurav Panse, Sachin Sawant"</formula1>
    </dataValidation>
    <dataValidation type="list" allowBlank="1" showInputMessage="1" showErrorMessage="1" sqref="F104:H104" xr:uid="{00000000-0002-0000-0000-000005000000}">
      <formula1>"On Saleable Area,On Builtup Area,On Carpet Area,On Plot Area"</formula1>
    </dataValidation>
    <dataValidation type="list" allowBlank="1" showInputMessage="1" showErrorMessage="1" sqref="F115:H115" xr:uid="{00000000-0002-0000-0000-000006000000}">
      <formula1>OFFSET($S$104,1,MATCH($G20,$S$104:$W$104,0)-1,15,1)</formula1>
    </dataValidation>
    <dataValidation type="list" allowBlank="1" showInputMessage="1" showErrorMessage="1" sqref="B132:B133" xr:uid="{00000000-0002-0000-0000-000007000000}">
      <formula1>"Shop No. (Sale Plan),Sale / Rehab,Sale / Mhada"</formula1>
    </dataValidation>
    <dataValidation type="list" allowBlank="1" showInputMessage="1" showErrorMessage="1" sqref="B158:B159"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58:E159" xr:uid="{00000000-0002-0000-0000-00000B000000}">
      <formula1>"Fungible area,Balcony Area,Chajja Area,Cornice Area,AP Area,WS Area"</formula1>
    </dataValidation>
    <dataValidation type="list" allowBlank="1" showInputMessage="1" showErrorMessage="1" sqref="H133 H159"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32 H158" xr:uid="{00000000-0002-0000-0000-00000F000000}">
      <formula1>"Saleable area Loading :,Builder Saleable Area"</formula1>
    </dataValidation>
    <dataValidation type="list" allowBlank="1" showInputMessage="1" showErrorMessage="1" sqref="D132:D133" xr:uid="{00000000-0002-0000-0000-000010000000}">
      <formula1>"Carpet area,RERA Carpet area"</formula1>
    </dataValidation>
    <dataValidation type="list" allowBlank="1" showInputMessage="1" showErrorMessage="1" sqref="D158:D159" xr:uid="{00000000-0002-0000-0000-000011000000}">
      <formula1>"Carpet Area,Carpet + Encl Balcony Area,RERA Carpet area"</formula1>
    </dataValidation>
  </dataValidations>
  <hyperlinks>
    <hyperlink ref="C40" r:id="rId1" xr:uid="{97B0C9B8-86CE-4005-B40A-26797B3AB3BF}"/>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6" manualBreakCount="6">
    <brk id="75" max="16383" man="1"/>
    <brk id="116" max="16383" man="1"/>
    <brk id="225" max="16383" man="1"/>
    <brk id="267" max="16383" man="1"/>
    <brk id="309" max="16383" man="1"/>
    <brk id="35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56" t="s">
        <v>102</v>
      </c>
      <c r="C3" s="256"/>
      <c r="D3" s="256"/>
      <c r="E3" s="256"/>
      <c r="F3" s="256"/>
      <c r="G3" s="256"/>
      <c r="H3" s="256"/>
    </row>
    <row r="4" spans="1:9" x14ac:dyDescent="0.3">
      <c r="A4" s="2"/>
      <c r="B4" s="3" t="s">
        <v>103</v>
      </c>
      <c r="C4" s="3" t="s">
        <v>104</v>
      </c>
      <c r="D4" s="3" t="s">
        <v>65</v>
      </c>
      <c r="E4" s="3" t="s">
        <v>105</v>
      </c>
      <c r="F4" s="3" t="s">
        <v>111</v>
      </c>
      <c r="G4" s="3" t="s">
        <v>112</v>
      </c>
      <c r="H4" s="3" t="s">
        <v>106</v>
      </c>
    </row>
    <row r="5" spans="1:9" ht="15" customHeight="1" x14ac:dyDescent="0.3">
      <c r="A5" s="2"/>
      <c r="B5" s="5" t="s">
        <v>107</v>
      </c>
      <c r="C5" s="6"/>
      <c r="D5" s="5"/>
      <c r="E5" s="5"/>
      <c r="F5" s="7">
        <f>E5*1.6</f>
        <v>0</v>
      </c>
      <c r="G5" s="7" t="e">
        <f>H5/F5</f>
        <v>#DIV/0!</v>
      </c>
      <c r="H5" s="8"/>
    </row>
    <row r="6" spans="1:9" x14ac:dyDescent="0.3">
      <c r="A6" s="2"/>
      <c r="B6" s="5" t="s">
        <v>107</v>
      </c>
      <c r="C6" s="9"/>
      <c r="D6" s="5"/>
      <c r="E6" s="5"/>
      <c r="F6" s="7">
        <f t="shared" ref="F6:F11" si="0">E6*1.6</f>
        <v>0</v>
      </c>
      <c r="G6" s="7" t="e">
        <f t="shared" ref="G6:G11" si="1">H6/F6</f>
        <v>#DIV/0!</v>
      </c>
      <c r="H6" s="8"/>
    </row>
    <row r="7" spans="1:9" ht="15" customHeight="1" x14ac:dyDescent="0.3">
      <c r="A7" s="2"/>
      <c r="B7" s="5" t="s">
        <v>107</v>
      </c>
      <c r="C7" s="6"/>
      <c r="D7" s="5"/>
      <c r="E7" s="5"/>
      <c r="F7" s="7">
        <f t="shared" si="0"/>
        <v>0</v>
      </c>
      <c r="G7" s="7" t="e">
        <f t="shared" si="1"/>
        <v>#DIV/0!</v>
      </c>
      <c r="H7" s="8"/>
    </row>
    <row r="8" spans="1:9" x14ac:dyDescent="0.3">
      <c r="A8" s="2"/>
      <c r="B8" s="5" t="s">
        <v>107</v>
      </c>
      <c r="C8" s="9"/>
      <c r="D8" s="5"/>
      <c r="E8" s="5"/>
      <c r="F8" s="7">
        <f t="shared" si="0"/>
        <v>0</v>
      </c>
      <c r="G8" s="7" t="e">
        <f t="shared" si="1"/>
        <v>#DIV/0!</v>
      </c>
      <c r="H8" s="8"/>
    </row>
    <row r="9" spans="1:9" ht="15" customHeight="1" x14ac:dyDescent="0.3">
      <c r="A9" s="2"/>
      <c r="B9" s="5" t="s">
        <v>107</v>
      </c>
      <c r="C9" s="9"/>
      <c r="D9" s="5"/>
      <c r="E9" s="5"/>
      <c r="F9" s="7">
        <f t="shared" si="0"/>
        <v>0</v>
      </c>
      <c r="G9" s="7" t="e">
        <f t="shared" si="1"/>
        <v>#DIV/0!</v>
      </c>
      <c r="H9" s="8"/>
    </row>
    <row r="10" spans="1:9" ht="15" customHeight="1" x14ac:dyDescent="0.3">
      <c r="A10" s="2"/>
      <c r="B10" s="5" t="s">
        <v>108</v>
      </c>
      <c r="C10" s="6"/>
      <c r="D10" s="5"/>
      <c r="E10" s="5"/>
      <c r="F10" s="7">
        <f t="shared" si="0"/>
        <v>0</v>
      </c>
      <c r="G10" s="7" t="e">
        <f t="shared" si="1"/>
        <v>#DIV/0!</v>
      </c>
      <c r="H10" s="8"/>
    </row>
    <row r="11" spans="1:9" ht="15" customHeight="1" x14ac:dyDescent="0.3">
      <c r="A11" s="2"/>
      <c r="B11" s="5" t="s">
        <v>108</v>
      </c>
      <c r="C11" s="6"/>
      <c r="D11" s="5"/>
      <c r="E11" s="5"/>
      <c r="F11" s="7">
        <f t="shared" si="0"/>
        <v>0</v>
      </c>
      <c r="G11" s="7" t="e">
        <f t="shared" si="1"/>
        <v>#DIV/0!</v>
      </c>
      <c r="H11" s="8"/>
    </row>
    <row r="12" spans="1:9" ht="15" customHeight="1" x14ac:dyDescent="0.3">
      <c r="A12" s="2"/>
      <c r="B12" s="10" t="s">
        <v>109</v>
      </c>
      <c r="C12" s="5"/>
      <c r="D12" s="5"/>
      <c r="E12" s="5"/>
      <c r="F12" s="5"/>
      <c r="G12" s="11" t="e">
        <f>AVERAGE(G5:G11)</f>
        <v>#DIV/0!</v>
      </c>
      <c r="H12" s="5"/>
    </row>
    <row r="13" spans="1:9" ht="15" customHeight="1" x14ac:dyDescent="0.3">
      <c r="B13" s="10" t="s">
        <v>110</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8"/>
      <c r="C4" s="48" t="s">
        <v>11</v>
      </c>
      <c r="D4" s="49" t="s">
        <v>172</v>
      </c>
      <c r="E4" s="49" t="s">
        <v>182</v>
      </c>
      <c r="F4" s="49" t="s">
        <v>166</v>
      </c>
      <c r="G4" s="49" t="s">
        <v>187</v>
      </c>
      <c r="H4" s="49" t="s">
        <v>205</v>
      </c>
      <c r="J4" t="s">
        <v>187</v>
      </c>
      <c r="K4" t="s">
        <v>203</v>
      </c>
    </row>
    <row r="5" spans="2:11" x14ac:dyDescent="0.3">
      <c r="B5" s="48"/>
      <c r="C5" s="48"/>
      <c r="D5" s="49" t="s">
        <v>173</v>
      </c>
      <c r="E5" s="49" t="s">
        <v>180</v>
      </c>
      <c r="F5" s="49" t="s">
        <v>202</v>
      </c>
      <c r="G5" s="49" t="s">
        <v>188</v>
      </c>
      <c r="H5" s="49" t="s">
        <v>206</v>
      </c>
    </row>
    <row r="6" spans="2:11" x14ac:dyDescent="0.3">
      <c r="B6" s="48"/>
      <c r="C6" s="48"/>
      <c r="D6" s="49" t="s">
        <v>174</v>
      </c>
      <c r="E6" s="49" t="s">
        <v>181</v>
      </c>
      <c r="F6" s="49" t="s">
        <v>203</v>
      </c>
      <c r="G6" s="49" t="s">
        <v>189</v>
      </c>
      <c r="H6" s="49" t="s">
        <v>219</v>
      </c>
    </row>
    <row r="7" spans="2:11" x14ac:dyDescent="0.3">
      <c r="B7" s="48"/>
      <c r="C7" s="48"/>
      <c r="D7" s="49" t="s">
        <v>175</v>
      </c>
      <c r="E7" s="49" t="s">
        <v>183</v>
      </c>
      <c r="F7" s="49" t="s">
        <v>204</v>
      </c>
      <c r="G7" s="49" t="s">
        <v>190</v>
      </c>
      <c r="H7" s="49" t="s">
        <v>207</v>
      </c>
    </row>
    <row r="8" spans="2:11" x14ac:dyDescent="0.3">
      <c r="B8" s="48"/>
      <c r="C8" s="48"/>
      <c r="D8" s="49" t="s">
        <v>176</v>
      </c>
      <c r="E8" s="49" t="s">
        <v>184</v>
      </c>
      <c r="F8" s="49"/>
      <c r="G8" s="49" t="s">
        <v>191</v>
      </c>
      <c r="H8" s="49" t="s">
        <v>208</v>
      </c>
    </row>
    <row r="9" spans="2:11" x14ac:dyDescent="0.3">
      <c r="B9" s="48"/>
      <c r="C9" s="48"/>
      <c r="D9" s="49" t="s">
        <v>177</v>
      </c>
      <c r="E9" s="49" t="s">
        <v>182</v>
      </c>
      <c r="F9" s="49"/>
      <c r="G9" s="49" t="s">
        <v>192</v>
      </c>
      <c r="H9" s="49" t="s">
        <v>209</v>
      </c>
    </row>
    <row r="10" spans="2:11" x14ac:dyDescent="0.3">
      <c r="B10" s="48"/>
      <c r="C10" s="48"/>
      <c r="D10" s="49" t="s">
        <v>178</v>
      </c>
      <c r="E10" s="49" t="s">
        <v>185</v>
      </c>
      <c r="F10" s="49"/>
      <c r="G10" s="49" t="s">
        <v>193</v>
      </c>
      <c r="H10" s="49" t="s">
        <v>210</v>
      </c>
    </row>
    <row r="11" spans="2:11" x14ac:dyDescent="0.3">
      <c r="B11" s="48"/>
      <c r="C11" s="48"/>
      <c r="D11" s="49" t="s">
        <v>179</v>
      </c>
      <c r="E11" s="49" t="s">
        <v>186</v>
      </c>
      <c r="F11" s="49"/>
      <c r="G11" s="49" t="s">
        <v>194</v>
      </c>
      <c r="H11" s="49" t="s">
        <v>211</v>
      </c>
    </row>
    <row r="12" spans="2:11" x14ac:dyDescent="0.3">
      <c r="B12" s="48"/>
      <c r="C12" s="48"/>
      <c r="D12" s="49"/>
      <c r="E12" s="49"/>
      <c r="F12" s="49"/>
      <c r="G12" s="49" t="s">
        <v>195</v>
      </c>
      <c r="H12" s="49" t="s">
        <v>212</v>
      </c>
    </row>
    <row r="13" spans="2:11" x14ac:dyDescent="0.3">
      <c r="B13" s="48"/>
      <c r="C13" s="48"/>
      <c r="D13" s="49"/>
      <c r="E13" s="49"/>
      <c r="F13" s="49"/>
      <c r="G13" s="49" t="s">
        <v>196</v>
      </c>
      <c r="H13" s="49" t="s">
        <v>213</v>
      </c>
    </row>
    <row r="14" spans="2:11" x14ac:dyDescent="0.3">
      <c r="B14" s="48"/>
      <c r="C14" s="48"/>
      <c r="D14" s="49"/>
      <c r="E14" s="49"/>
      <c r="F14" s="49"/>
      <c r="G14" s="49" t="s">
        <v>197</v>
      </c>
      <c r="H14" s="49" t="s">
        <v>214</v>
      </c>
    </row>
    <row r="15" spans="2:11" x14ac:dyDescent="0.3">
      <c r="B15" s="48"/>
      <c r="C15" s="48"/>
      <c r="D15" s="49"/>
      <c r="E15" s="49"/>
      <c r="F15" s="49"/>
      <c r="G15" s="49" t="s">
        <v>198</v>
      </c>
      <c r="H15" s="49" t="s">
        <v>215</v>
      </c>
    </row>
    <row r="16" spans="2:11" x14ac:dyDescent="0.3">
      <c r="B16" s="48"/>
      <c r="C16" s="48"/>
      <c r="D16" s="49"/>
      <c r="E16" s="49"/>
      <c r="F16" s="49"/>
      <c r="G16" s="49" t="s">
        <v>199</v>
      </c>
      <c r="H16" s="49" t="s">
        <v>216</v>
      </c>
    </row>
    <row r="17" spans="2:8" x14ac:dyDescent="0.3">
      <c r="B17" s="48"/>
      <c r="C17" s="48"/>
      <c r="D17" s="49"/>
      <c r="E17" s="49"/>
      <c r="F17" s="49"/>
      <c r="G17" s="49" t="s">
        <v>200</v>
      </c>
      <c r="H17" s="49" t="s">
        <v>217</v>
      </c>
    </row>
    <row r="18" spans="2:8" x14ac:dyDescent="0.3">
      <c r="B18" s="48"/>
      <c r="C18" s="48"/>
      <c r="D18" s="49"/>
      <c r="E18" s="49"/>
      <c r="F18" s="49"/>
      <c r="G18" s="49" t="s">
        <v>201</v>
      </c>
      <c r="H18" s="49" t="s">
        <v>218</v>
      </c>
    </row>
    <row r="24" spans="2:8" x14ac:dyDescent="0.3">
      <c r="C24" t="s">
        <v>163</v>
      </c>
    </row>
    <row r="25" spans="2:8" x14ac:dyDescent="0.3">
      <c r="C25" t="s">
        <v>220</v>
      </c>
    </row>
    <row r="26" spans="2:8" x14ac:dyDescent="0.3">
      <c r="C26" t="s">
        <v>221</v>
      </c>
    </row>
    <row r="27" spans="2:8" x14ac:dyDescent="0.3">
      <c r="C27" t="s">
        <v>222</v>
      </c>
    </row>
    <row r="28" spans="2:8" x14ac:dyDescent="0.3">
      <c r="C28" t="s">
        <v>223</v>
      </c>
    </row>
    <row r="29" spans="2:8" x14ac:dyDescent="0.3">
      <c r="C29" t="s">
        <v>224</v>
      </c>
    </row>
    <row r="30" spans="2:8" x14ac:dyDescent="0.3">
      <c r="C30" t="s">
        <v>163</v>
      </c>
    </row>
    <row r="33" spans="3:11" x14ac:dyDescent="0.3">
      <c r="J33">
        <v>1</v>
      </c>
      <c r="K33">
        <v>2</v>
      </c>
    </row>
    <row r="34" spans="3:11" x14ac:dyDescent="0.3">
      <c r="C34" s="50" t="s">
        <v>230</v>
      </c>
      <c r="D34" s="49" t="s">
        <v>228</v>
      </c>
      <c r="E34" s="49" t="s">
        <v>233</v>
      </c>
      <c r="F34" s="49" t="s">
        <v>231</v>
      </c>
      <c r="G34" s="49" t="s">
        <v>232</v>
      </c>
      <c r="H34" s="49" t="s">
        <v>234</v>
      </c>
      <c r="J34" t="s">
        <v>187</v>
      </c>
      <c r="K34" t="s">
        <v>203</v>
      </c>
    </row>
    <row r="35" spans="3:11" x14ac:dyDescent="0.3">
      <c r="C35" s="48" t="s">
        <v>229</v>
      </c>
      <c r="D35" s="49" t="s">
        <v>164</v>
      </c>
      <c r="E35" s="49" t="s">
        <v>238</v>
      </c>
      <c r="F35" s="49" t="s">
        <v>240</v>
      </c>
      <c r="G35" s="49" t="s">
        <v>242</v>
      </c>
      <c r="H35" s="49"/>
    </row>
    <row r="36" spans="3:11" x14ac:dyDescent="0.3">
      <c r="C36" s="48"/>
      <c r="D36" s="49" t="s">
        <v>235</v>
      </c>
      <c r="E36" s="49" t="s">
        <v>239</v>
      </c>
      <c r="F36" s="49" t="s">
        <v>241</v>
      </c>
      <c r="G36" s="49" t="s">
        <v>243</v>
      </c>
      <c r="H36" s="49"/>
    </row>
    <row r="37" spans="3:11" x14ac:dyDescent="0.3">
      <c r="C37" s="48"/>
      <c r="D37" s="49" t="s">
        <v>236</v>
      </c>
      <c r="E37" s="49"/>
      <c r="F37" s="49"/>
      <c r="G37" s="49" t="s">
        <v>244</v>
      </c>
      <c r="H37" s="49"/>
    </row>
    <row r="38" spans="3:11" x14ac:dyDescent="0.3">
      <c r="C38" s="48"/>
      <c r="D38" s="49" t="s">
        <v>237</v>
      </c>
      <c r="E38" s="49"/>
      <c r="F38" s="49"/>
      <c r="G38" s="49" t="s">
        <v>244</v>
      </c>
      <c r="H38" s="49"/>
    </row>
    <row r="39" spans="3:11" x14ac:dyDescent="0.3">
      <c r="C39" s="48"/>
      <c r="D39" s="49"/>
      <c r="E39" s="49"/>
      <c r="F39" s="49"/>
      <c r="G39" s="49" t="s">
        <v>245</v>
      </c>
      <c r="H39" s="49"/>
    </row>
    <row r="40" spans="3:11" x14ac:dyDescent="0.3">
      <c r="C40" s="48"/>
      <c r="D40" s="49"/>
      <c r="E40" s="49"/>
      <c r="F40" s="49"/>
      <c r="G40" s="49" t="s">
        <v>246</v>
      </c>
      <c r="H40" s="49"/>
    </row>
    <row r="41" spans="3:11" x14ac:dyDescent="0.3">
      <c r="C41" s="48"/>
      <c r="D41" s="49"/>
      <c r="E41" s="49"/>
      <c r="F41" s="49"/>
      <c r="G41" s="49"/>
      <c r="H41" s="49"/>
    </row>
    <row r="43" spans="3:11" x14ac:dyDescent="0.3">
      <c r="C43" t="s">
        <v>247</v>
      </c>
    </row>
    <row r="44" spans="3:11" x14ac:dyDescent="0.3">
      <c r="C44" t="s">
        <v>166</v>
      </c>
      <c r="D44" t="s">
        <v>248</v>
      </c>
    </row>
    <row r="45" spans="3:11" x14ac:dyDescent="0.3">
      <c r="D45" t="s">
        <v>249</v>
      </c>
    </row>
    <row r="46" spans="3:11" x14ac:dyDescent="0.3">
      <c r="D46" t="s">
        <v>250</v>
      </c>
    </row>
    <row r="47" spans="3:11" x14ac:dyDescent="0.3">
      <c r="D47" t="s">
        <v>251</v>
      </c>
    </row>
    <row r="48" spans="3:11" x14ac:dyDescent="0.3">
      <c r="D48" t="s">
        <v>252</v>
      </c>
    </row>
    <row r="49" spans="3:4" x14ac:dyDescent="0.3">
      <c r="C49" t="s">
        <v>172</v>
      </c>
      <c r="D49" t="s">
        <v>253</v>
      </c>
    </row>
    <row r="50" spans="3:4" x14ac:dyDescent="0.3">
      <c r="D50" t="s">
        <v>254</v>
      </c>
    </row>
    <row r="51" spans="3:4" x14ac:dyDescent="0.3">
      <c r="D51" t="s">
        <v>255</v>
      </c>
    </row>
    <row r="52" spans="3:4" x14ac:dyDescent="0.3">
      <c r="D52" t="s">
        <v>258</v>
      </c>
    </row>
    <row r="53" spans="3:4" x14ac:dyDescent="0.3">
      <c r="D53" t="s">
        <v>256</v>
      </c>
    </row>
    <row r="54" spans="3:4" x14ac:dyDescent="0.3">
      <c r="D54" t="s">
        <v>257</v>
      </c>
    </row>
    <row r="55" spans="3:4" x14ac:dyDescent="0.3">
      <c r="D55" t="s">
        <v>259</v>
      </c>
    </row>
    <row r="56" spans="3:4" x14ac:dyDescent="0.3">
      <c r="D56" t="s">
        <v>260</v>
      </c>
    </row>
    <row r="57" spans="3:4" x14ac:dyDescent="0.3">
      <c r="D57" t="s">
        <v>261</v>
      </c>
    </row>
    <row r="58" spans="3:4" x14ac:dyDescent="0.3">
      <c r="D58" t="s">
        <v>263</v>
      </c>
    </row>
    <row r="59" spans="3:4" x14ac:dyDescent="0.3">
      <c r="D59" t="s">
        <v>272</v>
      </c>
    </row>
    <row r="60" spans="3:4" x14ac:dyDescent="0.3">
      <c r="C60" t="s">
        <v>187</v>
      </c>
      <c r="D60" t="s">
        <v>264</v>
      </c>
    </row>
    <row r="61" spans="3:4" x14ac:dyDescent="0.3">
      <c r="D61" t="s">
        <v>262</v>
      </c>
    </row>
    <row r="62" spans="3:4" x14ac:dyDescent="0.3">
      <c r="D62" t="s">
        <v>252</v>
      </c>
    </row>
    <row r="63" spans="3:4" x14ac:dyDescent="0.3">
      <c r="D63" t="s">
        <v>265</v>
      </c>
    </row>
    <row r="64" spans="3:4" x14ac:dyDescent="0.3">
      <c r="D64" t="s">
        <v>266</v>
      </c>
    </row>
    <row r="65" spans="3:4" x14ac:dyDescent="0.3">
      <c r="D65" t="s">
        <v>267</v>
      </c>
    </row>
    <row r="66" spans="3:4" x14ac:dyDescent="0.3">
      <c r="D66" t="s">
        <v>268</v>
      </c>
    </row>
    <row r="67" spans="3:4" x14ac:dyDescent="0.3">
      <c r="C67" t="s">
        <v>182</v>
      </c>
      <c r="D67" t="s">
        <v>269</v>
      </c>
    </row>
    <row r="68" spans="3:4" x14ac:dyDescent="0.3">
      <c r="D68" t="s">
        <v>270</v>
      </c>
    </row>
    <row r="69" spans="3:4" x14ac:dyDescent="0.3">
      <c r="D69" t="s">
        <v>271</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43" zoomScaleNormal="100" workbookViewId="0">
      <selection activeCell="C57" sqref="C57"/>
    </sheetView>
  </sheetViews>
  <sheetFormatPr defaultRowHeight="14.4" x14ac:dyDescent="0.3"/>
  <cols>
    <col min="2" max="2" width="3" bestFit="1" customWidth="1"/>
    <col min="3" max="3" width="155.33203125" customWidth="1"/>
  </cols>
  <sheetData>
    <row r="2" spans="2:3" ht="15" customHeight="1" x14ac:dyDescent="0.3">
      <c r="B2" s="51">
        <v>1</v>
      </c>
      <c r="C2" s="53" t="s">
        <v>277</v>
      </c>
    </row>
    <row r="3" spans="2:3" x14ac:dyDescent="0.3">
      <c r="B3" s="51">
        <v>2</v>
      </c>
      <c r="C3" s="52" t="s">
        <v>278</v>
      </c>
    </row>
    <row r="4" spans="2:3" x14ac:dyDescent="0.3">
      <c r="B4" s="51">
        <v>3</v>
      </c>
      <c r="C4" s="51" t="s">
        <v>279</v>
      </c>
    </row>
    <row r="5" spans="2:3" x14ac:dyDescent="0.3">
      <c r="B5" s="51">
        <v>4</v>
      </c>
      <c r="C5" s="52" t="s">
        <v>280</v>
      </c>
    </row>
    <row r="6" spans="2:3" x14ac:dyDescent="0.3">
      <c r="B6" s="51">
        <v>5</v>
      </c>
      <c r="C6" s="51" t="s">
        <v>281</v>
      </c>
    </row>
    <row r="7" spans="2:3" x14ac:dyDescent="0.3">
      <c r="B7" s="51">
        <v>6</v>
      </c>
      <c r="C7" s="52" t="s">
        <v>282</v>
      </c>
    </row>
    <row r="8" spans="2:3" ht="72" x14ac:dyDescent="0.3">
      <c r="B8" s="51">
        <v>7</v>
      </c>
      <c r="C8" s="52" t="s">
        <v>283</v>
      </c>
    </row>
    <row r="9" spans="2:3" x14ac:dyDescent="0.3">
      <c r="B9" s="51">
        <v>8</v>
      </c>
      <c r="C9" s="51" t="s">
        <v>284</v>
      </c>
    </row>
    <row r="10" spans="2:3" x14ac:dyDescent="0.3">
      <c r="B10" s="51">
        <v>9</v>
      </c>
      <c r="C10" s="51" t="s">
        <v>285</v>
      </c>
    </row>
    <row r="11" spans="2:3" x14ac:dyDescent="0.3">
      <c r="B11" s="51">
        <v>10</v>
      </c>
      <c r="C11" s="51" t="s">
        <v>286</v>
      </c>
    </row>
    <row r="12" spans="2:3" x14ac:dyDescent="0.3">
      <c r="B12" s="51">
        <v>11</v>
      </c>
      <c r="C12" s="51" t="s">
        <v>287</v>
      </c>
    </row>
    <row r="13" spans="2:3" x14ac:dyDescent="0.3">
      <c r="B13" s="51">
        <v>12</v>
      </c>
      <c r="C13" s="51" t="s">
        <v>288</v>
      </c>
    </row>
    <row r="14" spans="2:3" x14ac:dyDescent="0.3">
      <c r="B14" s="51">
        <v>13</v>
      </c>
      <c r="C14" s="51" t="s">
        <v>289</v>
      </c>
    </row>
    <row r="15" spans="2:3" x14ac:dyDescent="0.3">
      <c r="B15" s="51">
        <v>14</v>
      </c>
      <c r="C15" s="51" t="s">
        <v>279</v>
      </c>
    </row>
    <row r="16" spans="2:3" x14ac:dyDescent="0.3">
      <c r="B16" s="51">
        <v>15</v>
      </c>
      <c r="C16" s="51" t="s">
        <v>291</v>
      </c>
    </row>
    <row r="17" spans="2:3" x14ac:dyDescent="0.3">
      <c r="B17" s="69">
        <v>16</v>
      </c>
      <c r="C17" s="56" t="s">
        <v>292</v>
      </c>
    </row>
    <row r="18" spans="2:3" x14ac:dyDescent="0.3">
      <c r="B18" s="55">
        <v>17</v>
      </c>
      <c r="C18" s="56" t="s">
        <v>293</v>
      </c>
    </row>
    <row r="19" spans="2:3" x14ac:dyDescent="0.3">
      <c r="B19" s="54">
        <v>18</v>
      </c>
      <c r="C19" s="51" t="s">
        <v>294</v>
      </c>
    </row>
    <row r="20" spans="2:3" x14ac:dyDescent="0.3">
      <c r="B20" s="55">
        <v>19</v>
      </c>
      <c r="C20" s="51" t="s">
        <v>330</v>
      </c>
    </row>
    <row r="21" spans="2:3" x14ac:dyDescent="0.3">
      <c r="B21" s="51">
        <v>20</v>
      </c>
      <c r="C21" s="51" t="s">
        <v>295</v>
      </c>
    </row>
    <row r="22" spans="2:3" x14ac:dyDescent="0.3">
      <c r="B22" s="55">
        <v>21</v>
      </c>
      <c r="C22" s="51" t="s">
        <v>294</v>
      </c>
    </row>
    <row r="23" spans="2:3" s="64" customFormat="1" ht="29.25" customHeight="1" x14ac:dyDescent="0.3">
      <c r="B23" s="63">
        <v>22</v>
      </c>
      <c r="C23" s="53" t="s">
        <v>322</v>
      </c>
    </row>
    <row r="24" spans="2:3" s="64" customFormat="1" ht="30.75" customHeight="1" x14ac:dyDescent="0.3">
      <c r="B24" s="65">
        <v>23</v>
      </c>
      <c r="C24" s="53" t="s">
        <v>323</v>
      </c>
    </row>
    <row r="25" spans="2:3" x14ac:dyDescent="0.3">
      <c r="B25" s="51">
        <v>24</v>
      </c>
      <c r="C25" s="51" t="s">
        <v>326</v>
      </c>
    </row>
    <row r="26" spans="2:3" x14ac:dyDescent="0.3">
      <c r="B26" s="55">
        <v>25</v>
      </c>
      <c r="C26" s="51" t="s">
        <v>324</v>
      </c>
    </row>
    <row r="27" spans="2:3" x14ac:dyDescent="0.3">
      <c r="B27" s="65">
        <v>26</v>
      </c>
      <c r="C27" s="51" t="s">
        <v>325</v>
      </c>
    </row>
    <row r="28" spans="2:3" x14ac:dyDescent="0.3">
      <c r="B28" s="55">
        <v>27</v>
      </c>
      <c r="C28" s="51" t="s">
        <v>327</v>
      </c>
    </row>
    <row r="29" spans="2:3" ht="43.2" x14ac:dyDescent="0.3">
      <c r="B29" s="68">
        <v>28</v>
      </c>
      <c r="C29" s="52" t="s">
        <v>328</v>
      </c>
    </row>
    <row r="30" spans="2:3" x14ac:dyDescent="0.3">
      <c r="B30" s="65">
        <v>29</v>
      </c>
      <c r="C30" s="51" t="s">
        <v>329</v>
      </c>
    </row>
    <row r="31" spans="2:3" ht="28.8" x14ac:dyDescent="0.3">
      <c r="B31" s="65">
        <v>30</v>
      </c>
      <c r="C31" s="52" t="s">
        <v>331</v>
      </c>
    </row>
    <row r="32" spans="2:3" x14ac:dyDescent="0.3">
      <c r="B32" s="65">
        <v>31</v>
      </c>
      <c r="C32" s="51" t="s">
        <v>332</v>
      </c>
    </row>
    <row r="33" spans="2:4" x14ac:dyDescent="0.3">
      <c r="B33" s="65">
        <v>32</v>
      </c>
      <c r="C33" s="51" t="s">
        <v>333</v>
      </c>
    </row>
    <row r="34" spans="2:4" ht="36.75" customHeight="1" x14ac:dyDescent="0.3">
      <c r="B34" s="65">
        <v>33</v>
      </c>
      <c r="C34" s="56" t="s">
        <v>334</v>
      </c>
    </row>
    <row r="35" spans="2:4" x14ac:dyDescent="0.3">
      <c r="B35" s="63">
        <v>34</v>
      </c>
      <c r="C35" s="51" t="s">
        <v>342</v>
      </c>
    </row>
    <row r="36" spans="2:4" ht="57.6" x14ac:dyDescent="0.3">
      <c r="B36" s="63">
        <v>35</v>
      </c>
      <c r="C36" s="52" t="s">
        <v>346</v>
      </c>
    </row>
    <row r="37" spans="2:4" x14ac:dyDescent="0.3">
      <c r="B37" s="51">
        <v>36</v>
      </c>
      <c r="C37" s="52" t="s">
        <v>357</v>
      </c>
    </row>
    <row r="38" spans="2:4" x14ac:dyDescent="0.3">
      <c r="B38" s="51">
        <f t="shared" ref="B38:B44" si="0">B37+1</f>
        <v>37</v>
      </c>
      <c r="C38" s="51" t="s">
        <v>353</v>
      </c>
    </row>
    <row r="39" spans="2:4" x14ac:dyDescent="0.3">
      <c r="B39" s="51">
        <f t="shared" si="0"/>
        <v>38</v>
      </c>
      <c r="C39" s="51" t="s">
        <v>354</v>
      </c>
    </row>
    <row r="40" spans="2:4" x14ac:dyDescent="0.3">
      <c r="B40" s="51">
        <f t="shared" si="0"/>
        <v>39</v>
      </c>
      <c r="C40" s="51" t="s">
        <v>355</v>
      </c>
    </row>
    <row r="41" spans="2:4" x14ac:dyDescent="0.3">
      <c r="B41" s="51">
        <f t="shared" si="0"/>
        <v>40</v>
      </c>
      <c r="C41" s="51" t="s">
        <v>356</v>
      </c>
    </row>
    <row r="42" spans="2:4" ht="29.4" thickBot="1" x14ac:dyDescent="0.35">
      <c r="B42" s="72">
        <f t="shared" si="0"/>
        <v>41</v>
      </c>
      <c r="C42" s="73" t="s">
        <v>358</v>
      </c>
    </row>
    <row r="43" spans="2:4" ht="28.8" x14ac:dyDescent="0.3">
      <c r="B43" s="76">
        <f t="shared" si="0"/>
        <v>42</v>
      </c>
      <c r="C43" s="81" t="s">
        <v>363</v>
      </c>
      <c r="D43" t="s">
        <v>364</v>
      </c>
    </row>
    <row r="44" spans="2:4" ht="15" thickBot="1" x14ac:dyDescent="0.35">
      <c r="B44" s="78">
        <f t="shared" si="0"/>
        <v>43</v>
      </c>
      <c r="C44" s="80" t="s">
        <v>359</v>
      </c>
    </row>
    <row r="45" spans="2:4" ht="15" thickBot="1" x14ac:dyDescent="0.35">
      <c r="B45" s="74">
        <f t="shared" ref="B45:B54" si="1">B44+1</f>
        <v>44</v>
      </c>
      <c r="C45" s="75" t="s">
        <v>360</v>
      </c>
    </row>
    <row r="46" spans="2:4" ht="28.8" x14ac:dyDescent="0.3">
      <c r="B46" s="76">
        <f t="shared" si="1"/>
        <v>45</v>
      </c>
      <c r="C46" s="77" t="s">
        <v>361</v>
      </c>
    </row>
    <row r="47" spans="2:4" ht="15" thickBot="1" x14ac:dyDescent="0.35">
      <c r="B47" s="78">
        <f t="shared" si="1"/>
        <v>46</v>
      </c>
      <c r="C47" s="79" t="s">
        <v>362</v>
      </c>
    </row>
    <row r="48" spans="2:4" x14ac:dyDescent="0.3">
      <c r="B48" s="82">
        <f t="shared" si="1"/>
        <v>47</v>
      </c>
      <c r="C48" s="83" t="s">
        <v>365</v>
      </c>
    </row>
    <row r="49" spans="2:6" x14ac:dyDescent="0.3">
      <c r="B49" s="82">
        <f t="shared" si="1"/>
        <v>48</v>
      </c>
      <c r="C49" s="83" t="s">
        <v>366</v>
      </c>
    </row>
    <row r="50" spans="2:6" x14ac:dyDescent="0.3">
      <c r="B50" s="82">
        <f t="shared" si="1"/>
        <v>49</v>
      </c>
      <c r="C50" s="83" t="s">
        <v>368</v>
      </c>
      <c r="D50" t="s">
        <v>367</v>
      </c>
    </row>
    <row r="51" spans="2:6" ht="28.8" x14ac:dyDescent="0.3">
      <c r="B51" s="84">
        <f t="shared" si="1"/>
        <v>50</v>
      </c>
      <c r="C51" s="85" t="s">
        <v>369</v>
      </c>
    </row>
    <row r="52" spans="2:6" x14ac:dyDescent="0.3">
      <c r="B52" s="84">
        <f t="shared" si="1"/>
        <v>51</v>
      </c>
      <c r="C52" s="86" t="s">
        <v>372</v>
      </c>
      <c r="D52" t="s">
        <v>373</v>
      </c>
    </row>
    <row r="53" spans="2:6" x14ac:dyDescent="0.3">
      <c r="B53" s="84">
        <f t="shared" si="1"/>
        <v>52</v>
      </c>
      <c r="C53" s="86" t="s">
        <v>375</v>
      </c>
      <c r="D53" t="s">
        <v>376</v>
      </c>
    </row>
    <row r="54" spans="2:6" ht="28.8" x14ac:dyDescent="0.3">
      <c r="B54" s="84">
        <f t="shared" si="1"/>
        <v>53</v>
      </c>
      <c r="C54" s="56" t="s">
        <v>380</v>
      </c>
      <c r="D54" t="s">
        <v>379</v>
      </c>
    </row>
    <row r="55" spans="2:6" ht="28.8" x14ac:dyDescent="0.3">
      <c r="B55">
        <v>54</v>
      </c>
      <c r="C55" s="88" t="s">
        <v>381</v>
      </c>
      <c r="D55" s="257" t="s">
        <v>382</v>
      </c>
      <c r="E55" s="258"/>
      <c r="F55" s="258"/>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8"/>
    <col min="2" max="2" width="12.33203125" style="48" customWidth="1"/>
    <col min="3" max="16384" width="9.109375" style="48"/>
  </cols>
  <sheetData>
    <row r="2" spans="1:12" x14ac:dyDescent="0.3">
      <c r="B2" s="57" t="s">
        <v>296</v>
      </c>
      <c r="C2" s="259"/>
      <c r="D2" s="259"/>
    </row>
    <row r="3" spans="1:12" x14ac:dyDescent="0.3">
      <c r="D3" s="58"/>
      <c r="E3" s="58"/>
      <c r="F3" s="58"/>
      <c r="G3" s="58"/>
      <c r="H3" s="58"/>
      <c r="I3" s="58"/>
    </row>
    <row r="4" spans="1:12" x14ac:dyDescent="0.3">
      <c r="A4" s="57" t="s">
        <v>65</v>
      </c>
      <c r="B4" s="59" t="s">
        <v>297</v>
      </c>
      <c r="C4" s="260" t="s">
        <v>298</v>
      </c>
      <c r="D4" s="260"/>
      <c r="E4" s="260"/>
      <c r="F4" s="59"/>
      <c r="G4" s="261" t="s">
        <v>299</v>
      </c>
      <c r="H4" s="261"/>
      <c r="I4" s="261"/>
      <c r="J4" s="262" t="s">
        <v>300</v>
      </c>
      <c r="K4" s="262"/>
      <c r="L4" s="262"/>
    </row>
    <row r="5" spans="1:12" x14ac:dyDescent="0.3">
      <c r="A5" s="57"/>
      <c r="B5" s="59"/>
      <c r="C5" s="59" t="s">
        <v>301</v>
      </c>
      <c r="D5" s="59" t="s">
        <v>302</v>
      </c>
      <c r="E5" s="59" t="s">
        <v>303</v>
      </c>
      <c r="F5" s="59"/>
      <c r="G5" s="59" t="s">
        <v>301</v>
      </c>
      <c r="H5" s="59" t="s">
        <v>302</v>
      </c>
      <c r="I5" s="59" t="s">
        <v>303</v>
      </c>
      <c r="J5" s="59" t="s">
        <v>301</v>
      </c>
      <c r="K5" s="59" t="s">
        <v>302</v>
      </c>
      <c r="L5" s="59" t="s">
        <v>303</v>
      </c>
    </row>
    <row r="6" spans="1:12" x14ac:dyDescent="0.3">
      <c r="B6" s="49" t="s">
        <v>304</v>
      </c>
      <c r="C6" s="49"/>
      <c r="D6" s="49"/>
      <c r="E6" s="49">
        <f>C6*D6</f>
        <v>0</v>
      </c>
      <c r="F6" s="49" t="s">
        <v>321</v>
      </c>
      <c r="G6" s="49"/>
      <c r="H6" s="49"/>
      <c r="I6" s="49">
        <f>G6*H6</f>
        <v>0</v>
      </c>
      <c r="J6" s="49"/>
      <c r="K6" s="49"/>
      <c r="L6" s="49">
        <f>J6*K6</f>
        <v>0</v>
      </c>
    </row>
    <row r="7" spans="1:12" x14ac:dyDescent="0.3">
      <c r="B7" s="49"/>
      <c r="C7" s="49"/>
      <c r="D7" s="49"/>
      <c r="E7" s="49">
        <f t="shared" ref="E7:E41" si="0">C7*D7</f>
        <v>0</v>
      </c>
      <c r="F7" s="49" t="s">
        <v>321</v>
      </c>
      <c r="G7" s="49"/>
      <c r="H7" s="49"/>
      <c r="I7" s="49">
        <f t="shared" ref="I7:I35" si="1">G7*H7</f>
        <v>0</v>
      </c>
      <c r="J7" s="49"/>
      <c r="K7" s="49"/>
      <c r="L7" s="49">
        <f t="shared" ref="L7:L35" si="2">J7*K7</f>
        <v>0</v>
      </c>
    </row>
    <row r="8" spans="1:12" x14ac:dyDescent="0.3">
      <c r="B8" s="49"/>
      <c r="C8" s="49"/>
      <c r="D8" s="49"/>
      <c r="E8" s="49">
        <f t="shared" si="0"/>
        <v>0</v>
      </c>
      <c r="F8" s="49"/>
      <c r="G8" s="49"/>
      <c r="H8" s="49"/>
      <c r="I8" s="49">
        <f t="shared" si="1"/>
        <v>0</v>
      </c>
      <c r="J8" s="49"/>
      <c r="K8" s="49"/>
      <c r="L8" s="49">
        <f t="shared" si="2"/>
        <v>0</v>
      </c>
    </row>
    <row r="9" spans="1:12" x14ac:dyDescent="0.3">
      <c r="B9" s="49"/>
      <c r="C9" s="49"/>
      <c r="D9" s="49"/>
      <c r="E9" s="49">
        <f t="shared" si="0"/>
        <v>0</v>
      </c>
      <c r="F9" s="49" t="s">
        <v>305</v>
      </c>
      <c r="G9" s="49"/>
      <c r="H9" s="49"/>
      <c r="I9" s="49">
        <f t="shared" si="1"/>
        <v>0</v>
      </c>
      <c r="J9" s="49"/>
      <c r="K9" s="49"/>
      <c r="L9" s="49">
        <f t="shared" si="2"/>
        <v>0</v>
      </c>
    </row>
    <row r="10" spans="1:12" x14ac:dyDescent="0.3">
      <c r="B10" s="49" t="s">
        <v>306</v>
      </c>
      <c r="C10" s="49"/>
      <c r="D10" s="49"/>
      <c r="E10" s="49">
        <f t="shared" si="0"/>
        <v>0</v>
      </c>
      <c r="F10" s="49" t="s">
        <v>305</v>
      </c>
      <c r="G10" s="49"/>
      <c r="H10" s="49"/>
      <c r="I10" s="49">
        <f t="shared" si="1"/>
        <v>0</v>
      </c>
      <c r="J10" s="49"/>
      <c r="K10" s="49"/>
      <c r="L10" s="49">
        <f t="shared" si="2"/>
        <v>0</v>
      </c>
    </row>
    <row r="11" spans="1:12" x14ac:dyDescent="0.3">
      <c r="B11" s="49"/>
      <c r="C11" s="49"/>
      <c r="D11" s="49"/>
      <c r="E11" s="49">
        <f t="shared" si="0"/>
        <v>0</v>
      </c>
      <c r="F11" s="49" t="s">
        <v>307</v>
      </c>
      <c r="G11" s="49"/>
      <c r="H11" s="49"/>
      <c r="I11" s="49">
        <f t="shared" si="1"/>
        <v>0</v>
      </c>
      <c r="J11" s="49"/>
      <c r="K11" s="49"/>
      <c r="L11" s="49">
        <f t="shared" si="2"/>
        <v>0</v>
      </c>
    </row>
    <row r="12" spans="1:12" x14ac:dyDescent="0.3">
      <c r="B12" s="49"/>
      <c r="C12" s="49"/>
      <c r="D12" s="49"/>
      <c r="E12" s="49">
        <f t="shared" si="0"/>
        <v>0</v>
      </c>
      <c r="F12" s="49"/>
      <c r="G12" s="49"/>
      <c r="H12" s="49"/>
      <c r="I12" s="49">
        <f t="shared" si="1"/>
        <v>0</v>
      </c>
      <c r="J12" s="49"/>
      <c r="K12" s="49"/>
      <c r="L12" s="49">
        <f t="shared" si="2"/>
        <v>0</v>
      </c>
    </row>
    <row r="13" spans="1:12" x14ac:dyDescent="0.3">
      <c r="B13" s="49"/>
      <c r="C13" s="49"/>
      <c r="D13" s="49"/>
      <c r="E13" s="49">
        <f t="shared" si="0"/>
        <v>0</v>
      </c>
      <c r="F13" s="49"/>
      <c r="G13" s="49"/>
      <c r="H13" s="49"/>
      <c r="I13" s="49">
        <f t="shared" si="1"/>
        <v>0</v>
      </c>
      <c r="J13" s="49"/>
      <c r="K13" s="49"/>
      <c r="L13" s="49">
        <f t="shared" si="2"/>
        <v>0</v>
      </c>
    </row>
    <row r="14" spans="1:12" x14ac:dyDescent="0.3">
      <c r="B14" s="49" t="s">
        <v>308</v>
      </c>
      <c r="C14" s="49"/>
      <c r="D14" s="49"/>
      <c r="E14" s="49">
        <f t="shared" si="0"/>
        <v>0</v>
      </c>
      <c r="F14" s="49" t="s">
        <v>305</v>
      </c>
      <c r="G14" s="49"/>
      <c r="H14" s="49"/>
      <c r="I14" s="49">
        <f t="shared" si="1"/>
        <v>0</v>
      </c>
      <c r="J14" s="49"/>
      <c r="K14" s="49"/>
      <c r="L14" s="49">
        <f t="shared" si="2"/>
        <v>0</v>
      </c>
    </row>
    <row r="15" spans="1:12" x14ac:dyDescent="0.3">
      <c r="B15" s="49"/>
      <c r="C15" s="49"/>
      <c r="D15" s="49"/>
      <c r="E15" s="49">
        <f t="shared" si="0"/>
        <v>0</v>
      </c>
      <c r="F15" s="49" t="s">
        <v>307</v>
      </c>
      <c r="G15" s="49"/>
      <c r="H15" s="49"/>
      <c r="I15" s="49">
        <f t="shared" si="1"/>
        <v>0</v>
      </c>
      <c r="J15" s="49"/>
      <c r="K15" s="49"/>
      <c r="L15" s="49">
        <f t="shared" si="2"/>
        <v>0</v>
      </c>
    </row>
    <row r="16" spans="1:12" x14ac:dyDescent="0.3">
      <c r="B16" s="49"/>
      <c r="C16" s="49"/>
      <c r="D16" s="49"/>
      <c r="E16" s="49">
        <f t="shared" si="0"/>
        <v>0</v>
      </c>
      <c r="F16" s="49"/>
      <c r="G16" s="49"/>
      <c r="H16" s="49"/>
      <c r="I16" s="49">
        <f t="shared" si="1"/>
        <v>0</v>
      </c>
      <c r="J16" s="49"/>
      <c r="K16" s="49"/>
      <c r="L16" s="49">
        <f t="shared" si="2"/>
        <v>0</v>
      </c>
    </row>
    <row r="17" spans="2:12" x14ac:dyDescent="0.3">
      <c r="B17" s="49"/>
      <c r="C17" s="49"/>
      <c r="D17" s="49"/>
      <c r="E17" s="49">
        <f t="shared" si="0"/>
        <v>0</v>
      </c>
      <c r="F17" s="49"/>
      <c r="G17" s="49"/>
      <c r="H17" s="49"/>
      <c r="I17" s="49">
        <f t="shared" si="1"/>
        <v>0</v>
      </c>
      <c r="J17" s="49"/>
      <c r="K17" s="49"/>
      <c r="L17" s="49">
        <f t="shared" si="2"/>
        <v>0</v>
      </c>
    </row>
    <row r="18" spans="2:12" x14ac:dyDescent="0.3">
      <c r="B18" s="49" t="s">
        <v>309</v>
      </c>
      <c r="C18" s="49"/>
      <c r="D18" s="49"/>
      <c r="E18" s="49">
        <f t="shared" si="0"/>
        <v>0</v>
      </c>
      <c r="F18" s="49" t="s">
        <v>305</v>
      </c>
      <c r="G18" s="49"/>
      <c r="H18" s="49"/>
      <c r="I18" s="49">
        <f t="shared" si="1"/>
        <v>0</v>
      </c>
      <c r="J18" s="49"/>
      <c r="K18" s="49"/>
      <c r="L18" s="49">
        <f t="shared" si="2"/>
        <v>0</v>
      </c>
    </row>
    <row r="19" spans="2:12" x14ac:dyDescent="0.3">
      <c r="B19" s="49"/>
      <c r="C19" s="49"/>
      <c r="D19" s="49"/>
      <c r="E19" s="49">
        <f t="shared" si="0"/>
        <v>0</v>
      </c>
      <c r="F19" s="49" t="s">
        <v>307</v>
      </c>
      <c r="G19" s="49"/>
      <c r="H19" s="49"/>
      <c r="I19" s="49">
        <f t="shared" si="1"/>
        <v>0</v>
      </c>
      <c r="J19" s="49"/>
      <c r="K19" s="49"/>
      <c r="L19" s="49">
        <f t="shared" si="2"/>
        <v>0</v>
      </c>
    </row>
    <row r="20" spans="2:12" x14ac:dyDescent="0.3">
      <c r="B20" s="49"/>
      <c r="C20" s="49"/>
      <c r="D20" s="49"/>
      <c r="E20" s="49">
        <f t="shared" si="0"/>
        <v>0</v>
      </c>
      <c r="F20" s="49"/>
      <c r="G20" s="49"/>
      <c r="H20" s="49"/>
      <c r="I20" s="49">
        <f t="shared" si="1"/>
        <v>0</v>
      </c>
      <c r="J20" s="49"/>
      <c r="K20" s="49"/>
      <c r="L20" s="49">
        <f t="shared" si="2"/>
        <v>0</v>
      </c>
    </row>
    <row r="21" spans="2:12" x14ac:dyDescent="0.3">
      <c r="B21" s="49" t="s">
        <v>310</v>
      </c>
      <c r="C21" s="49"/>
      <c r="D21" s="49"/>
      <c r="E21" s="49">
        <f t="shared" si="0"/>
        <v>0</v>
      </c>
      <c r="F21" s="49" t="s">
        <v>305</v>
      </c>
      <c r="G21" s="49"/>
      <c r="H21" s="49"/>
      <c r="I21" s="49">
        <f t="shared" si="1"/>
        <v>0</v>
      </c>
      <c r="J21" s="49"/>
      <c r="K21" s="49"/>
      <c r="L21" s="49">
        <f t="shared" si="2"/>
        <v>0</v>
      </c>
    </row>
    <row r="22" spans="2:12" x14ac:dyDescent="0.3">
      <c r="B22" s="49"/>
      <c r="C22" s="49"/>
      <c r="D22" s="49"/>
      <c r="E22" s="49">
        <f t="shared" si="0"/>
        <v>0</v>
      </c>
      <c r="F22" s="49" t="s">
        <v>307</v>
      </c>
      <c r="G22" s="49"/>
      <c r="H22" s="49"/>
      <c r="I22" s="49">
        <f t="shared" si="1"/>
        <v>0</v>
      </c>
      <c r="J22" s="49"/>
      <c r="K22" s="49"/>
      <c r="L22" s="49">
        <f t="shared" si="2"/>
        <v>0</v>
      </c>
    </row>
    <row r="23" spans="2:12" x14ac:dyDescent="0.3">
      <c r="B23" s="49"/>
      <c r="C23" s="49"/>
      <c r="D23" s="49"/>
      <c r="E23" s="49">
        <f t="shared" si="0"/>
        <v>0</v>
      </c>
      <c r="F23" s="49"/>
      <c r="G23" s="49"/>
      <c r="H23" s="49"/>
      <c r="I23" s="49">
        <f t="shared" si="1"/>
        <v>0</v>
      </c>
      <c r="J23" s="49"/>
      <c r="K23" s="49"/>
      <c r="L23" s="49">
        <f t="shared" si="2"/>
        <v>0</v>
      </c>
    </row>
    <row r="24" spans="2:12" x14ac:dyDescent="0.3">
      <c r="B24" s="49" t="s">
        <v>311</v>
      </c>
      <c r="C24" s="49"/>
      <c r="D24" s="49"/>
      <c r="E24" s="49">
        <f t="shared" si="0"/>
        <v>0</v>
      </c>
      <c r="F24" s="49" t="s">
        <v>312</v>
      </c>
      <c r="G24" s="49"/>
      <c r="H24" s="49"/>
      <c r="I24" s="49">
        <f t="shared" si="1"/>
        <v>0</v>
      </c>
      <c r="J24" s="49"/>
      <c r="K24" s="49"/>
      <c r="L24" s="49">
        <f t="shared" si="2"/>
        <v>0</v>
      </c>
    </row>
    <row r="25" spans="2:12" x14ac:dyDescent="0.3">
      <c r="B25" s="49"/>
      <c r="C25" s="49"/>
      <c r="D25" s="49"/>
      <c r="E25" s="49">
        <f>C25*D25</f>
        <v>0</v>
      </c>
      <c r="F25" s="49" t="s">
        <v>312</v>
      </c>
      <c r="G25" s="49"/>
      <c r="H25" s="49"/>
      <c r="I25" s="49">
        <f>G25*H25</f>
        <v>0</v>
      </c>
      <c r="J25" s="49"/>
      <c r="K25" s="49"/>
      <c r="L25" s="49">
        <f>J25*K25</f>
        <v>0</v>
      </c>
    </row>
    <row r="26" spans="2:12" x14ac:dyDescent="0.3">
      <c r="B26" s="49"/>
      <c r="C26" s="49"/>
      <c r="D26" s="49"/>
      <c r="E26" s="49">
        <f>C26*D26</f>
        <v>0</v>
      </c>
      <c r="F26" s="49" t="s">
        <v>312</v>
      </c>
      <c r="G26" s="49"/>
      <c r="H26" s="49"/>
      <c r="I26" s="49">
        <f>G26*H26</f>
        <v>0</v>
      </c>
      <c r="J26" s="49"/>
      <c r="K26" s="49"/>
      <c r="L26" s="49">
        <f>J26*K26</f>
        <v>0</v>
      </c>
    </row>
    <row r="27" spans="2:12" x14ac:dyDescent="0.3">
      <c r="B27" s="49"/>
      <c r="C27" s="49"/>
      <c r="D27" s="49"/>
      <c r="E27" s="49">
        <f>C27*D27</f>
        <v>0</v>
      </c>
      <c r="F27" s="49" t="s">
        <v>312</v>
      </c>
      <c r="G27" s="49"/>
      <c r="H27" s="49"/>
      <c r="I27" s="49">
        <f>G27*H27</f>
        <v>0</v>
      </c>
      <c r="J27" s="49"/>
      <c r="K27" s="49"/>
      <c r="L27" s="49">
        <f>J27*K27</f>
        <v>0</v>
      </c>
    </row>
    <row r="28" spans="2:12" x14ac:dyDescent="0.3">
      <c r="B28" s="49" t="s">
        <v>313</v>
      </c>
      <c r="C28" s="49"/>
      <c r="D28" s="49"/>
      <c r="E28" s="49">
        <f t="shared" si="0"/>
        <v>0</v>
      </c>
      <c r="F28" s="49" t="s">
        <v>312</v>
      </c>
      <c r="G28" s="49"/>
      <c r="H28" s="49"/>
      <c r="I28" s="49">
        <f t="shared" si="1"/>
        <v>0</v>
      </c>
      <c r="J28" s="49"/>
      <c r="K28" s="49"/>
      <c r="L28" s="49">
        <f t="shared" si="2"/>
        <v>0</v>
      </c>
    </row>
    <row r="29" spans="2:12" x14ac:dyDescent="0.3">
      <c r="B29" s="49" t="s">
        <v>314</v>
      </c>
      <c r="C29" s="49"/>
      <c r="D29" s="49"/>
      <c r="E29" s="49">
        <f t="shared" si="0"/>
        <v>0</v>
      </c>
      <c r="F29" s="49" t="s">
        <v>312</v>
      </c>
      <c r="G29" s="49"/>
      <c r="H29" s="49"/>
      <c r="I29" s="49">
        <f t="shared" si="1"/>
        <v>0</v>
      </c>
      <c r="J29" s="49"/>
      <c r="K29" s="49"/>
      <c r="L29" s="49">
        <f t="shared" si="2"/>
        <v>0</v>
      </c>
    </row>
    <row r="30" spans="2:12" x14ac:dyDescent="0.3">
      <c r="B30" s="49" t="s">
        <v>318</v>
      </c>
      <c r="C30" s="49"/>
      <c r="D30" s="49"/>
      <c r="E30" s="49">
        <f t="shared" si="0"/>
        <v>0</v>
      </c>
      <c r="F30" s="49"/>
      <c r="G30" s="49"/>
      <c r="H30" s="49"/>
      <c r="I30" s="49">
        <f t="shared" si="1"/>
        <v>0</v>
      </c>
      <c r="J30" s="49"/>
      <c r="K30" s="49"/>
      <c r="L30" s="49">
        <f t="shared" si="2"/>
        <v>0</v>
      </c>
    </row>
    <row r="31" spans="2:12" x14ac:dyDescent="0.3">
      <c r="B31" s="49"/>
      <c r="C31" s="49"/>
      <c r="D31" s="49"/>
      <c r="E31" s="49">
        <f>C31*D31</f>
        <v>0</v>
      </c>
      <c r="F31" s="49"/>
      <c r="G31" s="49"/>
      <c r="H31" s="49"/>
      <c r="I31" s="49">
        <f>G31*H31</f>
        <v>0</v>
      </c>
      <c r="J31" s="49"/>
      <c r="K31" s="49"/>
      <c r="L31" s="49">
        <f>J31*K31</f>
        <v>0</v>
      </c>
    </row>
    <row r="32" spans="2:12" x14ac:dyDescent="0.3">
      <c r="B32" s="49"/>
      <c r="C32" s="49"/>
      <c r="D32" s="49"/>
      <c r="E32" s="49">
        <f>C32*D32</f>
        <v>0</v>
      </c>
      <c r="F32" s="49"/>
      <c r="G32" s="49"/>
      <c r="H32" s="49"/>
      <c r="I32" s="49">
        <f>G32*H32</f>
        <v>0</v>
      </c>
      <c r="J32" s="49"/>
      <c r="K32" s="49"/>
      <c r="L32" s="49">
        <f>J32*K32</f>
        <v>0</v>
      </c>
    </row>
    <row r="33" spans="2:12" x14ac:dyDescent="0.3">
      <c r="B33" s="49" t="s">
        <v>315</v>
      </c>
      <c r="C33" s="49"/>
      <c r="D33" s="49"/>
      <c r="E33" s="49">
        <f t="shared" si="0"/>
        <v>0</v>
      </c>
      <c r="F33" s="49"/>
      <c r="G33" s="49"/>
      <c r="H33" s="49"/>
      <c r="I33" s="49">
        <f t="shared" si="1"/>
        <v>0</v>
      </c>
      <c r="J33" s="49"/>
      <c r="K33" s="49"/>
      <c r="L33" s="49">
        <f t="shared" si="2"/>
        <v>0</v>
      </c>
    </row>
    <row r="34" spans="2:12" x14ac:dyDescent="0.3">
      <c r="B34" s="49" t="s">
        <v>319</v>
      </c>
      <c r="C34" s="49"/>
      <c r="D34" s="49"/>
      <c r="E34" s="49">
        <f t="shared" si="0"/>
        <v>0</v>
      </c>
      <c r="F34" s="49"/>
      <c r="G34" s="49"/>
      <c r="H34" s="49"/>
      <c r="I34" s="49">
        <f t="shared" si="1"/>
        <v>0</v>
      </c>
      <c r="J34" s="49"/>
      <c r="K34" s="49"/>
      <c r="L34" s="49">
        <f t="shared" si="2"/>
        <v>0</v>
      </c>
    </row>
    <row r="35" spans="2:12" x14ac:dyDescent="0.3">
      <c r="B35" s="49" t="s">
        <v>316</v>
      </c>
      <c r="C35" s="49"/>
      <c r="D35" s="49"/>
      <c r="E35" s="49">
        <f t="shared" si="0"/>
        <v>0</v>
      </c>
      <c r="F35" s="49"/>
      <c r="G35" s="49"/>
      <c r="H35" s="49"/>
      <c r="I35" s="49">
        <f t="shared" si="1"/>
        <v>0</v>
      </c>
      <c r="J35" s="49"/>
      <c r="K35" s="49"/>
      <c r="L35" s="49">
        <f t="shared" si="2"/>
        <v>0</v>
      </c>
    </row>
    <row r="36" spans="2:12" x14ac:dyDescent="0.3">
      <c r="B36" s="49" t="s">
        <v>317</v>
      </c>
      <c r="C36" s="49"/>
      <c r="D36" s="49"/>
      <c r="E36" s="49">
        <f t="shared" si="0"/>
        <v>0</v>
      </c>
      <c r="F36" s="49"/>
      <c r="G36" s="49"/>
      <c r="H36" s="49"/>
      <c r="I36" s="49">
        <f t="shared" ref="I36:I41" si="3">G36*H36</f>
        <v>0</v>
      </c>
      <c r="J36" s="49"/>
      <c r="K36" s="49"/>
      <c r="L36" s="49">
        <f t="shared" ref="L36:L41" si="4">J36*K36</f>
        <v>0</v>
      </c>
    </row>
    <row r="37" spans="2:12" x14ac:dyDescent="0.3">
      <c r="B37" s="49"/>
      <c r="C37" s="49"/>
      <c r="D37" s="49"/>
      <c r="E37" s="49">
        <f>C37*D37</f>
        <v>0</v>
      </c>
      <c r="F37" s="49"/>
      <c r="G37" s="49"/>
      <c r="H37" s="49"/>
      <c r="I37" s="49">
        <f t="shared" si="3"/>
        <v>0</v>
      </c>
      <c r="J37" s="49"/>
      <c r="K37" s="49"/>
      <c r="L37" s="49">
        <f t="shared" si="4"/>
        <v>0</v>
      </c>
    </row>
    <row r="38" spans="2:12" x14ac:dyDescent="0.3">
      <c r="B38" s="49" t="s">
        <v>320</v>
      </c>
      <c r="C38" s="49"/>
      <c r="D38" s="49"/>
      <c r="E38" s="49">
        <f>C38*D38</f>
        <v>0</v>
      </c>
      <c r="F38" s="49"/>
      <c r="G38" s="49"/>
      <c r="H38" s="49"/>
      <c r="I38" s="49">
        <f t="shared" si="3"/>
        <v>0</v>
      </c>
      <c r="J38" s="49"/>
      <c r="K38" s="49"/>
      <c r="L38" s="49">
        <f t="shared" si="4"/>
        <v>0</v>
      </c>
    </row>
    <row r="39" spans="2:12" x14ac:dyDescent="0.3">
      <c r="B39" s="49"/>
      <c r="C39" s="49"/>
      <c r="D39" s="49"/>
      <c r="E39" s="49">
        <f t="shared" si="0"/>
        <v>0</v>
      </c>
      <c r="F39" s="49"/>
      <c r="G39" s="49"/>
      <c r="H39" s="49"/>
      <c r="I39" s="49">
        <f t="shared" si="3"/>
        <v>0</v>
      </c>
      <c r="J39" s="49"/>
      <c r="K39" s="49"/>
      <c r="L39" s="49">
        <f t="shared" si="4"/>
        <v>0</v>
      </c>
    </row>
    <row r="40" spans="2:12" x14ac:dyDescent="0.3">
      <c r="B40" s="49"/>
      <c r="C40" s="49"/>
      <c r="D40" s="49"/>
      <c r="E40" s="49">
        <f t="shared" si="0"/>
        <v>0</v>
      </c>
      <c r="F40" s="49"/>
      <c r="G40" s="49"/>
      <c r="H40" s="49"/>
      <c r="I40" s="49">
        <f t="shared" si="3"/>
        <v>0</v>
      </c>
      <c r="J40" s="49"/>
      <c r="K40" s="49"/>
      <c r="L40" s="49">
        <f t="shared" si="4"/>
        <v>0</v>
      </c>
    </row>
    <row r="41" spans="2:12" x14ac:dyDescent="0.3">
      <c r="B41" s="49"/>
      <c r="C41" s="49"/>
      <c r="D41" s="49"/>
      <c r="E41" s="49">
        <f t="shared" si="0"/>
        <v>0</v>
      </c>
      <c r="F41" s="49"/>
      <c r="G41" s="49"/>
      <c r="H41" s="49"/>
      <c r="I41" s="49">
        <f t="shared" si="3"/>
        <v>0</v>
      </c>
      <c r="J41" s="49"/>
      <c r="K41" s="49"/>
      <c r="L41" s="49">
        <f t="shared" si="4"/>
        <v>0</v>
      </c>
    </row>
    <row r="42" spans="2:12" x14ac:dyDescent="0.3">
      <c r="B42" s="49" t="s">
        <v>144</v>
      </c>
      <c r="C42" s="49"/>
      <c r="D42" s="49">
        <f>E42*10.764</f>
        <v>0</v>
      </c>
      <c r="E42" s="62">
        <f>SUM(E6:E41)</f>
        <v>0</v>
      </c>
      <c r="F42" s="49"/>
      <c r="G42" s="49"/>
      <c r="H42" s="49">
        <f>I42*10.764</f>
        <v>0</v>
      </c>
      <c r="I42" s="61">
        <f>SUM(I6:I41)</f>
        <v>0</v>
      </c>
      <c r="J42" s="49"/>
      <c r="K42" s="49">
        <f>L42*10.764</f>
        <v>0</v>
      </c>
      <c r="L42" s="60">
        <f>SUM(L6:L41)</f>
        <v>0</v>
      </c>
    </row>
    <row r="44" spans="2:12" x14ac:dyDescent="0.3">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2025-09-10T10:10:06Z</cp:lastPrinted>
  <dcterms:created xsi:type="dcterms:W3CDTF">2019-07-16T09:29:46Z</dcterms:created>
  <dcterms:modified xsi:type="dcterms:W3CDTF">2025-09-10T10:10:07Z</dcterms:modified>
</cp:coreProperties>
</file>