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Vsjadon\common drive\APF\25-26\August 2025\AXIS\NEW\Kunal\18711 - Neelkanth Palm President\"/>
    </mc:Choice>
  </mc:AlternateContent>
  <xr:revisionPtr revIDLastSave="0" documentId="13_ncr:1_{05C8A0AF-747F-4677-8575-1D6A6A53F541}" xr6:coauthVersionLast="47" xr6:coauthVersionMax="47" xr10:uidLastSave="{00000000-0000-0000-0000-000000000000}"/>
  <bookViews>
    <workbookView xWindow="-108" yWindow="-108" windowWidth="23256" windowHeight="12456" tabRatio="725" xr2:uid="{00000000-000D-0000-FFFF-FFFF00000000}"/>
  </bookViews>
  <sheets>
    <sheet name="Report" sheetId="1" r:id="rId1"/>
    <sheet name="valuation" sheetId="5" r:id="rId2"/>
    <sheet name="Research" sheetId="4" r:id="rId3"/>
    <sheet name="Remarks" sheetId="6" r:id="rId4"/>
    <sheet name="Area Calculation" sheetId="7" r:id="rId5"/>
  </sheets>
  <definedNames>
    <definedName name="_xlnm.Print_Area" localSheetId="0">Report!$A$1:$H$410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2" i="1" l="1"/>
  <c r="C144" i="1" s="1"/>
  <c r="I42" i="1"/>
  <c r="G144" i="1"/>
  <c r="G143" i="1"/>
  <c r="E143" i="1"/>
  <c r="A188" i="1"/>
  <c r="A187" i="1"/>
  <c r="A186" i="1"/>
  <c r="A197" i="1"/>
  <c r="A198" i="1" s="1"/>
  <c r="A199" i="1" s="1"/>
  <c r="A200" i="1" s="1"/>
  <c r="A196" i="1"/>
  <c r="A204" i="1"/>
  <c r="A205" i="1" s="1"/>
  <c r="A206" i="1" s="1"/>
  <c r="A207" i="1" s="1"/>
  <c r="A203" i="1"/>
  <c r="A213" i="1"/>
  <c r="A214" i="1" s="1"/>
  <c r="A212" i="1"/>
  <c r="D199" i="1"/>
  <c r="C84" i="1"/>
  <c r="A219" i="1"/>
  <c r="A220" i="1" s="1"/>
  <c r="A221" i="1" s="1"/>
  <c r="A222" i="1" s="1"/>
  <c r="A223" i="1" s="1"/>
  <c r="A224" i="1" s="1"/>
  <c r="A225" i="1" s="1"/>
  <c r="A218" i="1"/>
  <c r="L188" i="1"/>
  <c r="N158" i="1"/>
  <c r="M174" i="1"/>
  <c r="J140" i="1"/>
  <c r="I194" i="1"/>
  <c r="J139" i="1"/>
  <c r="D166" i="1"/>
  <c r="F166" i="1" s="1"/>
  <c r="H166" i="1" s="1"/>
  <c r="D171" i="1"/>
  <c r="F171" i="1" s="1"/>
  <c r="H171" i="1" s="1"/>
  <c r="D170" i="1"/>
  <c r="F170" i="1" s="1"/>
  <c r="H170" i="1" s="1"/>
  <c r="D169" i="1"/>
  <c r="D168" i="1"/>
  <c r="D167" i="1"/>
  <c r="F167" i="1" s="1"/>
  <c r="H167" i="1" s="1"/>
  <c r="D163" i="1"/>
  <c r="D162" i="1"/>
  <c r="F162" i="1" s="1"/>
  <c r="H162" i="1" s="1"/>
  <c r="D161" i="1"/>
  <c r="D160" i="1"/>
  <c r="F160" i="1" s="1"/>
  <c r="H160" i="1" s="1"/>
  <c r="D159" i="1"/>
  <c r="F159" i="1" s="1"/>
  <c r="H159" i="1" s="1"/>
  <c r="D158" i="1"/>
  <c r="D157" i="1"/>
  <c r="F157" i="1" s="1"/>
  <c r="H157" i="1" s="1"/>
  <c r="D156" i="1"/>
  <c r="F156" i="1" s="1"/>
  <c r="H156" i="1" s="1"/>
  <c r="D155" i="1"/>
  <c r="D154" i="1"/>
  <c r="D153" i="1"/>
  <c r="D152" i="1"/>
  <c r="E214" i="1"/>
  <c r="D214" i="1"/>
  <c r="E213" i="1"/>
  <c r="D213" i="1"/>
  <c r="F213" i="1" s="1"/>
  <c r="H213" i="1" s="1"/>
  <c r="E212" i="1"/>
  <c r="D212" i="1"/>
  <c r="F212" i="1" s="1"/>
  <c r="H212" i="1" s="1"/>
  <c r="E211" i="1"/>
  <c r="D211" i="1"/>
  <c r="F211" i="1" s="1"/>
  <c r="H211" i="1" s="1"/>
  <c r="D207" i="1"/>
  <c r="E206" i="1"/>
  <c r="D206" i="1"/>
  <c r="F206" i="1" s="1"/>
  <c r="H206" i="1" s="1"/>
  <c r="E205" i="1"/>
  <c r="D205" i="1"/>
  <c r="E204" i="1"/>
  <c r="D204" i="1"/>
  <c r="E203" i="1"/>
  <c r="D203" i="1"/>
  <c r="E202" i="1"/>
  <c r="D202" i="1"/>
  <c r="E200" i="1"/>
  <c r="D200" i="1"/>
  <c r="E199" i="1"/>
  <c r="E198" i="1"/>
  <c r="D198" i="1"/>
  <c r="E197" i="1"/>
  <c r="D197" i="1"/>
  <c r="E196" i="1"/>
  <c r="D196" i="1"/>
  <c r="E195" i="1"/>
  <c r="D195" i="1"/>
  <c r="F214" i="1"/>
  <c r="H214" i="1" s="1"/>
  <c r="D184" i="1"/>
  <c r="F184" i="1" s="1"/>
  <c r="H184" i="1" s="1"/>
  <c r="G141" i="1" s="1"/>
  <c r="K203" i="1"/>
  <c r="J203" i="1"/>
  <c r="I178" i="1"/>
  <c r="E182" i="1"/>
  <c r="D182" i="1"/>
  <c r="E181" i="1"/>
  <c r="D181" i="1"/>
  <c r="E180" i="1"/>
  <c r="D180" i="1"/>
  <c r="E179" i="1"/>
  <c r="D179" i="1"/>
  <c r="C139" i="1" s="1"/>
  <c r="E188" i="1"/>
  <c r="D188" i="1"/>
  <c r="E187" i="1"/>
  <c r="D187" i="1"/>
  <c r="E186" i="1"/>
  <c r="D186" i="1"/>
  <c r="J186" i="1"/>
  <c r="K186" i="1"/>
  <c r="J166" i="1"/>
  <c r="F169" i="1"/>
  <c r="H169" i="1" s="1"/>
  <c r="F168" i="1"/>
  <c r="H168" i="1" s="1"/>
  <c r="A167" i="1"/>
  <c r="A168" i="1" s="1"/>
  <c r="A169" i="1" s="1"/>
  <c r="A170" i="1" s="1"/>
  <c r="A171" i="1" s="1"/>
  <c r="J155" i="1"/>
  <c r="F163" i="1"/>
  <c r="H163" i="1" s="1"/>
  <c r="F161" i="1"/>
  <c r="H161" i="1" s="1"/>
  <c r="F158" i="1"/>
  <c r="H158" i="1" s="1"/>
  <c r="C85" i="1"/>
  <c r="C86" i="1" s="1"/>
  <c r="I49" i="1"/>
  <c r="E43" i="1"/>
  <c r="C77" i="1"/>
  <c r="A226" i="1" l="1"/>
  <c r="A227" i="1" s="1"/>
  <c r="A228" i="1" s="1"/>
  <c r="A229" i="1" s="1"/>
  <c r="A230" i="1" s="1"/>
  <c r="A231" i="1"/>
  <c r="C140" i="1"/>
  <c r="C143" i="1" s="1"/>
  <c r="C134" i="1"/>
  <c r="C136" i="1" s="1"/>
  <c r="G135" i="1"/>
  <c r="F205" i="1"/>
  <c r="H205" i="1" s="1"/>
  <c r="F207" i="1"/>
  <c r="C141" i="1"/>
  <c r="E141" i="1"/>
  <c r="E135" i="1"/>
  <c r="C135" i="1"/>
  <c r="F204" i="1"/>
  <c r="H204" i="1" s="1"/>
  <c r="F203" i="1"/>
  <c r="H203" i="1" s="1"/>
  <c r="F202" i="1"/>
  <c r="H202" i="1" s="1"/>
  <c r="O202" i="1" s="1"/>
  <c r="F200" i="1"/>
  <c r="H200" i="1" s="1"/>
  <c r="F199" i="1"/>
  <c r="H199" i="1" s="1"/>
  <c r="F198" i="1"/>
  <c r="H198" i="1" s="1"/>
  <c r="F196" i="1"/>
  <c r="H196" i="1" s="1"/>
  <c r="F195" i="1"/>
  <c r="F197" i="1"/>
  <c r="H197" i="1" s="1"/>
  <c r="F152" i="1"/>
  <c r="B38" i="6"/>
  <c r="B39" i="6" s="1"/>
  <c r="B40" i="6" s="1"/>
  <c r="B41" i="6" s="1"/>
  <c r="B42" i="6" s="1"/>
  <c r="B43" i="6" s="1"/>
  <c r="B44" i="6" s="1"/>
  <c r="B45" i="6" s="1"/>
  <c r="B46" i="6" s="1"/>
  <c r="B47" i="6" s="1"/>
  <c r="B48" i="6" s="1"/>
  <c r="B49" i="6" s="1"/>
  <c r="B50" i="6" s="1"/>
  <c r="B51" i="6" s="1"/>
  <c r="B52" i="6" s="1"/>
  <c r="B53" i="6" s="1"/>
  <c r="B54" i="6" s="1"/>
  <c r="C145" i="1" l="1"/>
  <c r="E140" i="1"/>
  <c r="H207" i="1"/>
  <c r="G142" i="1" s="1"/>
  <c r="E142" i="1"/>
  <c r="E144" i="1" s="1"/>
  <c r="H195" i="1"/>
  <c r="H152" i="1"/>
  <c r="G140" i="1" l="1"/>
  <c r="N195" i="1"/>
  <c r="L41" i="7"/>
  <c r="I41" i="7"/>
  <c r="E41" i="7"/>
  <c r="L40" i="7"/>
  <c r="I40" i="7"/>
  <c r="E40" i="7"/>
  <c r="L39" i="7"/>
  <c r="I39" i="7"/>
  <c r="E39" i="7"/>
  <c r="L38" i="7"/>
  <c r="I38" i="7"/>
  <c r="E38" i="7"/>
  <c r="L37" i="7"/>
  <c r="I37" i="7"/>
  <c r="E37" i="7"/>
  <c r="L36" i="7"/>
  <c r="I36" i="7"/>
  <c r="E36" i="7"/>
  <c r="L35" i="7"/>
  <c r="I35" i="7"/>
  <c r="E35" i="7"/>
  <c r="L34" i="7"/>
  <c r="I34" i="7"/>
  <c r="E34" i="7"/>
  <c r="L33" i="7"/>
  <c r="I33" i="7"/>
  <c r="E33" i="7"/>
  <c r="L32" i="7"/>
  <c r="I32" i="7"/>
  <c r="E32" i="7"/>
  <c r="L31" i="7"/>
  <c r="I31" i="7"/>
  <c r="E31" i="7"/>
  <c r="L30" i="7"/>
  <c r="I30" i="7"/>
  <c r="E30" i="7"/>
  <c r="L29" i="7"/>
  <c r="I29" i="7"/>
  <c r="E29" i="7"/>
  <c r="L28" i="7"/>
  <c r="I28" i="7"/>
  <c r="E28" i="7"/>
  <c r="L27" i="7"/>
  <c r="I27" i="7"/>
  <c r="E27" i="7"/>
  <c r="L26" i="7"/>
  <c r="I26" i="7"/>
  <c r="E26" i="7"/>
  <c r="L25" i="7"/>
  <c r="I25" i="7"/>
  <c r="E25"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F11" i="5"/>
  <c r="G11" i="5" s="1"/>
  <c r="F10" i="5"/>
  <c r="G10" i="5" s="1"/>
  <c r="F9" i="5"/>
  <c r="G9" i="5" s="1"/>
  <c r="F8" i="5"/>
  <c r="G8" i="5" s="1"/>
  <c r="F7" i="5"/>
  <c r="G7" i="5" s="1"/>
  <c r="F6" i="5"/>
  <c r="G6" i="5" s="1"/>
  <c r="F5" i="5"/>
  <c r="G5" i="5" s="1"/>
  <c r="G12" i="5" s="1"/>
  <c r="D244" i="1"/>
  <c r="B219" i="1"/>
  <c r="B218" i="1"/>
  <c r="F182" i="1"/>
  <c r="H182" i="1" s="1"/>
  <c r="F181" i="1"/>
  <c r="H181" i="1" s="1"/>
  <c r="F180" i="1"/>
  <c r="H180" i="1" s="1"/>
  <c r="N180" i="1" s="1"/>
  <c r="F179" i="1"/>
  <c r="A180" i="1"/>
  <c r="A181" i="1" s="1"/>
  <c r="A182" i="1" s="1"/>
  <c r="F188" i="1"/>
  <c r="H188" i="1" s="1"/>
  <c r="N188" i="1" s="1"/>
  <c r="F187" i="1"/>
  <c r="H187" i="1" s="1"/>
  <c r="F186" i="1"/>
  <c r="H186" i="1" s="1"/>
  <c r="N186" i="1" s="1"/>
  <c r="F155" i="1"/>
  <c r="H155" i="1" s="1"/>
  <c r="F154" i="1"/>
  <c r="H154" i="1" s="1"/>
  <c r="F153" i="1"/>
  <c r="A153" i="1"/>
  <c r="A154" i="1" s="1"/>
  <c r="A155" i="1" s="1"/>
  <c r="A156" i="1" s="1"/>
  <c r="A157" i="1" s="1"/>
  <c r="A158" i="1" s="1"/>
  <c r="A159" i="1" s="1"/>
  <c r="A160" i="1" s="1"/>
  <c r="A161" i="1" s="1"/>
  <c r="A162" i="1" s="1"/>
  <c r="A163" i="1" s="1"/>
  <c r="F131" i="1"/>
  <c r="C105" i="1"/>
  <c r="C91" i="1"/>
  <c r="B78" i="1"/>
  <c r="D71" i="1"/>
  <c r="D64" i="1"/>
  <c r="G57" i="1"/>
  <c r="C57" i="1"/>
  <c r="K55" i="1"/>
  <c r="C55" i="1"/>
  <c r="G51" i="1"/>
  <c r="C51" i="1"/>
  <c r="E44" i="1"/>
  <c r="E45" i="1" s="1"/>
  <c r="S33" i="1"/>
  <c r="E31" i="1"/>
  <c r="E28" i="1"/>
  <c r="E26" i="1"/>
  <c r="C16" i="1"/>
  <c r="I15" i="1"/>
  <c r="Z13" i="1"/>
  <c r="E8" i="1"/>
  <c r="E3" i="1"/>
  <c r="B229" i="1" s="1"/>
  <c r="H106" i="1"/>
  <c r="H92" i="1"/>
  <c r="H179" i="1" l="1"/>
  <c r="G139" i="1" s="1"/>
  <c r="E139" i="1"/>
  <c r="H153" i="1"/>
  <c r="G134" i="1" s="1"/>
  <c r="G136" i="1" s="1"/>
  <c r="G145" i="1" s="1"/>
  <c r="E134" i="1"/>
  <c r="E136" i="1" s="1"/>
  <c r="E145" i="1" s="1"/>
  <c r="E42" i="7"/>
  <c r="J85" i="1"/>
  <c r="J86" i="1"/>
  <c r="B106" i="1"/>
  <c r="J114" i="1" s="1"/>
  <c r="I42" i="7"/>
  <c r="H42" i="7" s="1"/>
  <c r="L42" i="7"/>
  <c r="K42" i="7" s="1"/>
  <c r="J91" i="1"/>
  <c r="J93" i="1" s="1"/>
  <c r="D100" i="1"/>
  <c r="D99" i="1"/>
  <c r="D104" i="1"/>
  <c r="D98" i="1"/>
  <c r="J94" i="1"/>
  <c r="D103" i="1"/>
  <c r="J96" i="1"/>
  <c r="C95" i="1" s="1"/>
  <c r="D97" i="1"/>
  <c r="D102" i="1"/>
  <c r="J95" i="1"/>
  <c r="D101" i="1"/>
  <c r="D115" i="1"/>
  <c r="J109" i="1"/>
  <c r="J105" i="1"/>
  <c r="J107" i="1" s="1"/>
  <c r="J108" i="1"/>
  <c r="D113" i="1"/>
  <c r="D118" i="1"/>
  <c r="D112" i="1"/>
  <c r="D117" i="1"/>
  <c r="D111" i="1"/>
  <c r="D114" i="1"/>
  <c r="J110" i="1"/>
  <c r="C109" i="1" s="1"/>
  <c r="D109" i="1" s="1"/>
  <c r="D116" i="1"/>
  <c r="D42" i="7"/>
  <c r="L55" i="1"/>
  <c r="B92" i="1"/>
  <c r="J87" i="1"/>
  <c r="J88" i="1"/>
  <c r="I52" i="1"/>
  <c r="H78" i="1"/>
  <c r="D89" i="1" l="1"/>
  <c r="D83" i="1"/>
  <c r="J83" i="1"/>
  <c r="J84" i="1" s="1"/>
  <c r="J89" i="1" s="1"/>
  <c r="J90" i="1" s="1"/>
  <c r="C82" i="1" s="1"/>
  <c r="E81" i="1" s="1"/>
  <c r="J82" i="1"/>
  <c r="C81" i="1" s="1"/>
  <c r="D81" i="1" s="1"/>
  <c r="D88" i="1"/>
  <c r="D87" i="1"/>
  <c r="J77" i="1"/>
  <c r="J79" i="1" s="1"/>
  <c r="D86" i="1"/>
  <c r="D90" i="1"/>
  <c r="D84" i="1"/>
  <c r="J81" i="1"/>
  <c r="J80" i="1"/>
  <c r="D85" i="1"/>
  <c r="J116" i="1"/>
  <c r="J115" i="1"/>
  <c r="D44" i="7"/>
  <c r="E44" i="7"/>
  <c r="J113" i="1"/>
  <c r="J111" i="1"/>
  <c r="J112" i="1" s="1"/>
  <c r="J117" i="1" s="1"/>
  <c r="J118" i="1" s="1"/>
  <c r="C110" i="1" s="1"/>
  <c r="G109" i="1" s="1"/>
  <c r="D95" i="1"/>
  <c r="J100" i="1"/>
  <c r="J97" i="1"/>
  <c r="J98" i="1" s="1"/>
  <c r="J103" i="1" s="1"/>
  <c r="J104" i="1" s="1"/>
  <c r="C96" i="1" s="1"/>
  <c r="J102" i="1"/>
  <c r="J99" i="1"/>
  <c r="J101" i="1"/>
  <c r="G81" i="1" l="1"/>
  <c r="D75" i="1" s="1"/>
  <c r="D76" i="1" s="1"/>
  <c r="D82" i="1"/>
  <c r="I78" i="1" s="1"/>
  <c r="I79" i="1" s="1"/>
  <c r="D110" i="1"/>
  <c r="I106" i="1" s="1"/>
  <c r="I107" i="1" s="1"/>
  <c r="J106" i="1"/>
  <c r="E109" i="1"/>
  <c r="J78" i="1"/>
  <c r="E95" i="1"/>
  <c r="D96" i="1"/>
  <c r="I92" i="1" s="1"/>
  <c r="J92" i="1"/>
  <c r="G95" i="1"/>
  <c r="F76" i="1" l="1"/>
  <c r="I105" i="1"/>
  <c r="C107" i="1" s="1"/>
  <c r="I77" i="1"/>
  <c r="C79" i="1" s="1"/>
  <c r="I93" i="1"/>
  <c r="I91" i="1" s="1"/>
  <c r="C9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SACHIN</author>
  </authors>
  <commentList>
    <comment ref="E12" authorId="0" shapeId="0" xr:uid="{00000000-0006-0000-0000-000001000000}">
      <text>
        <r>
          <rPr>
            <b/>
            <sz val="9"/>
            <color indexed="81"/>
            <rFont val="Tahoma"/>
            <family val="2"/>
          </rPr>
          <t>Sachin:</t>
        </r>
        <r>
          <rPr>
            <sz val="9"/>
            <color indexed="81"/>
            <rFont val="Tahoma"/>
            <family val="2"/>
          </rPr>
          <t xml:space="preserve">
Building No. 
Tower No.
Wing 
Bunglow No., etc</t>
        </r>
      </text>
    </comment>
    <comment ref="E13" authorId="0" shapeId="0" xr:uid="{00000000-0006-0000-0000-000002000000}">
      <text>
        <r>
          <rPr>
            <b/>
            <sz val="9"/>
            <color indexed="81"/>
            <rFont val="Tahoma"/>
            <family val="2"/>
          </rPr>
          <t>Sachin:</t>
        </r>
        <r>
          <rPr>
            <sz val="9"/>
            <color indexed="81"/>
            <rFont val="Tahoma"/>
            <family val="2"/>
          </rPr>
          <t xml:space="preserve">
If exisiting Building is provided write it or else
NA</t>
        </r>
      </text>
    </comment>
    <comment ref="C56" authorId="1" shapeId="0" xr:uid="{00000000-0006-0000-0000-000003000000}">
      <text>
        <r>
          <rPr>
            <b/>
            <sz val="9"/>
            <color indexed="81"/>
            <rFont val="Tahoma"/>
            <family val="2"/>
          </rPr>
          <t>SACHIN:</t>
        </r>
        <r>
          <rPr>
            <sz val="9"/>
            <color indexed="81"/>
            <rFont val="Tahoma"/>
            <family val="2"/>
          </rPr>
          <t xml:space="preserve">
Floor with height</t>
        </r>
      </text>
    </comment>
    <comment ref="C58" authorId="1" shapeId="0" xr:uid="{00000000-0006-0000-0000-000004000000}">
      <text>
        <r>
          <rPr>
            <b/>
            <sz val="9"/>
            <color indexed="81"/>
            <rFont val="Tahoma"/>
            <family val="2"/>
          </rPr>
          <t>SACHIN:</t>
        </r>
        <r>
          <rPr>
            <sz val="9"/>
            <color indexed="81"/>
            <rFont val="Tahoma"/>
            <family val="2"/>
          </rPr>
          <t xml:space="preserve">
Survey Nos.</t>
        </r>
      </text>
    </comment>
    <comment ref="D64" authorId="0" shapeId="0" xr:uid="{00000000-0006-0000-0000-000005000000}">
      <text>
        <r>
          <rPr>
            <b/>
            <sz val="9"/>
            <color indexed="81"/>
            <rFont val="Tahoma"/>
            <family val="2"/>
          </rPr>
          <t>Sachin:</t>
        </r>
        <r>
          <rPr>
            <sz val="9"/>
            <color indexed="81"/>
            <rFont val="Tahoma"/>
            <family val="2"/>
          </rPr>
          <t xml:space="preserve">
If multiple building in project or complex just mention builtup of required building</t>
        </r>
      </text>
    </comment>
    <comment ref="F124" authorId="1" shapeId="0" xr:uid="{00000000-0006-0000-0000-00000600000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74" authorId="1" shapeId="0" xr:uid="{00000000-0006-0000-0000-00000700000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C9" authorId="0" shapeId="0" xr:uid="{00000000-0006-0000-0300-000001000000}">
      <text>
        <r>
          <rPr>
            <b/>
            <sz val="9"/>
            <color indexed="81"/>
            <rFont val="Tahoma"/>
            <family val="2"/>
          </rPr>
          <t>SACHIN:</t>
        </r>
        <r>
          <rPr>
            <sz val="9"/>
            <color indexed="81"/>
            <rFont val="Tahoma"/>
            <family val="2"/>
          </rPr>
          <t xml:space="preserve">
If banker changes the rate</t>
        </r>
      </text>
    </comment>
    <comment ref="C10" authorId="0" shapeId="0" xr:uid="{00000000-0006-0000-0300-00000200000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<sst xmlns="http://schemas.openxmlformats.org/spreadsheetml/2006/main" count="781" uniqueCount="461">
  <si>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</si>
  <si>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</si>
  <si>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</si>
  <si>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</si>
  <si>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</si>
  <si>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</si>
  <si>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</si>
  <si>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</si>
  <si>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</si>
  <si>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</si>
  <si>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</si>
  <si>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</si>
  <si>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</si>
  <si>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</si>
  <si>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</si>
  <si>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</si>
  <si>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</si>
  <si>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</si>
  <si>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</si>
  <si>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</si>
  <si>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</si>
  <si>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</si>
  <si>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</si>
  <si>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</si>
  <si>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</si>
  <si>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</si>
  <si>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</si>
  <si>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</si>
  <si>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</si>
  <si>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</si>
  <si>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</si>
  <si>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</si>
  <si>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</si>
  <si>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</si>
  <si>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</si>
  <si>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</si>
  <si>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</si>
  <si>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</si>
  <si>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</si>
  <si>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</si>
  <si>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</si>
  <si>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</si>
  <si>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</si>
  <si>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</si>
  <si>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</si>
  <si>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</si>
  <si>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</si>
  <si>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</si>
  <si>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</si>
  <si>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</si>
  <si>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</si>
  <si>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</si>
  <si>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</si>
  <si>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</si>
  <si>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</si>
  <si>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</si>
  <si>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</si>
  <si>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</si>
  <si>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</si>
  <si>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</si>
  <si>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</si>
  <si>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</si>
  <si>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</si>
  <si>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</si>
  <si>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</si>
  <si>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</si>
  <si>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</si>
  <si>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</si>
  <si>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</si>
  <si>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</si>
  <si>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</si>
  <si>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</si>
  <si>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</si>
  <si>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</si>
  <si>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</si>
  <si>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</si>
  <si>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</si>
  <si>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</si>
  <si>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</si>
  <si>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</si>
  <si>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</si>
  <si>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</si>
  <si>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</si>
  <si>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</si>
  <si>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</si>
  <si>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</si>
  <si>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</si>
  <si>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</si>
  <si>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</si>
  <si>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</si>
  <si>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</si>
  <si>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</si>
  <si>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</si>
  <si>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</si>
  <si>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</si>
  <si>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</si>
  <si>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</si>
  <si>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</si>
  <si>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</si>
  <si>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</si>
  <si>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</si>
  <si>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</si>
  <si>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</si>
  <si>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</si>
  <si>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</si>
  <si>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</si>
  <si>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</si>
  <si>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</si>
  <si>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</si>
  <si>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</si>
  <si>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</si>
  <si>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</si>
  <si>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</si>
  <si>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</si>
  <si>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</si>
  <si>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r>
      <t xml:space="preserve">Flat No.
</t>
    </r>
    <r>
      <rPr>
        <b/>
        <sz val="11"/>
        <color rgb="FF000000"/>
        <rFont val="Times New Roman"/>
        <family val="1"/>
      </rPr>
      <t>(Approved Plan)</t>
    </r>
  </si>
  <si>
    <t>Valid Upto 
Date</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</si>
  <si>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</si>
  <si>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</si>
  <si>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</si>
  <si>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</si>
  <si>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</si>
  <si>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</si>
  <si>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</si>
  <si>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</si>
  <si>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</si>
  <si>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</si>
  <si>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</si>
  <si>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</si>
  <si>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</si>
  <si>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</si>
  <si>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</si>
  <si>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</si>
  <si>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</si>
  <si>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</si>
  <si>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</si>
  <si>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</si>
  <si>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</si>
  <si>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</si>
  <si>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</si>
  <si>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</si>
  <si>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</si>
  <si>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</si>
  <si>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</si>
  <si>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</si>
  <si>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</si>
  <si>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</si>
  <si>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Only For MCGM &amp; MHADA or SRA</t>
  </si>
  <si>
    <t>We have considered proposed No. of Floor for Stage Calculation.</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</si>
  <si>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</si>
  <si>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</si>
  <si>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</si>
  <si>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</si>
  <si>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</si>
  <si>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</si>
  <si>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</si>
  <si>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</si>
  <si>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</si>
  <si>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</si>
  <si>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</si>
  <si>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Latitude, Longitude</t>
  </si>
  <si>
    <t>Grand Total</t>
  </si>
  <si>
    <t>Provided Contact Details (Name &amp; Contact No.)</t>
  </si>
  <si>
    <t>Site Person - Contact Details (Name &amp; Contact No.)</t>
  </si>
  <si>
    <t>C Wing = 1B + G + 1st to 20th Floor</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</si>
  <si>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</si>
  <si>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</si>
  <si>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</si>
  <si>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</si>
  <si>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</si>
  <si>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</si>
  <si>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</si>
  <si>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</si>
  <si>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</si>
  <si>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</si>
  <si>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</si>
  <si>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</si>
  <si>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</si>
  <si>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</si>
  <si>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</si>
  <si>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</si>
  <si>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</si>
  <si>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</si>
  <si>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</si>
  <si>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</si>
  <si>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</si>
  <si>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</si>
  <si>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</si>
  <si>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</si>
  <si>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</si>
  <si>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</si>
  <si>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</si>
  <si>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</si>
  <si>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</si>
  <si>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</si>
  <si>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</si>
  <si>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</si>
  <si>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</si>
  <si>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</si>
  <si>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</si>
  <si>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</si>
  <si>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</si>
  <si>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</si>
  <si>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</si>
  <si>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</si>
  <si>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</si>
  <si>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</si>
  <si>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</si>
  <si>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</si>
  <si>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</si>
  <si>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</si>
  <si>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</si>
  <si>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</si>
  <si>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</si>
  <si>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</si>
  <si>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</si>
  <si>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</si>
  <si>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</si>
  <si>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</si>
  <si>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</si>
  <si>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</si>
  <si>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</si>
  <si>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</si>
  <si>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</si>
  <si>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</si>
  <si>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</si>
  <si>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</si>
  <si>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</si>
  <si>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</si>
  <si>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</si>
  <si>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</si>
  <si>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</si>
  <si>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</si>
  <si>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</si>
  <si>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</si>
  <si>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</si>
  <si>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</si>
  <si>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</si>
  <si>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</si>
  <si>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</si>
  <si>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</si>
  <si>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</si>
  <si>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</si>
  <si>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</si>
  <si>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</si>
  <si>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</si>
  <si>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</si>
  <si>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</si>
  <si>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</si>
  <si>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</si>
  <si>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</si>
  <si>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</si>
  <si>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</si>
  <si>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</si>
  <si>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</si>
  <si>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</si>
  <si>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</si>
  <si>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</si>
  <si>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</si>
  <si>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</si>
  <si>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</si>
  <si>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</si>
  <si>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</si>
  <si>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</si>
  <si>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</si>
  <si>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</si>
  <si>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</si>
  <si>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</si>
  <si>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</si>
  <si>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</si>
  <si>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</si>
  <si>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</si>
  <si>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</si>
  <si>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</si>
  <si>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</si>
  <si>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</si>
  <si>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</si>
  <si>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</si>
  <si>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</si>
  <si>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</si>
  <si>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</si>
  <si>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</si>
  <si>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</si>
  <si>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</si>
  <si>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</si>
  <si>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</si>
  <si>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</si>
  <si>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</si>
  <si>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</si>
  <si>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</si>
  <si>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</si>
  <si>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</si>
  <si>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</si>
  <si>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</si>
  <si>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</si>
  <si>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</si>
  <si>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</si>
  <si>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</si>
  <si>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</si>
  <si>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</si>
  <si>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</si>
  <si>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</si>
  <si>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</si>
  <si>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</si>
  <si>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</si>
  <si>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</si>
  <si>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</si>
  <si>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</si>
  <si>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</si>
  <si>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</si>
  <si>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</si>
  <si>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</si>
  <si>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</si>
  <si>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</si>
  <si>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</si>
  <si>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</si>
  <si>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</si>
  <si>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</si>
  <si>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</si>
  <si>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</si>
  <si>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</si>
  <si>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</si>
  <si>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</si>
  <si>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</si>
  <si>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</si>
  <si>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</si>
  <si>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</si>
  <si>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</si>
  <si>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</si>
  <si>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</si>
  <si>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</si>
  <si>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</si>
  <si>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</si>
  <si>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</si>
  <si>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</si>
  <si>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</si>
  <si>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SCL Kalyan</t>
  </si>
  <si>
    <t>SCL Badlapur</t>
  </si>
  <si>
    <t>SCL Vashi</t>
  </si>
  <si>
    <t>SCL Thane</t>
  </si>
  <si>
    <t>SCL Andheri</t>
  </si>
  <si>
    <t>SCL Borivali</t>
  </si>
  <si>
    <t>SCL Virar</t>
  </si>
  <si>
    <t>As per Approved Floor Plan, In C to E wing on Ground floor Shop No. 19 &amp; 20 are merged into single shop.</t>
  </si>
  <si>
    <t xml:space="preserve">Please check for Environment Clearance Certificate, Fire NOC, Airport NOC, CRZ NOC, Railway Noc.
</t>
  </si>
  <si>
    <t>Palghar Muncipal Council</t>
  </si>
  <si>
    <t xml:space="preserve">We have given Valuation for Sale Flats and Shops only.
</t>
  </si>
  <si>
    <t>There are guest houses, villas, resorts, etc. in a range of 200 to 300 meters.
There are few residential buildings available in the surrounding areas. (within 500 meters)
There are inadequate transportation options to get to the project and the area is not
developed</t>
  </si>
  <si>
    <t xml:space="preserve">Airport Noc No
Valid Up for: 
</t>
  </si>
  <si>
    <t xml:space="preserve">Valid upto Dated </t>
  </si>
  <si>
    <t>PNB Panvel</t>
  </si>
  <si>
    <t>Building Details Floor Wise</t>
  </si>
  <si>
    <t>Sammaan Capital Limited</t>
  </si>
  <si>
    <t>Thane Municipal Corporation (TMC)</t>
  </si>
  <si>
    <t>Construction stage is reduced due to revision in proposed structure of project.</t>
  </si>
  <si>
    <t>Construction percentage has been reduced due to the construction work being processed in two parts.</t>
  </si>
  <si>
    <t xml:space="preserve">The project has received CC on 07/06/2019, But construction work is not yet Completed. </t>
  </si>
  <si>
    <t>Some flats are occupied by tenants but finishing work is in process at the time of visit.</t>
  </si>
  <si>
    <t>The       project is not registered on RERA site, Beacause land area of project is less than 500 Sq.Mt</t>
  </si>
  <si>
    <t>As per site visit dtd.23/01/2025 we have observed that the construction work is not done as per approved floor plan. (Extra Terrace Area are Constructed for flats)
According to the approved 1st floor plan, terrace area is not attached to Flat No.3, 4 &amp; 5, But on site terrace area is already constructed.</t>
  </si>
  <si>
    <t>Remark No. 42 is resolved by corrigendum (i.e. correction letter) provided by authority regarding survey nos. letter attached below.</t>
  </si>
  <si>
    <t>As per approved Floor plans does not consist of Unit Numbering, We have considered unit numbering from sale plan provided by site meet person during site visit.</t>
  </si>
  <si>
    <t>As per New version of RERA portal project consist of single building - Hasha Heights
As per Old version of RERA portal project consist of Two buildings- Hasha Heights &amp; Kunti Heights</t>
  </si>
  <si>
    <t>Remark No.11 is solved. we were asked to follow the old version of RERA by the bank official builder letter provided on the mail is attached below.</t>
  </si>
  <si>
    <t xml:space="preserve">As per approved plan &amp; CC,  project consists of Survey No.40, H.No.2A, Plot No.3 &amp; 4.  
But as per RERA, project consists of Survey No.40/B, Plot No.3 &amp; 4.  </t>
  </si>
  <si>
    <t>Vishw apartment</t>
  </si>
  <si>
    <t>The approved large land parcel layout plan does not consist of survey number, therefore we have referred Survey No. from Title Certificate.</t>
  </si>
  <si>
    <t>As per the discussion with the bank official, Builder provided approved EC on whatsapp for a large land parcel.</t>
  </si>
  <si>
    <t>Mahindra Vista Phase 1 &amp; 2</t>
  </si>
  <si>
    <t>As per the approved floor plan, out of 1199 flats, there are 132 flats that are "I to R" flats. Please check from your end.</t>
  </si>
  <si>
    <t>As per the approved plans &amp; RERA in the project Shikara Heights Phase I consist of " Wing A, B, C " for Sale &amp; " Wing D " for Rehab
Therefore we have not considered Rehab Wing D in APF Report.</t>
  </si>
  <si>
    <t xml:space="preserve">Site Elevation (AMSL) = 
Permissible Top Elevation (AMSL) = </t>
  </si>
  <si>
    <t>Carpet Area</t>
  </si>
  <si>
    <t>As per Google Maps, we have observed that some plants or trees are surrounding of theproject (it plants might be mangroves also).</t>
  </si>
  <si>
    <t>The Royal Bay</t>
  </si>
  <si>
    <t>Office No. 1031, Wing J, Akshar Business Park, Plot No. 03 Sector 25, Near APMC Market, Vashi, Navi Mumbai, Maharashtra 400703 TEL: 022-46090378/79/80
E mail : vsjcapf@gmail.com. Web site : www.vsjadon.com</t>
  </si>
  <si>
    <t xml:space="preserve">As per the revised approved plan dated 08/09/2022, the approved structure of Wing A is reduced to Gr + 1st to 14th Floor (earlier it was Wing A = Gr + 1st to 15th Floor) </t>
  </si>
  <si>
    <t>Balaji Govind</t>
  </si>
  <si>
    <t>Jio Finance</t>
  </si>
  <si>
    <t>JFL Koparkhairane</t>
  </si>
  <si>
    <t>The Domus Prive</t>
  </si>
  <si>
    <t>As per the approved floor plan dtd.22/07/2024, the building height is 61.55 Mtrs (Upto OHT), which is reached up to his maximum height limit of 61.73 Mtrs with reference to the airport
NOC.</t>
  </si>
  <si>
    <t>As per visit dtd 13/08/2025, we have observed that construction work of Shop no. 1, 2, 3, 6, 7, 8 from Building No. 1 and Shop no. 11, 12, 13, 16, 17 from Building No. 2 are Completed.Therefore it can be considered as Progress 100% and Disbursement 100%.</t>
  </si>
  <si>
    <t>Remark if shops construction is asked</t>
  </si>
  <si>
    <t>Neelkanth Infratech</t>
  </si>
  <si>
    <t>Neelkanth Palm President</t>
  </si>
  <si>
    <t>Neekant 9930150722/9819639606</t>
  </si>
  <si>
    <t>Mr. Pankaj 9930150722</t>
  </si>
  <si>
    <t>Wing A &amp; B</t>
  </si>
  <si>
    <t>Approved Plans, CC, Sale Plans, Cost Sheet.</t>
  </si>
  <si>
    <t>P51700052965</t>
  </si>
  <si>
    <t>Plot No</t>
  </si>
  <si>
    <t>10, Sector 11</t>
  </si>
  <si>
    <t>Ghansoli</t>
  </si>
  <si>
    <t>19.119134,72.992046</t>
  </si>
  <si>
    <t>https://maps.app.goo.gl/DHZ1uUXGsERjyv3o6</t>
  </si>
  <si>
    <t>Palm Beach Road</t>
  </si>
  <si>
    <t>Ghansoli West</t>
  </si>
  <si>
    <t>Jijamata Nagar</t>
  </si>
  <si>
    <t>NG Grand Plaza</t>
  </si>
  <si>
    <t>1.70KM from Ghansoli Railway Station</t>
  </si>
  <si>
    <t>Plot No. 10A</t>
  </si>
  <si>
    <t>Plot No. 09</t>
  </si>
  <si>
    <t>Other Plot</t>
  </si>
  <si>
    <t>34 W. M. Road</t>
  </si>
  <si>
    <t>Open Plot</t>
  </si>
  <si>
    <t>Atlantis</t>
  </si>
  <si>
    <t>02 Wings</t>
  </si>
  <si>
    <t>NRV/A-2283</t>
  </si>
  <si>
    <t>NMMP/NRV/B.P./2283/2024</t>
  </si>
  <si>
    <t>A Wing = Gr + Lower 1st Floor + 1st to 45th Floor
B Wing = Gr + Lower 1st Floor + 1st to 34th Floor</t>
  </si>
  <si>
    <t>A Wing = Gr + Lower 1st Floor + 1st to 45th Floor</t>
  </si>
  <si>
    <t>B Wing = Gr + Lower 1st Floor + 1st to 34th Floor</t>
  </si>
  <si>
    <t>As per RERA - 31/12/2029</t>
  </si>
  <si>
    <r>
      <t xml:space="preserve">Proposed Amenities :                                                                                                                                                                                                                         </t>
    </r>
    <r>
      <rPr>
        <b/>
        <sz val="12"/>
        <rFont val="Times New Roman"/>
        <family val="1"/>
      </rPr>
      <t xml:space="preserve">                                               </t>
    </r>
  </si>
  <si>
    <t>Club House, Swimming Pool, Gymansium, Senior Citizen Area, Basket Ball, Multipurpose Party Lawn, Yoga Meditation Area, Jogging Track, Kids Play Area, Indoor Games, Gazebo, Garden, Etc</t>
  </si>
  <si>
    <t>Wing A</t>
  </si>
  <si>
    <t>Ground Floor For Commercial, Entrance Lobby, Drivers Room &amp; Parking</t>
  </si>
  <si>
    <t>Shop</t>
  </si>
  <si>
    <r>
      <t xml:space="preserve">Shop No.
</t>
    </r>
    <r>
      <rPr>
        <b/>
        <sz val="11"/>
        <rFont val="Times New Roman"/>
        <family val="1"/>
      </rPr>
      <t>(Approved Plan)</t>
    </r>
  </si>
  <si>
    <t>Lower 1st Floor For Parking</t>
  </si>
  <si>
    <t>1st Floor For Commercial &amp; Parking</t>
  </si>
  <si>
    <t>Office</t>
  </si>
  <si>
    <t>2nd to 5th Floor For Podium Parking</t>
  </si>
  <si>
    <t>6th Floor For Garden, Swimming Pool, Club House, Society Office &amp; Parking</t>
  </si>
  <si>
    <t>-</t>
  </si>
  <si>
    <t>Refuge Area</t>
  </si>
  <si>
    <t>7th, 12th, 17th, 22nd, 27th, 32nd, 37th &amp; 42nd Floor For Residential 
(Part Refuge Area &amp; Service Quarter )</t>
  </si>
  <si>
    <t>3BHK</t>
  </si>
  <si>
    <t>8th to 11th, 13th to 16th, 18th to 21st, 23rd to 26th, 
28th to 31st, 33rd to 36th, 38th to 41st, 43rd to 45th Floor</t>
  </si>
  <si>
    <t>Wing B</t>
  </si>
  <si>
    <t xml:space="preserve">Ground Floor For Entrance Lobby &amp; Parking </t>
  </si>
  <si>
    <t>Lower 1st Floor for Parking</t>
  </si>
  <si>
    <t>1st to 5th Floor For Podium Parking</t>
  </si>
  <si>
    <t>6th Floor For Garden &amp;  Parking</t>
  </si>
  <si>
    <t>2BHK</t>
  </si>
  <si>
    <t xml:space="preserve">8th to 11th, 13th to 16th, 18th to 21st, 23rd to 26th, 
28th to 31st &amp; 33rd </t>
  </si>
  <si>
    <t>34th Floor (Part Terrace Area)</t>
  </si>
  <si>
    <t>Construction work is in process at the time of Visit (labour found).</t>
  </si>
  <si>
    <t>We considered Gross carpet area = Net carpet + Balcony.</t>
  </si>
  <si>
    <t>Kunal Kadam</t>
  </si>
  <si>
    <t>Tushar Mohite</t>
  </si>
  <si>
    <t>Balcony Area</t>
  </si>
  <si>
    <t>Wing A Shops</t>
  </si>
  <si>
    <t>Wing A Office</t>
  </si>
  <si>
    <t xml:space="preserve">Wing A </t>
  </si>
  <si>
    <t>Service Quarter</t>
  </si>
  <si>
    <t>7th, 12th, 17th, 22nd, 27th &amp; 32nd Floor For Residential 
(Part Refuge Area &amp; Service Quarter )</t>
  </si>
  <si>
    <t>Service Quarters</t>
  </si>
  <si>
    <t>Total Service Quarters</t>
  </si>
  <si>
    <t xml:space="preserve">Total Built up Area = 35528.013 Sq.M
No of Units = Residential - 308 Units, Service Quarters - 14 Units, 
Commercial - 12 Units &amp; Office - 06  Units
</t>
  </si>
  <si>
    <t>Amenities Charges</t>
  </si>
  <si>
    <t>Floor Rise Rate from 10th Floor</t>
  </si>
  <si>
    <t>Remark No 10</t>
  </si>
  <si>
    <t>Total SaleFlats</t>
  </si>
  <si>
    <t>Sale Flats</t>
  </si>
  <si>
    <t>Sale</t>
  </si>
  <si>
    <t xml:space="preserve">1RK </t>
  </si>
  <si>
    <t>1RK</t>
  </si>
  <si>
    <t>Sale Flats - 308, Service Quarters - 14,  
Shops - 12, Offices - 06</t>
  </si>
  <si>
    <t>As per the approved plans, Few EWS Flats have been mentioned from the Mezzanine floor to 5th Floor adjacent to Wing A. Therefore we have not drafted area of EWS flats.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</si>
</sst>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0.0"/>
    <numFmt numFmtId="165" formatCode="_(* #,##0.00_);_(* \(#,##0.00\);_(* &quot;-&quot;??_);_(@_)"/>
    <numFmt numFmtId="166" formatCode="_(* #,##0_);_(* \(#,##0\);_(* &quot;-&quot;??_);_(@_)"/>
    <numFmt numFmtId="167" formatCode="_ * #,##0_ ;_ * \-#,##0_ ;_ * &quot;-&quot;??_ ;_ @_ "/>
    <numFmt numFmtId="168" formatCode="0.000"/>
  </numFmts>
  <fonts count="31"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6" fillId="0" borderId="0" applyNumberFormat="0" applyFill="0" applyBorder="0" applyAlignment="0" applyProtection="0"/>
  </cellStyleXfs>
  <cellXfs count="261">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8" fillId="0" borderId="1" xfId="5" applyNumberFormat="1" applyFont="1" applyBorder="1" applyAlignment="1">
      <alignment horizontal="center" vertical="center"/>
    </xf>
    <xf numFmtId="0" fontId="4" fillId="0" borderId="1" xfId="4" applyBorder="1" applyAlignment="1">
      <alignment horizontal="center" vertical="center"/>
    </xf>
    <xf numFmtId="0" fontId="17" fillId="0" borderId="0" xfId="0" applyFont="1" applyProtection="1">
      <protection hidden="1"/>
    </xf>
    <xf numFmtId="0" fontId="17" fillId="0" borderId="11" xfId="0" applyFont="1" applyBorder="1" applyProtection="1">
      <protection hidden="1"/>
    </xf>
    <xf numFmtId="0" fontId="11" fillId="0" borderId="4" xfId="1" applyFont="1" applyBorder="1" applyAlignment="1" applyProtection="1">
      <alignment horizontal="center" vertical="top"/>
      <protection locked="0"/>
    </xf>
    <xf numFmtId="0" fontId="11" fillId="0" borderId="5"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3" fillId="0" borderId="0" xfId="1" applyFont="1"/>
    <xf numFmtId="0" fontId="6" fillId="0" borderId="10" xfId="1" applyFont="1" applyBorder="1"/>
    <xf numFmtId="0" fontId="17"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protection locked="0"/>
    </xf>
    <xf numFmtId="0" fontId="24" fillId="2" borderId="30" xfId="0" applyFont="1" applyFill="1" applyBorder="1"/>
    <xf numFmtId="0" fontId="25" fillId="0" borderId="31" xfId="0" applyFont="1" applyBorder="1"/>
    <xf numFmtId="0" fontId="25" fillId="0" borderId="1" xfId="0" applyFont="1" applyBorder="1"/>
    <xf numFmtId="0" fontId="25" fillId="0" borderId="5" xfId="0" applyFont="1" applyBorder="1"/>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0" fillId="0" borderId="25" xfId="0" applyBorder="1"/>
    <xf numFmtId="0" fontId="0" fillId="0" borderId="8" xfId="0" applyBorder="1"/>
    <xf numFmtId="0" fontId="0" fillId="0" borderId="1" xfId="0" applyBorder="1" applyAlignment="1">
      <alignment vertical="top" wrapText="1"/>
    </xf>
    <xf numFmtId="0" fontId="0" fillId="2" borderId="1" xfId="0" applyFill="1" applyBorder="1" applyAlignment="1">
      <alignment horizontal="center" vertical="center"/>
    </xf>
    <xf numFmtId="0" fontId="0" fillId="0" borderId="2" xfId="0" applyBorder="1" applyAlignment="1">
      <alignment horizontal="center" vertical="center"/>
    </xf>
    <xf numFmtId="0" fontId="8"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11" fillId="0" borderId="1" xfId="1" applyFont="1" applyBorder="1"/>
    <xf numFmtId="0" fontId="6" fillId="0" borderId="1" xfId="1" applyFont="1" applyBorder="1"/>
    <xf numFmtId="0" fontId="0" fillId="0" borderId="8" xfId="0" applyBorder="1" applyAlignment="1">
      <alignment vertical="top"/>
    </xf>
    <xf numFmtId="0" fontId="0" fillId="0" borderId="25" xfId="0" applyBorder="1" applyAlignment="1">
      <alignment horizontal="center" vertical="top"/>
    </xf>
    <xf numFmtId="0" fontId="14" fillId="2" borderId="0" xfId="1" applyFont="1" applyFill="1"/>
    <xf numFmtId="14" fontId="11" fillId="0" borderId="0" xfId="1" applyNumberFormat="1" applyFont="1"/>
    <xf numFmtId="0" fontId="0" fillId="0" borderId="3" xfId="0" applyBorder="1" applyAlignment="1">
      <alignment vertical="top"/>
    </xf>
    <xf numFmtId="0" fontId="0" fillId="0" borderId="3" xfId="0" applyBorder="1" applyAlignment="1">
      <alignment wrapText="1"/>
    </xf>
    <xf numFmtId="0" fontId="0" fillId="0" borderId="25" xfId="0" applyBorder="1" applyAlignment="1">
      <alignment vertical="top"/>
    </xf>
    <xf numFmtId="0" fontId="0" fillId="0" borderId="26" xfId="0" applyBorder="1" applyAlignment="1">
      <alignment vertical="top" wrapText="1"/>
    </xf>
    <xf numFmtId="0" fontId="0" fillId="0" borderId="34" xfId="0" applyBorder="1" applyAlignment="1">
      <alignment vertical="top"/>
    </xf>
    <xf numFmtId="0" fontId="0" fillId="0" borderId="35" xfId="0" applyBorder="1" applyAlignment="1">
      <alignment vertical="top" wrapText="1"/>
    </xf>
    <xf numFmtId="0" fontId="0" fillId="0" borderId="36" xfId="0" applyBorder="1" applyAlignment="1">
      <alignment vertical="top"/>
    </xf>
    <xf numFmtId="0" fontId="0" fillId="0" borderId="12" xfId="0" applyBorder="1" applyAlignment="1">
      <alignment vertical="top" wrapText="1"/>
    </xf>
    <xf numFmtId="0" fontId="0" fillId="0" borderId="12" xfId="0" applyBorder="1" applyAlignment="1">
      <alignment vertical="top"/>
    </xf>
    <xf numFmtId="0" fontId="0" fillId="0" borderId="35" xfId="0" applyBorder="1" applyAlignment="1">
      <alignment horizontal="left" wrapText="1"/>
    </xf>
    <xf numFmtId="0" fontId="0" fillId="0" borderId="16" xfId="0" applyBorder="1" applyAlignment="1">
      <alignment vertical="top"/>
    </xf>
    <xf numFmtId="0" fontId="0" fillId="0" borderId="16" xfId="0" applyBorder="1" applyAlignment="1">
      <alignment vertical="top" wrapText="1"/>
    </xf>
    <xf numFmtId="0" fontId="0" fillId="0" borderId="1" xfId="0" applyBorder="1" applyAlignment="1">
      <alignment vertical="top"/>
    </xf>
    <xf numFmtId="0" fontId="0" fillId="0" borderId="9" xfId="0" applyBorder="1" applyAlignment="1">
      <alignment wrapText="1"/>
    </xf>
    <xf numFmtId="0" fontId="0" fillId="0" borderId="9" xfId="0" applyBorder="1" applyAlignment="1">
      <alignment vertical="top" wrapText="1"/>
    </xf>
    <xf numFmtId="16" fontId="6" fillId="0" borderId="0" xfId="1" applyNumberFormat="1" applyFont="1"/>
    <xf numFmtId="0" fontId="0" fillId="0" borderId="37" xfId="0" applyBorder="1" applyAlignment="1">
      <alignment vertical="top" wrapText="1"/>
    </xf>
    <xf numFmtId="0" fontId="11" fillId="0" borderId="1" xfId="1" applyFont="1" applyBorder="1" applyAlignment="1" applyProtection="1">
      <alignment horizontal="center" vertical="top" wrapText="1"/>
      <protection locked="0"/>
    </xf>
    <xf numFmtId="9" fontId="11" fillId="0" borderId="1" xfId="8" applyFont="1" applyFill="1" applyBorder="1" applyAlignment="1" applyProtection="1">
      <alignment horizontal="center" vertical="top" wrapText="1"/>
      <protection locked="0"/>
    </xf>
    <xf numFmtId="0" fontId="11" fillId="0" borderId="7" xfId="1" applyFont="1" applyBorder="1" applyAlignment="1" applyProtection="1">
      <alignment horizontal="center" vertical="top" wrapText="1"/>
      <protection locked="0"/>
    </xf>
    <xf numFmtId="9" fontId="11" fillId="0" borderId="7" xfId="8" applyFont="1" applyFill="1" applyBorder="1" applyAlignment="1" applyProtection="1">
      <alignment horizontal="center" vertical="top" wrapText="1"/>
      <protection locked="0"/>
    </xf>
    <xf numFmtId="1" fontId="11" fillId="0" borderId="1" xfId="1" applyNumberFormat="1" applyFont="1" applyBorder="1" applyAlignment="1" applyProtection="1">
      <alignment horizontal="center" vertical="top" wrapText="1"/>
      <protection locked="0"/>
    </xf>
    <xf numFmtId="1" fontId="12" fillId="0" borderId="3" xfId="1" applyNumberFormat="1" applyFont="1" applyBorder="1" applyAlignment="1" applyProtection="1">
      <alignment horizontal="center" vertical="top" wrapText="1"/>
      <protection locked="0"/>
    </xf>
    <xf numFmtId="9" fontId="12" fillId="0" borderId="16" xfId="8" applyFont="1" applyFill="1" applyBorder="1" applyAlignment="1" applyProtection="1">
      <alignment horizontal="center" vertical="top" wrapText="1"/>
      <protection locked="0"/>
    </xf>
    <xf numFmtId="0" fontId="6" fillId="0" borderId="0" xfId="1" applyFont="1" applyAlignment="1">
      <alignment horizontal="left" vertical="center"/>
    </xf>
    <xf numFmtId="1" fontId="7" fillId="0" borderId="8" xfId="0" applyNumberFormat="1" applyFont="1" applyBorder="1" applyAlignment="1" applyProtection="1">
      <alignment vertical="top" wrapText="1"/>
      <protection locked="0"/>
    </xf>
    <xf numFmtId="1" fontId="7" fillId="0" borderId="21" xfId="0" applyNumberFormat="1" applyFont="1" applyBorder="1" applyAlignment="1" applyProtection="1">
      <alignment vertical="top" wrapText="1"/>
      <protection locked="0"/>
    </xf>
    <xf numFmtId="1" fontId="7" fillId="0" borderId="9" xfId="0" applyNumberFormat="1" applyFont="1" applyBorder="1" applyAlignment="1" applyProtection="1">
      <alignment vertical="top" wrapText="1"/>
      <protection locked="0"/>
    </xf>
    <xf numFmtId="1" fontId="5" fillId="0" borderId="1" xfId="1" applyNumberFormat="1" applyFont="1" applyBorder="1" applyAlignment="1" applyProtection="1">
      <alignment horizontal="center" vertical="center" wrapText="1"/>
      <protection locked="0"/>
    </xf>
    <xf numFmtId="1" fontId="5" fillId="0" borderId="8" xfId="1" applyNumberFormat="1" applyFont="1" applyBorder="1" applyAlignment="1" applyProtection="1">
      <alignment horizontal="center" vertical="center" wrapText="1"/>
      <protection locked="0"/>
    </xf>
    <xf numFmtId="1" fontId="5" fillId="0" borderId="21"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1" fontId="5" fillId="0" borderId="3" xfId="0" applyNumberFormat="1" applyFont="1" applyBorder="1" applyAlignment="1" applyProtection="1">
      <alignment horizontal="center" vertical="center" wrapText="1"/>
      <protection locked="0"/>
    </xf>
    <xf numFmtId="1" fontId="5" fillId="0" borderId="16" xfId="0" applyNumberFormat="1" applyFont="1" applyBorder="1" applyAlignment="1" applyProtection="1">
      <alignment horizontal="center" vertical="center" wrapText="1"/>
      <protection locked="0"/>
    </xf>
    <xf numFmtId="0" fontId="6" fillId="0" borderId="1" xfId="0" applyFont="1" applyBorder="1" applyAlignment="1" applyProtection="1">
      <alignment horizontal="center" vertical="center"/>
      <protection locked="0"/>
    </xf>
    <xf numFmtId="1" fontId="6" fillId="0" borderId="1" xfId="0" applyNumberFormat="1" applyFont="1" applyBorder="1" applyAlignment="1" applyProtection="1">
      <alignment horizontal="center" vertical="center"/>
      <protection locked="0"/>
    </xf>
    <xf numFmtId="1" fontId="7" fillId="0" borderId="3" xfId="0" applyNumberFormat="1" applyFont="1" applyBorder="1" applyAlignment="1" applyProtection="1">
      <alignment horizontal="center" vertical="center" wrapText="1"/>
      <protection locked="0"/>
    </xf>
    <xf numFmtId="1" fontId="9" fillId="0" borderId="3" xfId="0" applyNumberFormat="1" applyFont="1" applyBorder="1" applyAlignment="1" applyProtection="1">
      <alignment horizontal="center" vertical="center"/>
      <protection locked="0"/>
    </xf>
    <xf numFmtId="1" fontId="16" fillId="0" borderId="8" xfId="0" applyNumberFormat="1" applyFont="1" applyBorder="1" applyAlignment="1" applyProtection="1">
      <alignment vertical="top" wrapText="1"/>
      <protection locked="0"/>
    </xf>
    <xf numFmtId="1" fontId="16" fillId="0" borderId="21" xfId="0" applyNumberFormat="1" applyFont="1" applyBorder="1" applyAlignment="1" applyProtection="1">
      <alignment vertical="top" wrapText="1"/>
      <protection locked="0"/>
    </xf>
    <xf numFmtId="1" fontId="16" fillId="0" borderId="9" xfId="0" applyNumberFormat="1" applyFont="1" applyBorder="1" applyAlignment="1" applyProtection="1">
      <alignment vertical="top" wrapText="1"/>
      <protection locked="0"/>
    </xf>
    <xf numFmtId="0" fontId="6" fillId="0" borderId="0" xfId="1" applyFont="1" applyAlignment="1">
      <alignment horizontal="center" vertical="center"/>
    </xf>
    <xf numFmtId="0" fontId="6" fillId="0" borderId="4"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0" fontId="5" fillId="0" borderId="8"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11" fillId="0" borderId="19" xfId="1" applyFont="1" applyBorder="1" applyAlignment="1" applyProtection="1">
      <alignment horizontal="left" vertical="top"/>
      <protection locked="0"/>
    </xf>
    <xf numFmtId="0" fontId="11" fillId="0" borderId="2" xfId="1" applyFont="1" applyBorder="1" applyAlignment="1" applyProtection="1">
      <alignment horizontal="left" vertical="top"/>
      <protection locked="0"/>
    </xf>
    <xf numFmtId="0" fontId="11" fillId="0" borderId="20" xfId="1" applyFont="1" applyBorder="1" applyAlignment="1" applyProtection="1">
      <alignment horizontal="left" vertical="top"/>
      <protection locked="0"/>
    </xf>
    <xf numFmtId="1" fontId="7" fillId="0" borderId="1" xfId="0" applyNumberFormat="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11" fillId="0" borderId="3" xfId="1" applyFont="1" applyBorder="1" applyAlignment="1" applyProtection="1">
      <alignment horizontal="left" vertical="top" wrapText="1"/>
      <protection locked="0"/>
    </xf>
    <xf numFmtId="0" fontId="11" fillId="0" borderId="1" xfId="1" applyFont="1" applyBorder="1" applyAlignment="1" applyProtection="1">
      <alignment horizontal="center" vertical="top" wrapText="1"/>
      <protection locked="0"/>
    </xf>
    <xf numFmtId="0" fontId="11" fillId="0" borderId="5" xfId="1" applyFont="1" applyBorder="1" applyAlignment="1" applyProtection="1">
      <alignment horizontal="center" vertical="top" wrapText="1"/>
      <protection locked="0"/>
    </xf>
    <xf numFmtId="0" fontId="6" fillId="0" borderId="6"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0" fontId="9" fillId="0" borderId="1" xfId="0" applyFont="1" applyBorder="1" applyAlignment="1" applyProtection="1">
      <alignment horizontal="center" vertical="top" wrapText="1"/>
      <protection locked="0"/>
    </xf>
    <xf numFmtId="0" fontId="7" fillId="0" borderId="16" xfId="1" applyFont="1" applyBorder="1" applyAlignment="1" applyProtection="1">
      <alignment horizontal="center" vertical="top"/>
      <protection locked="0"/>
    </xf>
    <xf numFmtId="1" fontId="7" fillId="0" borderId="17" xfId="1" applyNumberFormat="1" applyFont="1" applyBorder="1" applyAlignment="1" applyProtection="1">
      <alignment horizontal="center" vertical="top" wrapText="1"/>
      <protection locked="0"/>
    </xf>
    <xf numFmtId="1" fontId="7" fillId="0" borderId="19" xfId="1" applyNumberFormat="1" applyFont="1" applyBorder="1" applyAlignment="1" applyProtection="1">
      <alignment horizontal="center" vertical="top" wrapText="1"/>
      <protection locked="0"/>
    </xf>
    <xf numFmtId="1" fontId="12" fillId="0" borderId="3" xfId="1" applyNumberFormat="1" applyFont="1" applyBorder="1" applyAlignment="1" applyProtection="1">
      <alignment horizontal="center" vertical="top" wrapText="1"/>
      <protection locked="0"/>
    </xf>
    <xf numFmtId="1" fontId="12" fillId="0" borderId="16" xfId="1" applyNumberFormat="1" applyFont="1" applyBorder="1" applyAlignment="1" applyProtection="1">
      <alignment horizontal="center" vertical="top" wrapText="1"/>
      <protection locked="0"/>
    </xf>
    <xf numFmtId="0" fontId="7" fillId="0" borderId="16" xfId="1" applyFont="1" applyBorder="1" applyAlignment="1" applyProtection="1">
      <alignment horizontal="left" vertical="top"/>
      <protection locked="0"/>
    </xf>
    <xf numFmtId="0" fontId="5" fillId="0" borderId="1" xfId="1" applyFont="1" applyBorder="1" applyAlignment="1" applyProtection="1">
      <alignment horizontal="left" vertical="top"/>
      <protection locked="0"/>
    </xf>
    <xf numFmtId="0" fontId="6" fillId="0" borderId="25" xfId="1" applyFont="1" applyBorder="1" applyAlignment="1">
      <alignment horizontal="center"/>
    </xf>
    <xf numFmtId="0" fontId="6" fillId="0" borderId="0" xfId="1" applyFont="1" applyAlignment="1">
      <alignment horizontal="center"/>
    </xf>
    <xf numFmtId="167" fontId="11" fillId="0" borderId="1" xfId="9" applyNumberFormat="1" applyFont="1" applyFill="1" applyBorder="1" applyAlignment="1" applyProtection="1">
      <alignment horizontal="left" vertical="top"/>
      <protection locked="0"/>
    </xf>
    <xf numFmtId="167" fontId="14" fillId="0" borderId="1" xfId="9" applyNumberFormat="1" applyFont="1" applyFill="1" applyBorder="1" applyAlignment="1" applyProtection="1">
      <alignment horizontal="left" vertical="top"/>
      <protection locked="0"/>
    </xf>
    <xf numFmtId="0" fontId="12" fillId="0" borderId="1" xfId="1" applyFont="1" applyBorder="1" applyAlignment="1" applyProtection="1">
      <alignment horizontal="center" vertical="top"/>
      <protection locked="0"/>
    </xf>
    <xf numFmtId="1" fontId="7" fillId="0" borderId="1" xfId="0" applyNumberFormat="1" applyFont="1" applyBorder="1" applyAlignment="1" applyProtection="1">
      <alignment horizontal="center" vertical="top" wrapText="1"/>
      <protection locked="0"/>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168" fontId="5" fillId="0" borderId="1" xfId="1" applyNumberFormat="1" applyFont="1" applyBorder="1" applyAlignment="1" applyProtection="1">
      <alignment horizontal="left" vertical="top"/>
      <protection locked="0"/>
    </xf>
    <xf numFmtId="1" fontId="5"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protection locked="0"/>
    </xf>
    <xf numFmtId="0" fontId="11" fillId="0" borderId="1" xfId="1" applyFont="1" applyBorder="1" applyAlignment="1" applyProtection="1">
      <alignment horizontal="left" vertical="top" wrapText="1"/>
      <protection locked="0"/>
    </xf>
    <xf numFmtId="0" fontId="11" fillId="0" borderId="1" xfId="1" applyFont="1" applyBorder="1" applyAlignment="1" applyProtection="1">
      <alignment horizontal="left" vertical="top"/>
      <protection locked="0"/>
    </xf>
    <xf numFmtId="14" fontId="7" fillId="0" borderId="8" xfId="1" applyNumberFormat="1" applyFont="1" applyBorder="1" applyAlignment="1" applyProtection="1">
      <alignment horizontal="left" vertical="top"/>
      <protection locked="0"/>
    </xf>
    <xf numFmtId="14" fontId="7" fillId="0" borderId="9" xfId="1" applyNumberFormat="1" applyFont="1" applyBorder="1" applyAlignment="1" applyProtection="1">
      <alignment horizontal="left" vertical="top"/>
      <protection locked="0"/>
    </xf>
    <xf numFmtId="0" fontId="14" fillId="0" borderId="17" xfId="1" applyFont="1" applyBorder="1" applyAlignment="1" applyProtection="1">
      <alignment horizontal="left" vertical="top" wrapText="1"/>
      <protection locked="0"/>
    </xf>
    <xf numFmtId="0" fontId="14" fillId="0" borderId="18" xfId="1" applyFont="1" applyBorder="1" applyAlignment="1" applyProtection="1">
      <alignment horizontal="left" vertical="top" wrapText="1"/>
      <protection locked="0"/>
    </xf>
    <xf numFmtId="0" fontId="14" fillId="0" borderId="19" xfId="1" applyFont="1" applyBorder="1" applyAlignment="1" applyProtection="1">
      <alignment horizontal="left" vertical="top" wrapText="1"/>
      <protection locked="0"/>
    </xf>
    <xf numFmtId="0" fontId="14" fillId="0" borderId="20" xfId="1" applyFont="1" applyBorder="1" applyAlignment="1" applyProtection="1">
      <alignment horizontal="left" vertical="top" wrapText="1"/>
      <protection locked="0"/>
    </xf>
    <xf numFmtId="0" fontId="5" fillId="0" borderId="1" xfId="1" applyFont="1" applyBorder="1" applyAlignment="1" applyProtection="1">
      <alignment vertical="top"/>
      <protection locked="0"/>
    </xf>
    <xf numFmtId="0" fontId="9" fillId="0" borderId="3" xfId="0" applyFont="1" applyBorder="1" applyAlignment="1" applyProtection="1">
      <alignment horizontal="center" vertical="center"/>
      <protection locked="0"/>
    </xf>
    <xf numFmtId="1" fontId="7" fillId="0" borderId="8"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1" fontId="12" fillId="0" borderId="8" xfId="0" applyNumberFormat="1" applyFont="1" applyBorder="1" applyAlignment="1" applyProtection="1">
      <alignment vertical="top" wrapText="1"/>
      <protection locked="0"/>
    </xf>
    <xf numFmtId="1" fontId="12" fillId="0" borderId="21" xfId="0" applyNumberFormat="1" applyFont="1" applyBorder="1" applyAlignment="1" applyProtection="1">
      <alignment vertical="top" wrapText="1"/>
      <protection locked="0"/>
    </xf>
    <xf numFmtId="1" fontId="12" fillId="0" borderId="9" xfId="0" applyNumberFormat="1" applyFont="1" applyBorder="1" applyAlignment="1" applyProtection="1">
      <alignment vertical="top" wrapText="1"/>
      <protection locked="0"/>
    </xf>
    <xf numFmtId="1" fontId="7" fillId="0" borderId="32" xfId="0" applyNumberFormat="1" applyFont="1" applyBorder="1" applyAlignment="1" applyProtection="1">
      <alignment horizontal="center" vertical="center" wrapText="1"/>
      <protection locked="0"/>
    </xf>
    <xf numFmtId="1" fontId="7" fillId="0" borderId="33" xfId="0" applyNumberFormat="1" applyFont="1" applyBorder="1" applyAlignment="1" applyProtection="1">
      <alignment horizontal="center" vertical="center" wrapText="1"/>
      <protection locked="0"/>
    </xf>
    <xf numFmtId="1" fontId="30" fillId="0" borderId="3" xfId="1" applyNumberFormat="1" applyFont="1" applyBorder="1" applyAlignment="1" applyProtection="1">
      <alignment horizontal="center" vertical="top" wrapText="1"/>
      <protection locked="0"/>
    </xf>
    <xf numFmtId="1" fontId="30" fillId="0" borderId="16" xfId="1" applyNumberFormat="1" applyFont="1" applyBorder="1" applyAlignment="1" applyProtection="1">
      <alignment horizontal="center" vertical="top" wrapText="1"/>
      <protection locked="0"/>
    </xf>
    <xf numFmtId="0" fontId="12" fillId="0" borderId="16" xfId="1" applyFont="1" applyBorder="1" applyAlignment="1" applyProtection="1">
      <alignment horizontal="center" vertical="top"/>
      <protection locked="0"/>
    </xf>
    <xf numFmtId="1" fontId="7" fillId="5" borderId="8" xfId="1" applyNumberFormat="1" applyFont="1" applyFill="1" applyBorder="1" applyAlignment="1" applyProtection="1">
      <alignment horizontal="center" vertical="center" wrapText="1"/>
      <protection locked="0"/>
    </xf>
    <xf numFmtId="1" fontId="7" fillId="5" borderId="21" xfId="1" applyNumberFormat="1" applyFont="1" applyFill="1" applyBorder="1" applyAlignment="1" applyProtection="1">
      <alignment horizontal="center" vertical="center" wrapText="1"/>
      <protection locked="0"/>
    </xf>
    <xf numFmtId="1" fontId="7" fillId="5" borderId="9" xfId="1" applyNumberFormat="1" applyFont="1" applyFill="1" applyBorder="1" applyAlignment="1" applyProtection="1">
      <alignment horizontal="center" vertical="center" wrapText="1"/>
      <protection locked="0"/>
    </xf>
    <xf numFmtId="1" fontId="7" fillId="0" borderId="1" xfId="1"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0" fontId="7" fillId="0" borderId="1" xfId="1" applyFont="1" applyBorder="1" applyAlignment="1" applyProtection="1">
      <alignment horizontal="left" vertical="top"/>
      <protection locked="0"/>
    </xf>
    <xf numFmtId="0" fontId="7" fillId="0" borderId="1" xfId="1" applyFont="1" applyBorder="1" applyAlignment="1" applyProtection="1">
      <alignment vertical="top"/>
      <protection locked="0"/>
    </xf>
    <xf numFmtId="1" fontId="9" fillId="0" borderId="33" xfId="0" applyNumberFormat="1" applyFont="1" applyBorder="1" applyAlignment="1" applyProtection="1">
      <alignment horizontal="center" vertical="center"/>
      <protection locked="0"/>
    </xf>
    <xf numFmtId="0" fontId="9" fillId="0" borderId="33" xfId="0" applyFont="1" applyBorder="1" applyAlignment="1" applyProtection="1">
      <alignment horizontal="center" vertical="center"/>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0" fontId="12" fillId="0" borderId="1" xfId="1" applyFont="1" applyBorder="1" applyAlignment="1" applyProtection="1">
      <alignment horizontal="left" vertical="top"/>
      <protection locked="0"/>
    </xf>
    <xf numFmtId="14" fontId="11" fillId="0" borderId="1" xfId="1" applyNumberFormat="1" applyFont="1" applyBorder="1" applyAlignment="1" applyProtection="1">
      <alignment horizontal="left" vertical="top"/>
      <protection locked="0"/>
    </xf>
    <xf numFmtId="0" fontId="11" fillId="0" borderId="1" xfId="1" applyFont="1" applyBorder="1" applyAlignment="1" applyProtection="1">
      <alignment horizontal="left"/>
      <protection locked="0"/>
    </xf>
    <xf numFmtId="0" fontId="14" fillId="0" borderId="25" xfId="1" applyFont="1" applyBorder="1" applyAlignment="1" applyProtection="1">
      <alignment horizontal="left" vertical="top" wrapText="1"/>
      <protection locked="0"/>
    </xf>
    <xf numFmtId="0" fontId="14" fillId="0" borderId="26" xfId="1" applyFont="1" applyBorder="1" applyAlignment="1" applyProtection="1">
      <alignment horizontal="left" vertical="top" wrapText="1"/>
      <protection locked="0"/>
    </xf>
    <xf numFmtId="0" fontId="5" fillId="0" borderId="21" xfId="1" applyFont="1" applyBorder="1" applyAlignment="1" applyProtection="1">
      <alignment horizontal="left" vertical="top" wrapText="1"/>
      <protection locked="0"/>
    </xf>
    <xf numFmtId="0" fontId="5" fillId="0" borderId="17" xfId="1" applyFont="1" applyBorder="1" applyAlignment="1" applyProtection="1">
      <alignment horizontal="center" vertical="top" wrapText="1"/>
      <protection locked="0"/>
    </xf>
    <xf numFmtId="0" fontId="5" fillId="0" borderId="24" xfId="1" applyFont="1" applyBorder="1" applyAlignment="1" applyProtection="1">
      <alignment horizontal="center" vertical="top" wrapText="1"/>
      <protection locked="0"/>
    </xf>
    <xf numFmtId="0" fontId="5" fillId="0" borderId="18" xfId="1" applyFont="1" applyBorder="1" applyAlignment="1" applyProtection="1">
      <alignment horizontal="center" vertical="top" wrapText="1"/>
      <protection locked="0"/>
    </xf>
    <xf numFmtId="0" fontId="5" fillId="0" borderId="19" xfId="1" applyFont="1" applyBorder="1" applyAlignment="1" applyProtection="1">
      <alignment horizontal="center" vertical="top" wrapText="1"/>
      <protection locked="0"/>
    </xf>
    <xf numFmtId="0" fontId="5" fillId="0" borderId="2" xfId="1" applyFont="1" applyBorder="1" applyAlignment="1" applyProtection="1">
      <alignment horizontal="center" vertical="top" wrapText="1"/>
      <protection locked="0"/>
    </xf>
    <xf numFmtId="0" fontId="5" fillId="0" borderId="20" xfId="1" applyFont="1" applyBorder="1" applyAlignment="1" applyProtection="1">
      <alignment horizontal="center" vertical="top" wrapText="1"/>
      <protection locked="0"/>
    </xf>
    <xf numFmtId="164" fontId="5" fillId="0" borderId="1" xfId="1" applyNumberFormat="1" applyFont="1" applyBorder="1" applyAlignment="1" applyProtection="1">
      <alignment horizontal="left" vertical="top"/>
      <protection locked="0"/>
    </xf>
    <xf numFmtId="0" fontId="11" fillId="0" borderId="1" xfId="1" applyFont="1" applyBorder="1" applyAlignment="1" applyProtection="1">
      <alignment horizontal="center"/>
      <protection locked="0"/>
    </xf>
    <xf numFmtId="0" fontId="11" fillId="0" borderId="8" xfId="1" applyFont="1" applyBorder="1" applyAlignment="1" applyProtection="1">
      <alignment horizontal="center" vertical="top"/>
      <protection locked="0"/>
    </xf>
    <xf numFmtId="0" fontId="11" fillId="0" borderId="21" xfId="1" applyFont="1" applyBorder="1" applyAlignment="1" applyProtection="1">
      <alignment horizontal="center" vertical="top"/>
      <protection locked="0"/>
    </xf>
    <xf numFmtId="0" fontId="11" fillId="0" borderId="9" xfId="1" applyFont="1" applyBorder="1" applyAlignment="1" applyProtection="1">
      <alignment horizontal="center" vertical="top"/>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0" fontId="7" fillId="0" borderId="22" xfId="1" applyFont="1" applyBorder="1" applyAlignment="1" applyProtection="1">
      <alignment horizontal="left" vertical="top" wrapText="1"/>
      <protection locked="0"/>
    </xf>
    <xf numFmtId="0" fontId="7" fillId="0" borderId="15" xfId="1" applyFont="1" applyBorder="1" applyAlignment="1" applyProtection="1">
      <alignment horizontal="left" vertical="top" wrapText="1"/>
      <protection locked="0"/>
    </xf>
    <xf numFmtId="0" fontId="12" fillId="0" borderId="13" xfId="1" applyFont="1" applyBorder="1" applyAlignment="1" applyProtection="1">
      <alignment horizontal="left" vertical="top" wrapText="1"/>
      <protection locked="0"/>
    </xf>
    <xf numFmtId="0" fontId="12" fillId="0" borderId="14" xfId="1" applyFont="1" applyBorder="1" applyAlignment="1" applyProtection="1">
      <alignment horizontal="left" vertical="top" wrapText="1"/>
      <protection locked="0"/>
    </xf>
    <xf numFmtId="0" fontId="12" fillId="0" borderId="23" xfId="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12" fillId="0" borderId="5" xfId="1" applyFont="1" applyBorder="1" applyAlignment="1" applyProtection="1">
      <alignment horizontal="left" vertical="top" wrapText="1"/>
      <protection locked="0"/>
    </xf>
    <xf numFmtId="0" fontId="5" fillId="0" borderId="3" xfId="1" applyFont="1" applyBorder="1" applyAlignment="1" applyProtection="1">
      <alignment horizontal="left" vertical="top" wrapText="1"/>
      <protection locked="0"/>
    </xf>
    <xf numFmtId="0" fontId="5" fillId="0" borderId="3" xfId="1" applyFont="1" applyBorder="1" applyAlignment="1" applyProtection="1">
      <alignment horizontal="left" vertical="top"/>
      <protection locked="0"/>
    </xf>
    <xf numFmtId="1" fontId="11" fillId="0" borderId="1" xfId="1" applyNumberFormat="1" applyFont="1" applyBorder="1" applyAlignment="1" applyProtection="1">
      <alignment horizontal="left" vertical="top" wrapText="1"/>
      <protection locked="0"/>
    </xf>
    <xf numFmtId="2" fontId="5" fillId="0" borderId="1" xfId="1" applyNumberFormat="1" applyFont="1" applyBorder="1" applyAlignment="1" applyProtection="1">
      <alignment horizontal="left" vertical="top"/>
      <protection locked="0"/>
    </xf>
    <xf numFmtId="0" fontId="11" fillId="0" borderId="3" xfId="1" applyFont="1" applyBorder="1" applyAlignment="1" applyProtection="1">
      <alignment horizontal="left" vertical="top"/>
      <protection locked="0"/>
    </xf>
    <xf numFmtId="0" fontId="11" fillId="0" borderId="17" xfId="1" applyFont="1" applyBorder="1" applyAlignment="1" applyProtection="1">
      <alignment horizontal="left" vertical="top" wrapText="1"/>
      <protection locked="0"/>
    </xf>
    <xf numFmtId="0" fontId="11" fillId="0" borderId="24" xfId="1" applyFont="1" applyBorder="1" applyAlignment="1" applyProtection="1">
      <alignment horizontal="left" vertical="top" wrapText="1"/>
      <protection locked="0"/>
    </xf>
    <xf numFmtId="0" fontId="11" fillId="0" borderId="18" xfId="1" applyFont="1" applyBorder="1" applyAlignment="1" applyProtection="1">
      <alignment horizontal="left" vertical="top" wrapText="1"/>
      <protection locked="0"/>
    </xf>
    <xf numFmtId="0" fontId="12" fillId="0" borderId="8" xfId="1" applyFont="1" applyBorder="1" applyAlignment="1" applyProtection="1">
      <alignment horizontal="left" vertical="top"/>
      <protection locked="0"/>
    </xf>
    <xf numFmtId="0" fontId="12" fillId="0" borderId="21" xfId="1" applyFont="1" applyBorder="1" applyAlignment="1" applyProtection="1">
      <alignment horizontal="left" vertical="top"/>
      <protection locked="0"/>
    </xf>
    <xf numFmtId="0" fontId="12" fillId="0" borderId="9" xfId="1" applyFont="1" applyBorder="1" applyAlignment="1" applyProtection="1">
      <alignment horizontal="left" vertical="top"/>
      <protection locked="0"/>
    </xf>
    <xf numFmtId="0" fontId="11" fillId="0" borderId="25" xfId="1" applyFont="1" applyBorder="1" applyAlignment="1" applyProtection="1">
      <alignment horizontal="left" vertical="top" wrapText="1"/>
      <protection locked="0"/>
    </xf>
    <xf numFmtId="0" fontId="11" fillId="0" borderId="0" xfId="1" applyFont="1" applyAlignment="1" applyProtection="1">
      <alignment horizontal="left" vertical="top" wrapText="1"/>
      <protection locked="0"/>
    </xf>
    <xf numFmtId="0" fontId="11" fillId="0" borderId="19" xfId="1" applyFont="1" applyBorder="1" applyAlignment="1" applyProtection="1">
      <alignment horizontal="left" vertical="top" wrapText="1"/>
      <protection locked="0"/>
    </xf>
    <xf numFmtId="0" fontId="11" fillId="0" borderId="2" xfId="1" applyFont="1" applyBorder="1" applyAlignment="1" applyProtection="1">
      <alignment horizontal="left" vertical="top" wrapText="1"/>
      <protection locked="0"/>
    </xf>
    <xf numFmtId="0" fontId="11" fillId="0" borderId="17" xfId="1" applyFont="1" applyBorder="1" applyAlignment="1" applyProtection="1">
      <alignment horizontal="left" vertical="top"/>
      <protection locked="0"/>
    </xf>
    <xf numFmtId="0" fontId="11" fillId="0" borderId="24" xfId="1" applyFont="1" applyBorder="1" applyAlignment="1" applyProtection="1">
      <alignment horizontal="left" vertical="top"/>
      <protection locked="0"/>
    </xf>
    <xf numFmtId="0" fontId="11" fillId="0" borderId="18" xfId="1" applyFont="1" applyBorder="1" applyAlignment="1" applyProtection="1">
      <alignment horizontal="left" vertical="top"/>
      <protection locked="0"/>
    </xf>
    <xf numFmtId="14" fontId="5" fillId="0" borderId="8" xfId="1" applyNumberFormat="1" applyFont="1" applyBorder="1" applyAlignment="1" applyProtection="1">
      <alignment horizontal="left" vertical="top" wrapText="1"/>
      <protection locked="0"/>
    </xf>
    <xf numFmtId="14" fontId="5" fillId="0" borderId="9" xfId="1" applyNumberFormat="1" applyFont="1" applyBorder="1" applyAlignment="1" applyProtection="1">
      <alignment horizontal="left" vertical="top" wrapText="1"/>
      <protection locked="0"/>
    </xf>
    <xf numFmtId="0" fontId="12" fillId="0" borderId="4" xfId="1" applyFont="1" applyBorder="1" applyAlignment="1" applyProtection="1">
      <alignment horizontal="left" vertical="top"/>
      <protection locked="0"/>
    </xf>
    <xf numFmtId="0" fontId="11" fillId="0" borderId="16" xfId="1" applyFont="1" applyBorder="1" applyAlignment="1" applyProtection="1">
      <alignment horizontal="left" vertical="top" wrapText="1"/>
      <protection locked="0"/>
    </xf>
    <xf numFmtId="0" fontId="5" fillId="0" borderId="8" xfId="1" applyFont="1" applyBorder="1" applyAlignment="1" applyProtection="1">
      <alignment vertical="top" wrapText="1"/>
      <protection locked="0"/>
    </xf>
    <xf numFmtId="0" fontId="5" fillId="0" borderId="21" xfId="1" applyFont="1" applyBorder="1" applyAlignment="1" applyProtection="1">
      <alignment vertical="top" wrapText="1"/>
      <protection locked="0"/>
    </xf>
    <xf numFmtId="0" fontId="5" fillId="0" borderId="9" xfId="1" applyFont="1" applyBorder="1" applyAlignment="1" applyProtection="1">
      <alignmen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25" xfId="1" applyFont="1" applyBorder="1" applyAlignment="1" applyProtection="1">
      <alignment horizontal="left" vertical="top" wrapText="1"/>
      <protection locked="0"/>
    </xf>
    <xf numFmtId="0" fontId="5" fillId="0" borderId="26"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5" fillId="0" borderId="20" xfId="1" applyFont="1" applyBorder="1" applyAlignment="1" applyProtection="1">
      <alignment horizontal="left" vertical="top" wrapText="1"/>
      <protection locked="0"/>
    </xf>
    <xf numFmtId="0" fontId="5" fillId="0" borderId="24" xfId="1" applyFont="1" applyBorder="1" applyAlignment="1" applyProtection="1">
      <alignment horizontal="left" vertical="top" wrapText="1"/>
      <protection locked="0"/>
    </xf>
    <xf numFmtId="0" fontId="5" fillId="0" borderId="2" xfId="1" applyFont="1" applyBorder="1" applyAlignment="1" applyProtection="1">
      <alignment horizontal="left" vertical="top" wrapText="1"/>
      <protection locked="0"/>
    </xf>
    <xf numFmtId="2" fontId="5" fillId="0" borderId="1" xfId="1" applyNumberFormat="1" applyFont="1" applyBorder="1" applyAlignment="1" applyProtection="1">
      <alignment horizontal="left" vertical="top" wrapText="1"/>
      <protection locked="0"/>
    </xf>
    <xf numFmtId="9" fontId="11" fillId="0" borderId="17" xfId="8" applyFont="1" applyFill="1" applyBorder="1" applyAlignment="1" applyProtection="1">
      <alignment horizontal="center" vertical="center" wrapText="1"/>
      <protection locked="0"/>
    </xf>
    <xf numFmtId="9" fontId="11" fillId="0" borderId="27" xfId="8" applyFont="1" applyFill="1" applyBorder="1" applyAlignment="1" applyProtection="1">
      <alignment horizontal="center" vertical="center" wrapText="1"/>
      <protection locked="0"/>
    </xf>
    <xf numFmtId="9" fontId="11" fillId="0" borderId="25" xfId="8" applyFont="1" applyFill="1" applyBorder="1" applyAlignment="1" applyProtection="1">
      <alignment horizontal="center" vertical="center" wrapText="1"/>
      <protection locked="0"/>
    </xf>
    <xf numFmtId="9" fontId="11" fillId="0" borderId="10" xfId="8" applyFont="1" applyFill="1" applyBorder="1" applyAlignment="1" applyProtection="1">
      <alignment horizontal="center" vertical="center" wrapText="1"/>
      <protection locked="0"/>
    </xf>
    <xf numFmtId="9" fontId="11" fillId="0" borderId="28" xfId="8" applyFont="1" applyFill="1" applyBorder="1" applyAlignment="1" applyProtection="1">
      <alignment horizontal="center" vertical="center" wrapText="1"/>
      <protection locked="0"/>
    </xf>
    <xf numFmtId="9" fontId="11" fillId="0" borderId="12" xfId="8" applyFont="1" applyFill="1" applyBorder="1" applyAlignment="1" applyProtection="1">
      <alignment horizontal="center" vertical="center" wrapText="1"/>
      <protection locked="0"/>
    </xf>
    <xf numFmtId="0" fontId="26" fillId="0" borderId="1" xfId="10" applyFill="1" applyBorder="1" applyAlignment="1" applyProtection="1">
      <alignment horizontal="left" vertical="top" wrapText="1"/>
      <protection locked="0"/>
    </xf>
    <xf numFmtId="9" fontId="11" fillId="0" borderId="18" xfId="8" applyFont="1" applyFill="1" applyBorder="1" applyAlignment="1" applyProtection="1">
      <alignment horizontal="center" vertical="center" wrapText="1"/>
      <protection locked="0"/>
    </xf>
    <xf numFmtId="9" fontId="11" fillId="0" borderId="26" xfId="8" applyFont="1" applyFill="1" applyBorder="1" applyAlignment="1" applyProtection="1">
      <alignment horizontal="center" vertical="center" wrapText="1"/>
      <protection locked="0"/>
    </xf>
    <xf numFmtId="9" fontId="11" fillId="0" borderId="29" xfId="8" applyFont="1" applyFill="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protection locked="0"/>
    </xf>
    <xf numFmtId="0" fontId="8" fillId="0" borderId="1" xfId="5" applyFont="1" applyBorder="1" applyAlignment="1">
      <alignment horizontal="left"/>
    </xf>
    <xf numFmtId="0" fontId="0" fillId="0" borderId="25" xfId="0" applyBorder="1" applyAlignment="1">
      <alignment horizontal="left" vertical="top" wrapText="1"/>
    </xf>
    <xf numFmtId="0" fontId="0" fillId="0" borderId="0" xfId="0" applyAlignment="1">
      <alignment horizontal="left" vertical="top" wrapText="1"/>
    </xf>
    <xf numFmtId="0" fontId="0" fillId="2" borderId="1" xfId="0" applyFill="1" applyBorder="1" applyAlignment="1">
      <alignment horizontal="center" vertical="center" wrapText="1"/>
    </xf>
    <xf numFmtId="0" fontId="8"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5" borderId="1" xfId="0" applyFont="1" applyFill="1" applyBorder="1" applyAlignment="1">
      <alignment horizontal="center" vertical="center"/>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g"/><Relationship Id="rId13" Type="http://schemas.openxmlformats.org/officeDocument/2006/relationships/image" Target="../media/image13.pn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jp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png"/><Relationship Id="rId5" Type="http://schemas.openxmlformats.org/officeDocument/2006/relationships/image" Target="../media/image5.jpeg"/><Relationship Id="rId10" Type="http://schemas.openxmlformats.org/officeDocument/2006/relationships/image" Target="../media/image10.png"/><Relationship Id="rId4" Type="http://schemas.openxmlformats.org/officeDocument/2006/relationships/image" Target="../media/image4.jpe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7.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xdr:from>
      <xdr:col>0</xdr:col>
      <xdr:colOff>137161</xdr:colOff>
      <xdr:row>245</xdr:row>
      <xdr:rowOff>38100</xdr:rowOff>
    </xdr:from>
    <xdr:to>
      <xdr:col>7</xdr:col>
      <xdr:colOff>617221</xdr:colOff>
      <xdr:row>282</xdr:row>
      <xdr:rowOff>83820</xdr:rowOff>
    </xdr:to>
    <xdr:grpSp>
      <xdr:nvGrpSpPr>
        <xdr:cNvPr id="2" name="Group 1">
          <a:extLst>
            <a:ext uri="{FF2B5EF4-FFF2-40B4-BE49-F238E27FC236}">
              <a16:creationId xmlns:a16="http://schemas.microsoft.com/office/drawing/2014/main" id="{E63EA081-6CF5-BC9F-228C-491E01C8A646}"/>
            </a:ext>
          </a:extLst>
        </xdr:cNvPr>
        <xdr:cNvGrpSpPr/>
      </xdr:nvGrpSpPr>
      <xdr:grpSpPr>
        <a:xfrm>
          <a:off x="137161" y="48646080"/>
          <a:ext cx="6210300" cy="7368540"/>
          <a:chOff x="176513" y="137736"/>
          <a:chExt cx="6408921" cy="7605340"/>
        </a:xfrm>
      </xdr:grpSpPr>
      <xdr:grpSp>
        <xdr:nvGrpSpPr>
          <xdr:cNvPr id="3" name="Group 2">
            <a:extLst>
              <a:ext uri="{FF2B5EF4-FFF2-40B4-BE49-F238E27FC236}">
                <a16:creationId xmlns:a16="http://schemas.microsoft.com/office/drawing/2014/main" id="{FE5C6506-CD2B-C0DF-08E8-9D1CABF4CA16}"/>
              </a:ext>
            </a:extLst>
          </xdr:cNvPr>
          <xdr:cNvGrpSpPr/>
        </xdr:nvGrpSpPr>
        <xdr:grpSpPr>
          <a:xfrm>
            <a:off x="300335" y="137736"/>
            <a:ext cx="6161276" cy="2880000"/>
            <a:chOff x="424158" y="137736"/>
            <a:chExt cx="6161276" cy="2880000"/>
          </a:xfrm>
        </xdr:grpSpPr>
        <xdr:pic>
          <xdr:nvPicPr>
            <xdr:cNvPr id="12" name="Picture 11">
              <a:extLst>
                <a:ext uri="{FF2B5EF4-FFF2-40B4-BE49-F238E27FC236}">
                  <a16:creationId xmlns:a16="http://schemas.microsoft.com/office/drawing/2014/main" id="{D1A28360-60DC-2352-B85C-76346B2EC3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4158" y="137736"/>
              <a:ext cx="2157750" cy="2880000"/>
            </a:xfrm>
            <a:prstGeom prst="rect">
              <a:avLst/>
            </a:prstGeom>
            <a:ln>
              <a:solidFill>
                <a:schemeClr val="tx1"/>
              </a:solidFill>
            </a:ln>
          </xdr:spPr>
        </xdr:pic>
        <xdr:pic>
          <xdr:nvPicPr>
            <xdr:cNvPr id="13" name="Picture 12">
              <a:extLst>
                <a:ext uri="{FF2B5EF4-FFF2-40B4-BE49-F238E27FC236}">
                  <a16:creationId xmlns:a16="http://schemas.microsoft.com/office/drawing/2014/main" id="{4672B513-339A-0001-DD0B-903F7F34CD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8989" y="137736"/>
              <a:ext cx="3836445" cy="2880000"/>
            </a:xfrm>
            <a:prstGeom prst="rect">
              <a:avLst/>
            </a:prstGeom>
            <a:ln>
              <a:solidFill>
                <a:schemeClr val="tx1"/>
              </a:solidFill>
            </a:ln>
          </xdr:spPr>
        </xdr:pic>
      </xdr:grpSp>
      <xdr:grpSp>
        <xdr:nvGrpSpPr>
          <xdr:cNvPr id="4" name="Group 3">
            <a:extLst>
              <a:ext uri="{FF2B5EF4-FFF2-40B4-BE49-F238E27FC236}">
                <a16:creationId xmlns:a16="http://schemas.microsoft.com/office/drawing/2014/main" id="{C67AE728-F3A1-3766-76AA-7F768B13CB02}"/>
              </a:ext>
            </a:extLst>
          </xdr:cNvPr>
          <xdr:cNvGrpSpPr/>
        </xdr:nvGrpSpPr>
        <xdr:grpSpPr>
          <a:xfrm>
            <a:off x="392385" y="3220406"/>
            <a:ext cx="5977177" cy="2520000"/>
            <a:chOff x="499456" y="3220406"/>
            <a:chExt cx="5977177" cy="2520000"/>
          </a:xfrm>
        </xdr:grpSpPr>
        <xdr:pic>
          <xdr:nvPicPr>
            <xdr:cNvPr id="9" name="Picture 8">
              <a:extLst>
                <a:ext uri="{FF2B5EF4-FFF2-40B4-BE49-F238E27FC236}">
                  <a16:creationId xmlns:a16="http://schemas.microsoft.com/office/drawing/2014/main" id="{53FD5649-D65F-77BF-06ED-28094470310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588602" y="3220406"/>
              <a:ext cx="1888031" cy="2520000"/>
            </a:xfrm>
            <a:prstGeom prst="rect">
              <a:avLst/>
            </a:prstGeom>
            <a:ln>
              <a:solidFill>
                <a:schemeClr val="tx1"/>
              </a:solidFill>
            </a:ln>
          </xdr:spPr>
        </xdr:pic>
        <xdr:pic>
          <xdr:nvPicPr>
            <xdr:cNvPr id="10" name="Picture 9">
              <a:extLst>
                <a:ext uri="{FF2B5EF4-FFF2-40B4-BE49-F238E27FC236}">
                  <a16:creationId xmlns:a16="http://schemas.microsoft.com/office/drawing/2014/main" id="{22388BCB-F224-160C-A924-0EC2BABD76E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544029" y="3220406"/>
              <a:ext cx="1888031" cy="2520000"/>
            </a:xfrm>
            <a:prstGeom prst="rect">
              <a:avLst/>
            </a:prstGeom>
            <a:ln>
              <a:solidFill>
                <a:schemeClr val="tx1"/>
              </a:solidFill>
            </a:ln>
          </xdr:spPr>
        </xdr:pic>
        <xdr:pic>
          <xdr:nvPicPr>
            <xdr:cNvPr id="11" name="Picture 10">
              <a:extLst>
                <a:ext uri="{FF2B5EF4-FFF2-40B4-BE49-F238E27FC236}">
                  <a16:creationId xmlns:a16="http://schemas.microsoft.com/office/drawing/2014/main" id="{9D5C8958-A3E7-F3CD-0D2B-A55BA293FF38}"/>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99456" y="3220406"/>
              <a:ext cx="1888031" cy="2520000"/>
            </a:xfrm>
            <a:prstGeom prst="rect">
              <a:avLst/>
            </a:prstGeom>
            <a:ln>
              <a:solidFill>
                <a:schemeClr val="tx1"/>
              </a:solidFill>
            </a:ln>
          </xdr:spPr>
        </xdr:pic>
      </xdr:grpSp>
      <xdr:grpSp>
        <xdr:nvGrpSpPr>
          <xdr:cNvPr id="5" name="Group 4">
            <a:extLst>
              <a:ext uri="{FF2B5EF4-FFF2-40B4-BE49-F238E27FC236}">
                <a16:creationId xmlns:a16="http://schemas.microsoft.com/office/drawing/2014/main" id="{75BE8548-A11E-AECD-0EA8-1307F20032AC}"/>
              </a:ext>
            </a:extLst>
          </xdr:cNvPr>
          <xdr:cNvGrpSpPr/>
        </xdr:nvGrpSpPr>
        <xdr:grpSpPr>
          <a:xfrm>
            <a:off x="176513" y="5943076"/>
            <a:ext cx="6408921" cy="1800000"/>
            <a:chOff x="-1429235" y="6126265"/>
            <a:chExt cx="6408921" cy="1800000"/>
          </a:xfrm>
        </xdr:grpSpPr>
        <xdr:pic>
          <xdr:nvPicPr>
            <xdr:cNvPr id="6" name="Picture 5">
              <a:extLst>
                <a:ext uri="{FF2B5EF4-FFF2-40B4-BE49-F238E27FC236}">
                  <a16:creationId xmlns:a16="http://schemas.microsoft.com/office/drawing/2014/main" id="{012C7728-9806-4341-80A9-AA932EE8BDF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581908" y="6126265"/>
              <a:ext cx="2397778" cy="1800000"/>
            </a:xfrm>
            <a:prstGeom prst="rect">
              <a:avLst/>
            </a:prstGeom>
            <a:ln>
              <a:solidFill>
                <a:schemeClr val="tx1"/>
              </a:solidFill>
            </a:ln>
          </xdr:spPr>
        </xdr:pic>
        <xdr:pic>
          <xdr:nvPicPr>
            <xdr:cNvPr id="7" name="Picture 6">
              <a:extLst>
                <a:ext uri="{FF2B5EF4-FFF2-40B4-BE49-F238E27FC236}">
                  <a16:creationId xmlns:a16="http://schemas.microsoft.com/office/drawing/2014/main" id="{AEBD153E-E534-7B58-B9B4-F4B48717934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100928" y="6126265"/>
              <a:ext cx="1348594" cy="1800000"/>
            </a:xfrm>
            <a:prstGeom prst="rect">
              <a:avLst/>
            </a:prstGeom>
            <a:ln>
              <a:solidFill>
                <a:schemeClr val="tx1"/>
              </a:solidFill>
            </a:ln>
          </xdr:spPr>
        </xdr:pic>
        <xdr:pic>
          <xdr:nvPicPr>
            <xdr:cNvPr id="8" name="Picture 7">
              <a:extLst>
                <a:ext uri="{FF2B5EF4-FFF2-40B4-BE49-F238E27FC236}">
                  <a16:creationId xmlns:a16="http://schemas.microsoft.com/office/drawing/2014/main" id="{5BF7D643-866F-65D6-17C2-764964A04CE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1429235" y="6126265"/>
              <a:ext cx="2397778" cy="1800000"/>
            </a:xfrm>
            <a:prstGeom prst="rect">
              <a:avLst/>
            </a:prstGeom>
            <a:ln>
              <a:solidFill>
                <a:schemeClr val="tx1"/>
              </a:solidFill>
            </a:ln>
          </xdr:spPr>
        </xdr:pic>
      </xdr:grpSp>
    </xdr:grpSp>
    <xdr:clientData/>
  </xdr:twoCellAnchor>
  <xdr:twoCellAnchor>
    <xdr:from>
      <xdr:col>1</xdr:col>
      <xdr:colOff>624841</xdr:colOff>
      <xdr:row>327</xdr:row>
      <xdr:rowOff>83820</xdr:rowOff>
    </xdr:from>
    <xdr:to>
      <xdr:col>6</xdr:col>
      <xdr:colOff>411481</xdr:colOff>
      <xdr:row>366</xdr:row>
      <xdr:rowOff>144780</xdr:rowOff>
    </xdr:to>
    <xdr:grpSp>
      <xdr:nvGrpSpPr>
        <xdr:cNvPr id="14" name="Group 13">
          <a:extLst>
            <a:ext uri="{FF2B5EF4-FFF2-40B4-BE49-F238E27FC236}">
              <a16:creationId xmlns:a16="http://schemas.microsoft.com/office/drawing/2014/main" id="{256C6E8C-00AC-AED8-410C-304996F25884}"/>
            </a:ext>
          </a:extLst>
        </xdr:cNvPr>
        <xdr:cNvGrpSpPr/>
      </xdr:nvGrpSpPr>
      <xdr:grpSpPr>
        <a:xfrm>
          <a:off x="1409701" y="64930020"/>
          <a:ext cx="3977640" cy="7787640"/>
          <a:chOff x="1333318" y="318330"/>
          <a:chExt cx="4191363" cy="8507340"/>
        </a:xfrm>
      </xdr:grpSpPr>
      <xdr:pic>
        <xdr:nvPicPr>
          <xdr:cNvPr id="15" name="Picture 14">
            <a:extLst>
              <a:ext uri="{FF2B5EF4-FFF2-40B4-BE49-F238E27FC236}">
                <a16:creationId xmlns:a16="http://schemas.microsoft.com/office/drawing/2014/main" id="{0F1B901E-A441-2007-135C-09519C03BE79}"/>
              </a:ext>
            </a:extLst>
          </xdr:cNvPr>
          <xdr:cNvPicPr>
            <a:picLocks noChangeAspect="1"/>
          </xdr:cNvPicPr>
        </xdr:nvPicPr>
        <xdr:blipFill>
          <a:blip xmlns:r="http://schemas.openxmlformats.org/officeDocument/2006/relationships" r:embed="rId9"/>
          <a:stretch>
            <a:fillRect/>
          </a:stretch>
        </xdr:blipFill>
        <xdr:spPr>
          <a:xfrm>
            <a:off x="1333318" y="6074612"/>
            <a:ext cx="4191363" cy="2751058"/>
          </a:xfrm>
          <a:prstGeom prst="rect">
            <a:avLst/>
          </a:prstGeom>
          <a:ln>
            <a:solidFill>
              <a:schemeClr val="tx1"/>
            </a:solidFill>
          </a:ln>
        </xdr:spPr>
      </xdr:pic>
      <xdr:pic>
        <xdr:nvPicPr>
          <xdr:cNvPr id="16" name="Picture 15">
            <a:extLst>
              <a:ext uri="{FF2B5EF4-FFF2-40B4-BE49-F238E27FC236}">
                <a16:creationId xmlns:a16="http://schemas.microsoft.com/office/drawing/2014/main" id="{26C81C22-2D31-F5FD-8BFC-0FE21B92F2EA}"/>
              </a:ext>
            </a:extLst>
          </xdr:cNvPr>
          <xdr:cNvPicPr>
            <a:picLocks noChangeAspect="1"/>
          </xdr:cNvPicPr>
        </xdr:nvPicPr>
        <xdr:blipFill>
          <a:blip xmlns:r="http://schemas.openxmlformats.org/officeDocument/2006/relationships" r:embed="rId10"/>
          <a:stretch>
            <a:fillRect/>
          </a:stretch>
        </xdr:blipFill>
        <xdr:spPr>
          <a:xfrm>
            <a:off x="1645765" y="318330"/>
            <a:ext cx="3240000" cy="5663077"/>
          </a:xfrm>
          <a:prstGeom prst="rect">
            <a:avLst/>
          </a:prstGeom>
          <a:ln>
            <a:solidFill>
              <a:schemeClr val="tx1"/>
            </a:solidFill>
          </a:ln>
        </xdr:spPr>
      </xdr:pic>
      <xdr:sp macro="" textlink="">
        <xdr:nvSpPr>
          <xdr:cNvPr id="17" name="Rectangle 16">
            <a:extLst>
              <a:ext uri="{FF2B5EF4-FFF2-40B4-BE49-F238E27FC236}">
                <a16:creationId xmlns:a16="http://schemas.microsoft.com/office/drawing/2014/main" id="{32C27767-7F7B-574B-16BA-EAEB8CF78989}"/>
              </a:ext>
            </a:extLst>
          </xdr:cNvPr>
          <xdr:cNvSpPr/>
        </xdr:nvSpPr>
        <xdr:spPr>
          <a:xfrm>
            <a:off x="2174789" y="3521676"/>
            <a:ext cx="2224216" cy="2137719"/>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8" name="Rectangle 17">
            <a:extLst>
              <a:ext uri="{FF2B5EF4-FFF2-40B4-BE49-F238E27FC236}">
                <a16:creationId xmlns:a16="http://schemas.microsoft.com/office/drawing/2014/main" id="{31C92728-5D9D-8AFB-0232-955669684D2F}"/>
              </a:ext>
            </a:extLst>
          </xdr:cNvPr>
          <xdr:cNvSpPr/>
        </xdr:nvSpPr>
        <xdr:spPr>
          <a:xfrm>
            <a:off x="2174789" y="679621"/>
            <a:ext cx="2100648" cy="190706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9" name="TextBox 8">
            <a:extLst>
              <a:ext uri="{FF2B5EF4-FFF2-40B4-BE49-F238E27FC236}">
                <a16:creationId xmlns:a16="http://schemas.microsoft.com/office/drawing/2014/main" id="{952CBA82-9154-A399-D1CC-9901B10861AE}"/>
              </a:ext>
            </a:extLst>
          </xdr:cNvPr>
          <xdr:cNvSpPr txBox="1"/>
        </xdr:nvSpPr>
        <xdr:spPr>
          <a:xfrm>
            <a:off x="2863475" y="5010665"/>
            <a:ext cx="789843" cy="340283"/>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FF0000"/>
                </a:solidFill>
              </a:rPr>
              <a:t>Wing A</a:t>
            </a:r>
            <a:endParaRPr lang="en-IN" sz="1400" b="1">
              <a:solidFill>
                <a:srgbClr val="FF0000"/>
              </a:solidFill>
            </a:endParaRPr>
          </a:p>
        </xdr:txBody>
      </xdr:sp>
      <xdr:sp macro="" textlink="">
        <xdr:nvSpPr>
          <xdr:cNvPr id="20" name="TextBox 9">
            <a:extLst>
              <a:ext uri="{FF2B5EF4-FFF2-40B4-BE49-F238E27FC236}">
                <a16:creationId xmlns:a16="http://schemas.microsoft.com/office/drawing/2014/main" id="{52FD5A68-C669-75EB-A531-B717BEAB1D99}"/>
              </a:ext>
            </a:extLst>
          </xdr:cNvPr>
          <xdr:cNvSpPr txBox="1"/>
        </xdr:nvSpPr>
        <xdr:spPr>
          <a:xfrm>
            <a:off x="2904127" y="679621"/>
            <a:ext cx="789843" cy="340283"/>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FF0000"/>
                </a:solidFill>
              </a:rPr>
              <a:t>Wing B</a:t>
            </a:r>
            <a:endParaRPr lang="en-IN" sz="1400" b="1">
              <a:solidFill>
                <a:srgbClr val="FF0000"/>
              </a:solidFill>
            </a:endParaRPr>
          </a:p>
        </xdr:txBody>
      </xdr:sp>
    </xdr:grpSp>
    <xdr:clientData/>
  </xdr:twoCellAnchor>
  <xdr:twoCellAnchor>
    <xdr:from>
      <xdr:col>0</xdr:col>
      <xdr:colOff>541020</xdr:colOff>
      <xdr:row>370</xdr:row>
      <xdr:rowOff>0</xdr:rowOff>
    </xdr:from>
    <xdr:to>
      <xdr:col>7</xdr:col>
      <xdr:colOff>210780</xdr:colOff>
      <xdr:row>409</xdr:row>
      <xdr:rowOff>21227</xdr:rowOff>
    </xdr:to>
    <xdr:grpSp>
      <xdr:nvGrpSpPr>
        <xdr:cNvPr id="21" name="Group 20">
          <a:extLst>
            <a:ext uri="{FF2B5EF4-FFF2-40B4-BE49-F238E27FC236}">
              <a16:creationId xmlns:a16="http://schemas.microsoft.com/office/drawing/2014/main" id="{E40E7C65-4931-A504-DFA1-0160AC490E43}"/>
            </a:ext>
          </a:extLst>
        </xdr:cNvPr>
        <xdr:cNvGrpSpPr/>
      </xdr:nvGrpSpPr>
      <xdr:grpSpPr>
        <a:xfrm>
          <a:off x="541020" y="73365360"/>
          <a:ext cx="5400000" cy="7747907"/>
          <a:chOff x="729000" y="335280"/>
          <a:chExt cx="5400000" cy="7747907"/>
        </a:xfrm>
      </xdr:grpSpPr>
      <xdr:pic>
        <xdr:nvPicPr>
          <xdr:cNvPr id="22" name="Picture 21">
            <a:extLst>
              <a:ext uri="{FF2B5EF4-FFF2-40B4-BE49-F238E27FC236}">
                <a16:creationId xmlns:a16="http://schemas.microsoft.com/office/drawing/2014/main" id="{CE4D3B34-2995-7207-2912-762CE90B6B8B}"/>
              </a:ext>
            </a:extLst>
          </xdr:cNvPr>
          <xdr:cNvPicPr>
            <a:picLocks noChangeAspect="1"/>
          </xdr:cNvPicPr>
        </xdr:nvPicPr>
        <xdr:blipFill>
          <a:blip xmlns:r="http://schemas.openxmlformats.org/officeDocument/2006/relationships" r:embed="rId11" cstate="hqprint">
            <a:extLst>
              <a:ext uri="{28A0092B-C50C-407E-A947-70E740481C1C}">
                <a14:useLocalDpi xmlns:a14="http://schemas.microsoft.com/office/drawing/2010/main"/>
              </a:ext>
            </a:extLst>
          </a:blip>
          <a:srcRect/>
          <a:stretch/>
        </xdr:blipFill>
        <xdr:spPr>
          <a:xfrm>
            <a:off x="729000" y="335280"/>
            <a:ext cx="5400000" cy="3531947"/>
          </a:xfrm>
          <a:prstGeom prst="rect">
            <a:avLst/>
          </a:prstGeom>
          <a:ln>
            <a:solidFill>
              <a:schemeClr val="tx1"/>
            </a:solidFill>
          </a:ln>
        </xdr:spPr>
      </xdr:pic>
      <xdr:pic>
        <xdr:nvPicPr>
          <xdr:cNvPr id="23" name="Picture 22">
            <a:extLst>
              <a:ext uri="{FF2B5EF4-FFF2-40B4-BE49-F238E27FC236}">
                <a16:creationId xmlns:a16="http://schemas.microsoft.com/office/drawing/2014/main" id="{1121750A-8717-9FEC-ADE6-4E9A65CF040A}"/>
              </a:ext>
            </a:extLst>
          </xdr:cNvPr>
          <xdr:cNvPicPr>
            <a:picLocks noChangeAspect="1"/>
          </xdr:cNvPicPr>
        </xdr:nvPicPr>
        <xdr:blipFill>
          <a:blip xmlns:r="http://schemas.openxmlformats.org/officeDocument/2006/relationships" r:embed="rId12" cstate="hqprint">
            <a:extLst>
              <a:ext uri="{28A0092B-C50C-407E-A947-70E740481C1C}">
                <a14:useLocalDpi xmlns:a14="http://schemas.microsoft.com/office/drawing/2010/main"/>
              </a:ext>
            </a:extLst>
          </a:blip>
          <a:srcRect/>
          <a:stretch/>
        </xdr:blipFill>
        <xdr:spPr>
          <a:xfrm>
            <a:off x="729000" y="3998976"/>
            <a:ext cx="5400000" cy="4084211"/>
          </a:xfrm>
          <a:prstGeom prst="rect">
            <a:avLst/>
          </a:prstGeom>
          <a:ln>
            <a:solidFill>
              <a:schemeClr val="tx1"/>
            </a:solidFill>
          </a:ln>
        </xdr:spPr>
      </xdr:pic>
      <xdr:sp macro="" textlink="">
        <xdr:nvSpPr>
          <xdr:cNvPr id="24" name="Rectangle 23">
            <a:extLst>
              <a:ext uri="{FF2B5EF4-FFF2-40B4-BE49-F238E27FC236}">
                <a16:creationId xmlns:a16="http://schemas.microsoft.com/office/drawing/2014/main" id="{C0AF60C4-E2FE-4F5D-310F-3F76C27135D3}"/>
              </a:ext>
            </a:extLst>
          </xdr:cNvPr>
          <xdr:cNvSpPr/>
        </xdr:nvSpPr>
        <xdr:spPr>
          <a:xfrm rot="19941809">
            <a:off x="2407919" y="5430851"/>
            <a:ext cx="1691640" cy="1082040"/>
          </a:xfrm>
          <a:prstGeom prst="rect">
            <a:avLst/>
          </a:prstGeom>
          <a:noFill/>
          <a:ln w="38100">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lientData/>
  </xdr:twoCellAnchor>
  <xdr:twoCellAnchor>
    <xdr:from>
      <xdr:col>1</xdr:col>
      <xdr:colOff>601980</xdr:colOff>
      <xdr:row>286</xdr:row>
      <xdr:rowOff>15240</xdr:rowOff>
    </xdr:from>
    <xdr:to>
      <xdr:col>6</xdr:col>
      <xdr:colOff>389190</xdr:colOff>
      <xdr:row>323</xdr:row>
      <xdr:rowOff>87149</xdr:rowOff>
    </xdr:to>
    <xdr:grpSp>
      <xdr:nvGrpSpPr>
        <xdr:cNvPr id="32" name="Group 31">
          <a:extLst>
            <a:ext uri="{FF2B5EF4-FFF2-40B4-BE49-F238E27FC236}">
              <a16:creationId xmlns:a16="http://schemas.microsoft.com/office/drawing/2014/main" id="{80FFDF05-E308-3094-9238-342C8AA3BC59}"/>
            </a:ext>
          </a:extLst>
        </xdr:cNvPr>
        <xdr:cNvGrpSpPr/>
      </xdr:nvGrpSpPr>
      <xdr:grpSpPr>
        <a:xfrm>
          <a:off x="1386840" y="56738520"/>
          <a:ext cx="3978210" cy="7402349"/>
          <a:chOff x="1206369" y="590326"/>
          <a:chExt cx="3978210" cy="7402349"/>
        </a:xfrm>
      </xdr:grpSpPr>
      <xdr:pic>
        <xdr:nvPicPr>
          <xdr:cNvPr id="33" name="Picture 32">
            <a:extLst>
              <a:ext uri="{FF2B5EF4-FFF2-40B4-BE49-F238E27FC236}">
                <a16:creationId xmlns:a16="http://schemas.microsoft.com/office/drawing/2014/main" id="{EA52A8CB-FAB4-B5CC-B253-8F32F120354E}"/>
              </a:ext>
            </a:extLst>
          </xdr:cNvPr>
          <xdr:cNvPicPr>
            <a:picLocks noChangeAspect="1"/>
          </xdr:cNvPicPr>
        </xdr:nvPicPr>
        <xdr:blipFill>
          <a:blip xmlns:r="http://schemas.openxmlformats.org/officeDocument/2006/relationships" r:embed="rId13"/>
          <a:stretch>
            <a:fillRect/>
          </a:stretch>
        </xdr:blipFill>
        <xdr:spPr>
          <a:xfrm>
            <a:off x="1206369" y="4392675"/>
            <a:ext cx="3978210" cy="3600000"/>
          </a:xfrm>
          <a:prstGeom prst="rect">
            <a:avLst/>
          </a:prstGeom>
          <a:ln>
            <a:solidFill>
              <a:schemeClr val="tx1"/>
            </a:solidFill>
          </a:ln>
        </xdr:spPr>
      </xdr:pic>
      <xdr:pic>
        <xdr:nvPicPr>
          <xdr:cNvPr id="34" name="Picture 33">
            <a:extLst>
              <a:ext uri="{FF2B5EF4-FFF2-40B4-BE49-F238E27FC236}">
                <a16:creationId xmlns:a16="http://schemas.microsoft.com/office/drawing/2014/main" id="{B14A837F-5BB8-86FA-CCF0-AF7999741743}"/>
              </a:ext>
            </a:extLst>
          </xdr:cNvPr>
          <xdr:cNvPicPr>
            <a:picLocks noChangeAspect="1"/>
          </xdr:cNvPicPr>
        </xdr:nvPicPr>
        <xdr:blipFill>
          <a:blip xmlns:r="http://schemas.openxmlformats.org/officeDocument/2006/relationships" r:embed="rId14"/>
          <a:stretch>
            <a:fillRect/>
          </a:stretch>
        </xdr:blipFill>
        <xdr:spPr>
          <a:xfrm>
            <a:off x="1424721" y="590326"/>
            <a:ext cx="3541507" cy="3600000"/>
          </a:xfrm>
          <a:prstGeom prst="rect">
            <a:avLst/>
          </a:prstGeom>
          <a:ln>
            <a:solidFill>
              <a:schemeClr val="tx1"/>
            </a:solidFill>
          </a:ln>
        </xdr:spPr>
      </xdr:pic>
      <xdr:sp macro="" textlink="">
        <xdr:nvSpPr>
          <xdr:cNvPr id="35" name="Rectangle 34">
            <a:extLst>
              <a:ext uri="{FF2B5EF4-FFF2-40B4-BE49-F238E27FC236}">
                <a16:creationId xmlns:a16="http://schemas.microsoft.com/office/drawing/2014/main" id="{79E067B4-69B2-0FF0-131B-917EB0BA90FB}"/>
              </a:ext>
            </a:extLst>
          </xdr:cNvPr>
          <xdr:cNvSpPr/>
        </xdr:nvSpPr>
        <xdr:spPr>
          <a:xfrm>
            <a:off x="3657600" y="937260"/>
            <a:ext cx="1051560" cy="179832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36" name="Rectangle 35">
            <a:extLst>
              <a:ext uri="{FF2B5EF4-FFF2-40B4-BE49-F238E27FC236}">
                <a16:creationId xmlns:a16="http://schemas.microsoft.com/office/drawing/2014/main" id="{752EAB28-A4E6-BFAE-E80E-FCAA6C45F9A7}"/>
              </a:ext>
            </a:extLst>
          </xdr:cNvPr>
          <xdr:cNvSpPr/>
        </xdr:nvSpPr>
        <xdr:spPr>
          <a:xfrm>
            <a:off x="3539490" y="4792980"/>
            <a:ext cx="1287780" cy="237744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37" name="TextBox 7">
            <a:extLst>
              <a:ext uri="{FF2B5EF4-FFF2-40B4-BE49-F238E27FC236}">
                <a16:creationId xmlns:a16="http://schemas.microsoft.com/office/drawing/2014/main" id="{563E059A-03D7-00D3-2D8B-DD7E7202251B}"/>
              </a:ext>
            </a:extLst>
          </xdr:cNvPr>
          <xdr:cNvSpPr txBox="1"/>
        </xdr:nvSpPr>
        <xdr:spPr>
          <a:xfrm>
            <a:off x="1665599" y="966659"/>
            <a:ext cx="875561"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Wing A</a:t>
            </a:r>
            <a:endParaRPr lang="en-IN" b="1"/>
          </a:p>
        </xdr:txBody>
      </xdr:sp>
      <xdr:sp macro="" textlink="">
        <xdr:nvSpPr>
          <xdr:cNvPr id="38" name="TextBox 8">
            <a:extLst>
              <a:ext uri="{FF2B5EF4-FFF2-40B4-BE49-F238E27FC236}">
                <a16:creationId xmlns:a16="http://schemas.microsoft.com/office/drawing/2014/main" id="{872368BB-47E4-E8AD-50CD-4D4FCB89388A}"/>
              </a:ext>
            </a:extLst>
          </xdr:cNvPr>
          <xdr:cNvSpPr txBox="1"/>
        </xdr:nvSpPr>
        <xdr:spPr>
          <a:xfrm>
            <a:off x="1734179" y="5363399"/>
            <a:ext cx="875561"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Wing A</a:t>
            </a:r>
            <a:endParaRPr lang="en-IN" b="1"/>
          </a:p>
        </xdr:txBody>
      </xdr:sp>
      <xdr:sp macro="" textlink="">
        <xdr:nvSpPr>
          <xdr:cNvPr id="39" name="TextBox 9">
            <a:extLst>
              <a:ext uri="{FF2B5EF4-FFF2-40B4-BE49-F238E27FC236}">
                <a16:creationId xmlns:a16="http://schemas.microsoft.com/office/drawing/2014/main" id="{11C181C8-A90B-8A20-4C47-A0288B07C2A3}"/>
              </a:ext>
            </a:extLst>
          </xdr:cNvPr>
          <xdr:cNvSpPr txBox="1"/>
        </xdr:nvSpPr>
        <xdr:spPr>
          <a:xfrm>
            <a:off x="3596419" y="4416787"/>
            <a:ext cx="1112741"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EWS Flats</a:t>
            </a:r>
            <a:endParaRPr lang="en-IN" b="1">
              <a:solidFill>
                <a:srgbClr val="FF0000"/>
              </a:solidFill>
            </a:endParaRPr>
          </a:p>
        </xdr:txBody>
      </xdr:sp>
      <xdr:sp macro="" textlink="">
        <xdr:nvSpPr>
          <xdr:cNvPr id="40" name="TextBox 10">
            <a:extLst>
              <a:ext uri="{FF2B5EF4-FFF2-40B4-BE49-F238E27FC236}">
                <a16:creationId xmlns:a16="http://schemas.microsoft.com/office/drawing/2014/main" id="{193132BC-D4BC-67D4-2F88-8214CA8130F7}"/>
              </a:ext>
            </a:extLst>
          </xdr:cNvPr>
          <xdr:cNvSpPr txBox="1"/>
        </xdr:nvSpPr>
        <xdr:spPr>
          <a:xfrm>
            <a:off x="3657600" y="597327"/>
            <a:ext cx="1112741"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EWS Flats</a:t>
            </a:r>
            <a:endParaRPr lang="en-IN" b="1">
              <a:solidFill>
                <a:srgbClr val="FF0000"/>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DHZ1uUXGsERjyv3o6"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369"/>
  <sheetViews>
    <sheetView tabSelected="1" view="pageBreakPreview" topLeftCell="A224" zoomScaleNormal="100" zoomScaleSheetLayoutView="100" zoomScalePageLayoutView="85" workbookViewId="0">
      <selection activeCell="K236" sqref="K236"/>
    </sheetView>
  </sheetViews>
  <sheetFormatPr defaultColWidth="9.109375" defaultRowHeight="15.6" x14ac:dyDescent="0.3"/>
  <cols>
    <col min="1" max="1" width="11.44140625" style="37" customWidth="1"/>
    <col min="2" max="2" width="12" style="37" customWidth="1"/>
    <col min="3" max="3" width="12.6640625" style="37" customWidth="1"/>
    <col min="4" max="4" width="13.6640625" style="37" customWidth="1"/>
    <col min="5" max="5" width="11.6640625" style="37" customWidth="1"/>
    <col min="6" max="6" width="11.109375" style="37" customWidth="1"/>
    <col min="7" max="8" width="11" style="37" customWidth="1"/>
    <col min="9" max="9" width="17.44140625" style="18" customWidth="1"/>
    <col min="10" max="10" width="11.44140625" style="18" customWidth="1"/>
    <col min="11" max="11" width="11.33203125" style="18" bestFit="1" customWidth="1"/>
    <col min="12" max="12" width="13.88671875" style="18" bestFit="1" customWidth="1"/>
    <col min="13" max="13" width="11.88671875" style="18" customWidth="1"/>
    <col min="14" max="14" width="12.5546875" style="18" customWidth="1"/>
    <col min="15" max="15" width="12.109375" style="18" customWidth="1"/>
    <col min="16" max="16" width="11.6640625" style="18" customWidth="1"/>
    <col min="17" max="18" width="9.109375" style="18"/>
    <col min="19" max="19" width="10.88671875" style="18" bestFit="1" customWidth="1"/>
    <col min="20" max="20" width="10.6640625" style="18" customWidth="1"/>
    <col min="21" max="247" width="9.109375" style="18"/>
    <col min="248" max="248" width="8.6640625" style="18" customWidth="1"/>
    <col min="249" max="249" width="9.88671875" style="18" customWidth="1"/>
    <col min="250" max="250" width="14.44140625" style="18" customWidth="1"/>
    <col min="251" max="251" width="7.33203125" style="18" customWidth="1"/>
    <col min="252" max="252" width="5.5546875" style="18" customWidth="1"/>
    <col min="253" max="253" width="9" style="18" customWidth="1"/>
    <col min="254" max="255" width="9.88671875" style="18" customWidth="1"/>
    <col min="256" max="256" width="11.109375" style="18" customWidth="1"/>
    <col min="257" max="257" width="2.88671875" style="18" customWidth="1"/>
    <col min="258" max="258" width="3.5546875" style="18" customWidth="1"/>
    <col min="259" max="503" width="9.109375" style="18"/>
    <col min="504" max="504" width="8.6640625" style="18" customWidth="1"/>
    <col min="505" max="505" width="9.88671875" style="18" customWidth="1"/>
    <col min="506" max="506" width="14.44140625" style="18" customWidth="1"/>
    <col min="507" max="507" width="7.33203125" style="18" customWidth="1"/>
    <col min="508" max="508" width="5.5546875" style="18" customWidth="1"/>
    <col min="509" max="509" width="9" style="18" customWidth="1"/>
    <col min="510" max="511" width="9.88671875" style="18" customWidth="1"/>
    <col min="512" max="512" width="11.109375" style="18" customWidth="1"/>
    <col min="513" max="513" width="2.88671875" style="18" customWidth="1"/>
    <col min="514" max="514" width="3.5546875" style="18" customWidth="1"/>
    <col min="515" max="759" width="9.109375" style="18"/>
    <col min="760" max="760" width="8.6640625" style="18" customWidth="1"/>
    <col min="761" max="761" width="9.88671875" style="18" customWidth="1"/>
    <col min="762" max="762" width="14.44140625" style="18" customWidth="1"/>
    <col min="763" max="763" width="7.33203125" style="18" customWidth="1"/>
    <col min="764" max="764" width="5.5546875" style="18" customWidth="1"/>
    <col min="765" max="765" width="9" style="18" customWidth="1"/>
    <col min="766" max="767" width="9.88671875" style="18" customWidth="1"/>
    <col min="768" max="768" width="11.109375" style="18" customWidth="1"/>
    <col min="769" max="769" width="2.88671875" style="18" customWidth="1"/>
    <col min="770" max="770" width="3.5546875" style="18" customWidth="1"/>
    <col min="771" max="1015" width="9.109375" style="18"/>
    <col min="1016" max="1016" width="8.6640625" style="18" customWidth="1"/>
    <col min="1017" max="1017" width="9.88671875" style="18" customWidth="1"/>
    <col min="1018" max="1018" width="14.44140625" style="18" customWidth="1"/>
    <col min="1019" max="1019" width="7.33203125" style="18" customWidth="1"/>
    <col min="1020" max="1020" width="5.5546875" style="18" customWidth="1"/>
    <col min="1021" max="1021" width="9" style="18" customWidth="1"/>
    <col min="1022" max="1023" width="9.88671875" style="18" customWidth="1"/>
    <col min="1024" max="1024" width="11.109375" style="18" customWidth="1"/>
    <col min="1025" max="1025" width="2.88671875" style="18" customWidth="1"/>
    <col min="1026" max="1026" width="3.5546875" style="18" customWidth="1"/>
    <col min="1027" max="1271" width="9.109375" style="18"/>
    <col min="1272" max="1272" width="8.6640625" style="18" customWidth="1"/>
    <col min="1273" max="1273" width="9.88671875" style="18" customWidth="1"/>
    <col min="1274" max="1274" width="14.44140625" style="18" customWidth="1"/>
    <col min="1275" max="1275" width="7.33203125" style="18" customWidth="1"/>
    <col min="1276" max="1276" width="5.5546875" style="18" customWidth="1"/>
    <col min="1277" max="1277" width="9" style="18" customWidth="1"/>
    <col min="1278" max="1279" width="9.88671875" style="18" customWidth="1"/>
    <col min="1280" max="1280" width="11.109375" style="18" customWidth="1"/>
    <col min="1281" max="1281" width="2.88671875" style="18" customWidth="1"/>
    <col min="1282" max="1282" width="3.5546875" style="18" customWidth="1"/>
    <col min="1283" max="1527" width="9.109375" style="18"/>
    <col min="1528" max="1528" width="8.6640625" style="18" customWidth="1"/>
    <col min="1529" max="1529" width="9.88671875" style="18" customWidth="1"/>
    <col min="1530" max="1530" width="14.44140625" style="18" customWidth="1"/>
    <col min="1531" max="1531" width="7.33203125" style="18" customWidth="1"/>
    <col min="1532" max="1532" width="5.5546875" style="18" customWidth="1"/>
    <col min="1533" max="1533" width="9" style="18" customWidth="1"/>
    <col min="1534" max="1535" width="9.88671875" style="18" customWidth="1"/>
    <col min="1536" max="1536" width="11.109375" style="18" customWidth="1"/>
    <col min="1537" max="1537" width="2.88671875" style="18" customWidth="1"/>
    <col min="1538" max="1538" width="3.5546875" style="18" customWidth="1"/>
    <col min="1539" max="1783" width="9.109375" style="18"/>
    <col min="1784" max="1784" width="8.6640625" style="18" customWidth="1"/>
    <col min="1785" max="1785" width="9.88671875" style="18" customWidth="1"/>
    <col min="1786" max="1786" width="14.44140625" style="18" customWidth="1"/>
    <col min="1787" max="1787" width="7.33203125" style="18" customWidth="1"/>
    <col min="1788" max="1788" width="5.5546875" style="18" customWidth="1"/>
    <col min="1789" max="1789" width="9" style="18" customWidth="1"/>
    <col min="1790" max="1791" width="9.88671875" style="18" customWidth="1"/>
    <col min="1792" max="1792" width="11.109375" style="18" customWidth="1"/>
    <col min="1793" max="1793" width="2.88671875" style="18" customWidth="1"/>
    <col min="1794" max="1794" width="3.5546875" style="18" customWidth="1"/>
    <col min="1795" max="2039" width="9.109375" style="18"/>
    <col min="2040" max="2040" width="8.6640625" style="18" customWidth="1"/>
    <col min="2041" max="2041" width="9.88671875" style="18" customWidth="1"/>
    <col min="2042" max="2042" width="14.44140625" style="18" customWidth="1"/>
    <col min="2043" max="2043" width="7.33203125" style="18" customWidth="1"/>
    <col min="2044" max="2044" width="5.5546875" style="18" customWidth="1"/>
    <col min="2045" max="2045" width="9" style="18" customWidth="1"/>
    <col min="2046" max="2047" width="9.88671875" style="18" customWidth="1"/>
    <col min="2048" max="2048" width="11.109375" style="18" customWidth="1"/>
    <col min="2049" max="2049" width="2.88671875" style="18" customWidth="1"/>
    <col min="2050" max="2050" width="3.5546875" style="18" customWidth="1"/>
    <col min="2051" max="2295" width="9.109375" style="18"/>
    <col min="2296" max="2296" width="8.6640625" style="18" customWidth="1"/>
    <col min="2297" max="2297" width="9.88671875" style="18" customWidth="1"/>
    <col min="2298" max="2298" width="14.44140625" style="18" customWidth="1"/>
    <col min="2299" max="2299" width="7.33203125" style="18" customWidth="1"/>
    <col min="2300" max="2300" width="5.5546875" style="18" customWidth="1"/>
    <col min="2301" max="2301" width="9" style="18" customWidth="1"/>
    <col min="2302" max="2303" width="9.88671875" style="18" customWidth="1"/>
    <col min="2304" max="2304" width="11.109375" style="18" customWidth="1"/>
    <col min="2305" max="2305" width="2.88671875" style="18" customWidth="1"/>
    <col min="2306" max="2306" width="3.5546875" style="18" customWidth="1"/>
    <col min="2307" max="2551" width="9.109375" style="18"/>
    <col min="2552" max="2552" width="8.6640625" style="18" customWidth="1"/>
    <col min="2553" max="2553" width="9.88671875" style="18" customWidth="1"/>
    <col min="2554" max="2554" width="14.44140625" style="18" customWidth="1"/>
    <col min="2555" max="2555" width="7.33203125" style="18" customWidth="1"/>
    <col min="2556" max="2556" width="5.5546875" style="18" customWidth="1"/>
    <col min="2557" max="2557" width="9" style="18" customWidth="1"/>
    <col min="2558" max="2559" width="9.88671875" style="18" customWidth="1"/>
    <col min="2560" max="2560" width="11.109375" style="18" customWidth="1"/>
    <col min="2561" max="2561" width="2.88671875" style="18" customWidth="1"/>
    <col min="2562" max="2562" width="3.5546875" style="18" customWidth="1"/>
    <col min="2563" max="2807" width="9.109375" style="18"/>
    <col min="2808" max="2808" width="8.6640625" style="18" customWidth="1"/>
    <col min="2809" max="2809" width="9.88671875" style="18" customWidth="1"/>
    <col min="2810" max="2810" width="14.44140625" style="18" customWidth="1"/>
    <col min="2811" max="2811" width="7.33203125" style="18" customWidth="1"/>
    <col min="2812" max="2812" width="5.5546875" style="18" customWidth="1"/>
    <col min="2813" max="2813" width="9" style="18" customWidth="1"/>
    <col min="2814" max="2815" width="9.88671875" style="18" customWidth="1"/>
    <col min="2816" max="2816" width="11.109375" style="18" customWidth="1"/>
    <col min="2817" max="2817" width="2.88671875" style="18" customWidth="1"/>
    <col min="2818" max="2818" width="3.5546875" style="18" customWidth="1"/>
    <col min="2819" max="3063" width="9.109375" style="18"/>
    <col min="3064" max="3064" width="8.6640625" style="18" customWidth="1"/>
    <col min="3065" max="3065" width="9.88671875" style="18" customWidth="1"/>
    <col min="3066" max="3066" width="14.44140625" style="18" customWidth="1"/>
    <col min="3067" max="3067" width="7.33203125" style="18" customWidth="1"/>
    <col min="3068" max="3068" width="5.5546875" style="18" customWidth="1"/>
    <col min="3069" max="3069" width="9" style="18" customWidth="1"/>
    <col min="3070" max="3071" width="9.88671875" style="18" customWidth="1"/>
    <col min="3072" max="3072" width="11.109375" style="18" customWidth="1"/>
    <col min="3073" max="3073" width="2.88671875" style="18" customWidth="1"/>
    <col min="3074" max="3074" width="3.5546875" style="18" customWidth="1"/>
    <col min="3075" max="3319" width="9.109375" style="18"/>
    <col min="3320" max="3320" width="8.6640625" style="18" customWidth="1"/>
    <col min="3321" max="3321" width="9.88671875" style="18" customWidth="1"/>
    <col min="3322" max="3322" width="14.44140625" style="18" customWidth="1"/>
    <col min="3323" max="3323" width="7.33203125" style="18" customWidth="1"/>
    <col min="3324" max="3324" width="5.5546875" style="18" customWidth="1"/>
    <col min="3325" max="3325" width="9" style="18" customWidth="1"/>
    <col min="3326" max="3327" width="9.88671875" style="18" customWidth="1"/>
    <col min="3328" max="3328" width="11.109375" style="18" customWidth="1"/>
    <col min="3329" max="3329" width="2.88671875" style="18" customWidth="1"/>
    <col min="3330" max="3330" width="3.5546875" style="18" customWidth="1"/>
    <col min="3331" max="3575" width="9.109375" style="18"/>
    <col min="3576" max="3576" width="8.6640625" style="18" customWidth="1"/>
    <col min="3577" max="3577" width="9.88671875" style="18" customWidth="1"/>
    <col min="3578" max="3578" width="14.44140625" style="18" customWidth="1"/>
    <col min="3579" max="3579" width="7.33203125" style="18" customWidth="1"/>
    <col min="3580" max="3580" width="5.5546875" style="18" customWidth="1"/>
    <col min="3581" max="3581" width="9" style="18" customWidth="1"/>
    <col min="3582" max="3583" width="9.88671875" style="18" customWidth="1"/>
    <col min="3584" max="3584" width="11.109375" style="18" customWidth="1"/>
    <col min="3585" max="3585" width="2.88671875" style="18" customWidth="1"/>
    <col min="3586" max="3586" width="3.5546875" style="18" customWidth="1"/>
    <col min="3587" max="3831" width="9.109375" style="18"/>
    <col min="3832" max="3832" width="8.6640625" style="18" customWidth="1"/>
    <col min="3833" max="3833" width="9.88671875" style="18" customWidth="1"/>
    <col min="3834" max="3834" width="14.44140625" style="18" customWidth="1"/>
    <col min="3835" max="3835" width="7.33203125" style="18" customWidth="1"/>
    <col min="3836" max="3836" width="5.5546875" style="18" customWidth="1"/>
    <col min="3837" max="3837" width="9" style="18" customWidth="1"/>
    <col min="3838" max="3839" width="9.88671875" style="18" customWidth="1"/>
    <col min="3840" max="3840" width="11.109375" style="18" customWidth="1"/>
    <col min="3841" max="3841" width="2.88671875" style="18" customWidth="1"/>
    <col min="3842" max="3842" width="3.5546875" style="18" customWidth="1"/>
    <col min="3843" max="4087" width="9.109375" style="18"/>
    <col min="4088" max="4088" width="8.6640625" style="18" customWidth="1"/>
    <col min="4089" max="4089" width="9.88671875" style="18" customWidth="1"/>
    <col min="4090" max="4090" width="14.44140625" style="18" customWidth="1"/>
    <col min="4091" max="4091" width="7.33203125" style="18" customWidth="1"/>
    <col min="4092" max="4092" width="5.5546875" style="18" customWidth="1"/>
    <col min="4093" max="4093" width="9" style="18" customWidth="1"/>
    <col min="4094" max="4095" width="9.88671875" style="18" customWidth="1"/>
    <col min="4096" max="4096" width="11.109375" style="18" customWidth="1"/>
    <col min="4097" max="4097" width="2.88671875" style="18" customWidth="1"/>
    <col min="4098" max="4098" width="3.5546875" style="18" customWidth="1"/>
    <col min="4099" max="4343" width="9.109375" style="18"/>
    <col min="4344" max="4344" width="8.6640625" style="18" customWidth="1"/>
    <col min="4345" max="4345" width="9.88671875" style="18" customWidth="1"/>
    <col min="4346" max="4346" width="14.44140625" style="18" customWidth="1"/>
    <col min="4347" max="4347" width="7.33203125" style="18" customWidth="1"/>
    <col min="4348" max="4348" width="5.5546875" style="18" customWidth="1"/>
    <col min="4349" max="4349" width="9" style="18" customWidth="1"/>
    <col min="4350" max="4351" width="9.88671875" style="18" customWidth="1"/>
    <col min="4352" max="4352" width="11.109375" style="18" customWidth="1"/>
    <col min="4353" max="4353" width="2.88671875" style="18" customWidth="1"/>
    <col min="4354" max="4354" width="3.5546875" style="18" customWidth="1"/>
    <col min="4355" max="4599" width="9.109375" style="18"/>
    <col min="4600" max="4600" width="8.6640625" style="18" customWidth="1"/>
    <col min="4601" max="4601" width="9.88671875" style="18" customWidth="1"/>
    <col min="4602" max="4602" width="14.44140625" style="18" customWidth="1"/>
    <col min="4603" max="4603" width="7.33203125" style="18" customWidth="1"/>
    <col min="4604" max="4604" width="5.5546875" style="18" customWidth="1"/>
    <col min="4605" max="4605" width="9" style="18" customWidth="1"/>
    <col min="4606" max="4607" width="9.88671875" style="18" customWidth="1"/>
    <col min="4608" max="4608" width="11.109375" style="18" customWidth="1"/>
    <col min="4609" max="4609" width="2.88671875" style="18" customWidth="1"/>
    <col min="4610" max="4610" width="3.5546875" style="18" customWidth="1"/>
    <col min="4611" max="4855" width="9.109375" style="18"/>
    <col min="4856" max="4856" width="8.6640625" style="18" customWidth="1"/>
    <col min="4857" max="4857" width="9.88671875" style="18" customWidth="1"/>
    <col min="4858" max="4858" width="14.44140625" style="18" customWidth="1"/>
    <col min="4859" max="4859" width="7.33203125" style="18" customWidth="1"/>
    <col min="4860" max="4860" width="5.5546875" style="18" customWidth="1"/>
    <col min="4861" max="4861" width="9" style="18" customWidth="1"/>
    <col min="4862" max="4863" width="9.88671875" style="18" customWidth="1"/>
    <col min="4864" max="4864" width="11.109375" style="18" customWidth="1"/>
    <col min="4865" max="4865" width="2.88671875" style="18" customWidth="1"/>
    <col min="4866" max="4866" width="3.5546875" style="18" customWidth="1"/>
    <col min="4867" max="5111" width="9.109375" style="18"/>
    <col min="5112" max="5112" width="8.6640625" style="18" customWidth="1"/>
    <col min="5113" max="5113" width="9.88671875" style="18" customWidth="1"/>
    <col min="5114" max="5114" width="14.44140625" style="18" customWidth="1"/>
    <col min="5115" max="5115" width="7.33203125" style="18" customWidth="1"/>
    <col min="5116" max="5116" width="5.5546875" style="18" customWidth="1"/>
    <col min="5117" max="5117" width="9" style="18" customWidth="1"/>
    <col min="5118" max="5119" width="9.88671875" style="18" customWidth="1"/>
    <col min="5120" max="5120" width="11.109375" style="18" customWidth="1"/>
    <col min="5121" max="5121" width="2.88671875" style="18" customWidth="1"/>
    <col min="5122" max="5122" width="3.5546875" style="18" customWidth="1"/>
    <col min="5123" max="5367" width="9.109375" style="18"/>
    <col min="5368" max="5368" width="8.6640625" style="18" customWidth="1"/>
    <col min="5369" max="5369" width="9.88671875" style="18" customWidth="1"/>
    <col min="5370" max="5370" width="14.44140625" style="18" customWidth="1"/>
    <col min="5371" max="5371" width="7.33203125" style="18" customWidth="1"/>
    <col min="5372" max="5372" width="5.5546875" style="18" customWidth="1"/>
    <col min="5373" max="5373" width="9" style="18" customWidth="1"/>
    <col min="5374" max="5375" width="9.88671875" style="18" customWidth="1"/>
    <col min="5376" max="5376" width="11.109375" style="18" customWidth="1"/>
    <col min="5377" max="5377" width="2.88671875" style="18" customWidth="1"/>
    <col min="5378" max="5378" width="3.5546875" style="18" customWidth="1"/>
    <col min="5379" max="5623" width="9.109375" style="18"/>
    <col min="5624" max="5624" width="8.6640625" style="18" customWidth="1"/>
    <col min="5625" max="5625" width="9.88671875" style="18" customWidth="1"/>
    <col min="5626" max="5626" width="14.44140625" style="18" customWidth="1"/>
    <col min="5627" max="5627" width="7.33203125" style="18" customWidth="1"/>
    <col min="5628" max="5628" width="5.5546875" style="18" customWidth="1"/>
    <col min="5629" max="5629" width="9" style="18" customWidth="1"/>
    <col min="5630" max="5631" width="9.88671875" style="18" customWidth="1"/>
    <col min="5632" max="5632" width="11.109375" style="18" customWidth="1"/>
    <col min="5633" max="5633" width="2.88671875" style="18" customWidth="1"/>
    <col min="5634" max="5634" width="3.5546875" style="18" customWidth="1"/>
    <col min="5635" max="5879" width="9.109375" style="18"/>
    <col min="5880" max="5880" width="8.6640625" style="18" customWidth="1"/>
    <col min="5881" max="5881" width="9.88671875" style="18" customWidth="1"/>
    <col min="5882" max="5882" width="14.44140625" style="18" customWidth="1"/>
    <col min="5883" max="5883" width="7.33203125" style="18" customWidth="1"/>
    <col min="5884" max="5884" width="5.5546875" style="18" customWidth="1"/>
    <col min="5885" max="5885" width="9" style="18" customWidth="1"/>
    <col min="5886" max="5887" width="9.88671875" style="18" customWidth="1"/>
    <col min="5888" max="5888" width="11.109375" style="18" customWidth="1"/>
    <col min="5889" max="5889" width="2.88671875" style="18" customWidth="1"/>
    <col min="5890" max="5890" width="3.5546875" style="18" customWidth="1"/>
    <col min="5891" max="6135" width="9.109375" style="18"/>
    <col min="6136" max="6136" width="8.6640625" style="18" customWidth="1"/>
    <col min="6137" max="6137" width="9.88671875" style="18" customWidth="1"/>
    <col min="6138" max="6138" width="14.44140625" style="18" customWidth="1"/>
    <col min="6139" max="6139" width="7.33203125" style="18" customWidth="1"/>
    <col min="6140" max="6140" width="5.5546875" style="18" customWidth="1"/>
    <col min="6141" max="6141" width="9" style="18" customWidth="1"/>
    <col min="6142" max="6143" width="9.88671875" style="18" customWidth="1"/>
    <col min="6144" max="6144" width="11.109375" style="18" customWidth="1"/>
    <col min="6145" max="6145" width="2.88671875" style="18" customWidth="1"/>
    <col min="6146" max="6146" width="3.5546875" style="18" customWidth="1"/>
    <col min="6147" max="6391" width="9.109375" style="18"/>
    <col min="6392" max="6392" width="8.6640625" style="18" customWidth="1"/>
    <col min="6393" max="6393" width="9.88671875" style="18" customWidth="1"/>
    <col min="6394" max="6394" width="14.44140625" style="18" customWidth="1"/>
    <col min="6395" max="6395" width="7.33203125" style="18" customWidth="1"/>
    <col min="6396" max="6396" width="5.5546875" style="18" customWidth="1"/>
    <col min="6397" max="6397" width="9" style="18" customWidth="1"/>
    <col min="6398" max="6399" width="9.88671875" style="18" customWidth="1"/>
    <col min="6400" max="6400" width="11.109375" style="18" customWidth="1"/>
    <col min="6401" max="6401" width="2.88671875" style="18" customWidth="1"/>
    <col min="6402" max="6402" width="3.5546875" style="18" customWidth="1"/>
    <col min="6403" max="6647" width="9.109375" style="18"/>
    <col min="6648" max="6648" width="8.6640625" style="18" customWidth="1"/>
    <col min="6649" max="6649" width="9.88671875" style="18" customWidth="1"/>
    <col min="6650" max="6650" width="14.44140625" style="18" customWidth="1"/>
    <col min="6651" max="6651" width="7.33203125" style="18" customWidth="1"/>
    <col min="6652" max="6652" width="5.5546875" style="18" customWidth="1"/>
    <col min="6653" max="6653" width="9" style="18" customWidth="1"/>
    <col min="6654" max="6655" width="9.88671875" style="18" customWidth="1"/>
    <col min="6656" max="6656" width="11.109375" style="18" customWidth="1"/>
    <col min="6657" max="6657" width="2.88671875" style="18" customWidth="1"/>
    <col min="6658" max="6658" width="3.5546875" style="18" customWidth="1"/>
    <col min="6659" max="6903" width="9.109375" style="18"/>
    <col min="6904" max="6904" width="8.6640625" style="18" customWidth="1"/>
    <col min="6905" max="6905" width="9.88671875" style="18" customWidth="1"/>
    <col min="6906" max="6906" width="14.44140625" style="18" customWidth="1"/>
    <col min="6907" max="6907" width="7.33203125" style="18" customWidth="1"/>
    <col min="6908" max="6908" width="5.5546875" style="18" customWidth="1"/>
    <col min="6909" max="6909" width="9" style="18" customWidth="1"/>
    <col min="6910" max="6911" width="9.88671875" style="18" customWidth="1"/>
    <col min="6912" max="6912" width="11.109375" style="18" customWidth="1"/>
    <col min="6913" max="6913" width="2.88671875" style="18" customWidth="1"/>
    <col min="6914" max="6914" width="3.5546875" style="18" customWidth="1"/>
    <col min="6915" max="7159" width="9.109375" style="18"/>
    <col min="7160" max="7160" width="8.6640625" style="18" customWidth="1"/>
    <col min="7161" max="7161" width="9.88671875" style="18" customWidth="1"/>
    <col min="7162" max="7162" width="14.44140625" style="18" customWidth="1"/>
    <col min="7163" max="7163" width="7.33203125" style="18" customWidth="1"/>
    <col min="7164" max="7164" width="5.5546875" style="18" customWidth="1"/>
    <col min="7165" max="7165" width="9" style="18" customWidth="1"/>
    <col min="7166" max="7167" width="9.88671875" style="18" customWidth="1"/>
    <col min="7168" max="7168" width="11.109375" style="18" customWidth="1"/>
    <col min="7169" max="7169" width="2.88671875" style="18" customWidth="1"/>
    <col min="7170" max="7170" width="3.5546875" style="18" customWidth="1"/>
    <col min="7171" max="7415" width="9.109375" style="18"/>
    <col min="7416" max="7416" width="8.6640625" style="18" customWidth="1"/>
    <col min="7417" max="7417" width="9.88671875" style="18" customWidth="1"/>
    <col min="7418" max="7418" width="14.44140625" style="18" customWidth="1"/>
    <col min="7419" max="7419" width="7.33203125" style="18" customWidth="1"/>
    <col min="7420" max="7420" width="5.5546875" style="18" customWidth="1"/>
    <col min="7421" max="7421" width="9" style="18" customWidth="1"/>
    <col min="7422" max="7423" width="9.88671875" style="18" customWidth="1"/>
    <col min="7424" max="7424" width="11.109375" style="18" customWidth="1"/>
    <col min="7425" max="7425" width="2.88671875" style="18" customWidth="1"/>
    <col min="7426" max="7426" width="3.5546875" style="18" customWidth="1"/>
    <col min="7427" max="7671" width="9.109375" style="18"/>
    <col min="7672" max="7672" width="8.6640625" style="18" customWidth="1"/>
    <col min="7673" max="7673" width="9.88671875" style="18" customWidth="1"/>
    <col min="7674" max="7674" width="14.44140625" style="18" customWidth="1"/>
    <col min="7675" max="7675" width="7.33203125" style="18" customWidth="1"/>
    <col min="7676" max="7676" width="5.5546875" style="18" customWidth="1"/>
    <col min="7677" max="7677" width="9" style="18" customWidth="1"/>
    <col min="7678" max="7679" width="9.88671875" style="18" customWidth="1"/>
    <col min="7680" max="7680" width="11.109375" style="18" customWidth="1"/>
    <col min="7681" max="7681" width="2.88671875" style="18" customWidth="1"/>
    <col min="7682" max="7682" width="3.5546875" style="18" customWidth="1"/>
    <col min="7683" max="7927" width="9.109375" style="18"/>
    <col min="7928" max="7928" width="8.6640625" style="18" customWidth="1"/>
    <col min="7929" max="7929" width="9.88671875" style="18" customWidth="1"/>
    <col min="7930" max="7930" width="14.44140625" style="18" customWidth="1"/>
    <col min="7931" max="7931" width="7.33203125" style="18" customWidth="1"/>
    <col min="7932" max="7932" width="5.5546875" style="18" customWidth="1"/>
    <col min="7933" max="7933" width="9" style="18" customWidth="1"/>
    <col min="7934" max="7935" width="9.88671875" style="18" customWidth="1"/>
    <col min="7936" max="7936" width="11.109375" style="18" customWidth="1"/>
    <col min="7937" max="7937" width="2.88671875" style="18" customWidth="1"/>
    <col min="7938" max="7938" width="3.5546875" style="18" customWidth="1"/>
    <col min="7939" max="8183" width="9.109375" style="18"/>
    <col min="8184" max="8184" width="8.6640625" style="18" customWidth="1"/>
    <col min="8185" max="8185" width="9.88671875" style="18" customWidth="1"/>
    <col min="8186" max="8186" width="14.44140625" style="18" customWidth="1"/>
    <col min="8187" max="8187" width="7.33203125" style="18" customWidth="1"/>
    <col min="8188" max="8188" width="5.5546875" style="18" customWidth="1"/>
    <col min="8189" max="8189" width="9" style="18" customWidth="1"/>
    <col min="8190" max="8191" width="9.88671875" style="18" customWidth="1"/>
    <col min="8192" max="8192" width="11.109375" style="18" customWidth="1"/>
    <col min="8193" max="8193" width="2.88671875" style="18" customWidth="1"/>
    <col min="8194" max="8194" width="3.5546875" style="18" customWidth="1"/>
    <col min="8195" max="8439" width="9.109375" style="18"/>
    <col min="8440" max="8440" width="8.6640625" style="18" customWidth="1"/>
    <col min="8441" max="8441" width="9.88671875" style="18" customWidth="1"/>
    <col min="8442" max="8442" width="14.44140625" style="18" customWidth="1"/>
    <col min="8443" max="8443" width="7.33203125" style="18" customWidth="1"/>
    <col min="8444" max="8444" width="5.5546875" style="18" customWidth="1"/>
    <col min="8445" max="8445" width="9" style="18" customWidth="1"/>
    <col min="8446" max="8447" width="9.88671875" style="18" customWidth="1"/>
    <col min="8448" max="8448" width="11.109375" style="18" customWidth="1"/>
    <col min="8449" max="8449" width="2.88671875" style="18" customWidth="1"/>
    <col min="8450" max="8450" width="3.5546875" style="18" customWidth="1"/>
    <col min="8451" max="8695" width="9.109375" style="18"/>
    <col min="8696" max="8696" width="8.6640625" style="18" customWidth="1"/>
    <col min="8697" max="8697" width="9.88671875" style="18" customWidth="1"/>
    <col min="8698" max="8698" width="14.44140625" style="18" customWidth="1"/>
    <col min="8699" max="8699" width="7.33203125" style="18" customWidth="1"/>
    <col min="8700" max="8700" width="5.5546875" style="18" customWidth="1"/>
    <col min="8701" max="8701" width="9" style="18" customWidth="1"/>
    <col min="8702" max="8703" width="9.88671875" style="18" customWidth="1"/>
    <col min="8704" max="8704" width="11.109375" style="18" customWidth="1"/>
    <col min="8705" max="8705" width="2.88671875" style="18" customWidth="1"/>
    <col min="8706" max="8706" width="3.5546875" style="18" customWidth="1"/>
    <col min="8707" max="8951" width="9.109375" style="18"/>
    <col min="8952" max="8952" width="8.6640625" style="18" customWidth="1"/>
    <col min="8953" max="8953" width="9.88671875" style="18" customWidth="1"/>
    <col min="8954" max="8954" width="14.44140625" style="18" customWidth="1"/>
    <col min="8955" max="8955" width="7.33203125" style="18" customWidth="1"/>
    <col min="8956" max="8956" width="5.5546875" style="18" customWidth="1"/>
    <col min="8957" max="8957" width="9" style="18" customWidth="1"/>
    <col min="8958" max="8959" width="9.88671875" style="18" customWidth="1"/>
    <col min="8960" max="8960" width="11.109375" style="18" customWidth="1"/>
    <col min="8961" max="8961" width="2.88671875" style="18" customWidth="1"/>
    <col min="8962" max="8962" width="3.5546875" style="18" customWidth="1"/>
    <col min="8963" max="9207" width="9.109375" style="18"/>
    <col min="9208" max="9208" width="8.6640625" style="18" customWidth="1"/>
    <col min="9209" max="9209" width="9.88671875" style="18" customWidth="1"/>
    <col min="9210" max="9210" width="14.44140625" style="18" customWidth="1"/>
    <col min="9211" max="9211" width="7.33203125" style="18" customWidth="1"/>
    <col min="9212" max="9212" width="5.5546875" style="18" customWidth="1"/>
    <col min="9213" max="9213" width="9" style="18" customWidth="1"/>
    <col min="9214" max="9215" width="9.88671875" style="18" customWidth="1"/>
    <col min="9216" max="9216" width="11.109375" style="18" customWidth="1"/>
    <col min="9217" max="9217" width="2.88671875" style="18" customWidth="1"/>
    <col min="9218" max="9218" width="3.5546875" style="18" customWidth="1"/>
    <col min="9219" max="9463" width="9.109375" style="18"/>
    <col min="9464" max="9464" width="8.6640625" style="18" customWidth="1"/>
    <col min="9465" max="9465" width="9.88671875" style="18" customWidth="1"/>
    <col min="9466" max="9466" width="14.44140625" style="18" customWidth="1"/>
    <col min="9467" max="9467" width="7.33203125" style="18" customWidth="1"/>
    <col min="9468" max="9468" width="5.5546875" style="18" customWidth="1"/>
    <col min="9469" max="9469" width="9" style="18" customWidth="1"/>
    <col min="9470" max="9471" width="9.88671875" style="18" customWidth="1"/>
    <col min="9472" max="9472" width="11.109375" style="18" customWidth="1"/>
    <col min="9473" max="9473" width="2.88671875" style="18" customWidth="1"/>
    <col min="9474" max="9474" width="3.5546875" style="18" customWidth="1"/>
    <col min="9475" max="9719" width="9.109375" style="18"/>
    <col min="9720" max="9720" width="8.6640625" style="18" customWidth="1"/>
    <col min="9721" max="9721" width="9.88671875" style="18" customWidth="1"/>
    <col min="9722" max="9722" width="14.44140625" style="18" customWidth="1"/>
    <col min="9723" max="9723" width="7.33203125" style="18" customWidth="1"/>
    <col min="9724" max="9724" width="5.5546875" style="18" customWidth="1"/>
    <col min="9725" max="9725" width="9" style="18" customWidth="1"/>
    <col min="9726" max="9727" width="9.88671875" style="18" customWidth="1"/>
    <col min="9728" max="9728" width="11.109375" style="18" customWidth="1"/>
    <col min="9729" max="9729" width="2.88671875" style="18" customWidth="1"/>
    <col min="9730" max="9730" width="3.5546875" style="18" customWidth="1"/>
    <col min="9731" max="9975" width="9.109375" style="18"/>
    <col min="9976" max="9976" width="8.6640625" style="18" customWidth="1"/>
    <col min="9977" max="9977" width="9.88671875" style="18" customWidth="1"/>
    <col min="9978" max="9978" width="14.44140625" style="18" customWidth="1"/>
    <col min="9979" max="9979" width="7.33203125" style="18" customWidth="1"/>
    <col min="9980" max="9980" width="5.5546875" style="18" customWidth="1"/>
    <col min="9981" max="9981" width="9" style="18" customWidth="1"/>
    <col min="9982" max="9983" width="9.88671875" style="18" customWidth="1"/>
    <col min="9984" max="9984" width="11.109375" style="18" customWidth="1"/>
    <col min="9985" max="9985" width="2.88671875" style="18" customWidth="1"/>
    <col min="9986" max="9986" width="3.5546875" style="18" customWidth="1"/>
    <col min="9987" max="10231" width="9.109375" style="18"/>
    <col min="10232" max="10232" width="8.6640625" style="18" customWidth="1"/>
    <col min="10233" max="10233" width="9.88671875" style="18" customWidth="1"/>
    <col min="10234" max="10234" width="14.44140625" style="18" customWidth="1"/>
    <col min="10235" max="10235" width="7.33203125" style="18" customWidth="1"/>
    <col min="10236" max="10236" width="5.5546875" style="18" customWidth="1"/>
    <col min="10237" max="10237" width="9" style="18" customWidth="1"/>
    <col min="10238" max="10239" width="9.88671875" style="18" customWidth="1"/>
    <col min="10240" max="10240" width="11.109375" style="18" customWidth="1"/>
    <col min="10241" max="10241" width="2.88671875" style="18" customWidth="1"/>
    <col min="10242" max="10242" width="3.5546875" style="18" customWidth="1"/>
    <col min="10243" max="10487" width="9.109375" style="18"/>
    <col min="10488" max="10488" width="8.6640625" style="18" customWidth="1"/>
    <col min="10489" max="10489" width="9.88671875" style="18" customWidth="1"/>
    <col min="10490" max="10490" width="14.44140625" style="18" customWidth="1"/>
    <col min="10491" max="10491" width="7.33203125" style="18" customWidth="1"/>
    <col min="10492" max="10492" width="5.5546875" style="18" customWidth="1"/>
    <col min="10493" max="10493" width="9" style="18" customWidth="1"/>
    <col min="10494" max="10495" width="9.88671875" style="18" customWidth="1"/>
    <col min="10496" max="10496" width="11.109375" style="18" customWidth="1"/>
    <col min="10497" max="10497" width="2.88671875" style="18" customWidth="1"/>
    <col min="10498" max="10498" width="3.5546875" style="18" customWidth="1"/>
    <col min="10499" max="10743" width="9.109375" style="18"/>
    <col min="10744" max="10744" width="8.6640625" style="18" customWidth="1"/>
    <col min="10745" max="10745" width="9.88671875" style="18" customWidth="1"/>
    <col min="10746" max="10746" width="14.44140625" style="18" customWidth="1"/>
    <col min="10747" max="10747" width="7.33203125" style="18" customWidth="1"/>
    <col min="10748" max="10748" width="5.5546875" style="18" customWidth="1"/>
    <col min="10749" max="10749" width="9" style="18" customWidth="1"/>
    <col min="10750" max="10751" width="9.88671875" style="18" customWidth="1"/>
    <col min="10752" max="10752" width="11.109375" style="18" customWidth="1"/>
    <col min="10753" max="10753" width="2.88671875" style="18" customWidth="1"/>
    <col min="10754" max="10754" width="3.5546875" style="18" customWidth="1"/>
    <col min="10755" max="10999" width="9.109375" style="18"/>
    <col min="11000" max="11000" width="8.6640625" style="18" customWidth="1"/>
    <col min="11001" max="11001" width="9.88671875" style="18" customWidth="1"/>
    <col min="11002" max="11002" width="14.44140625" style="18" customWidth="1"/>
    <col min="11003" max="11003" width="7.33203125" style="18" customWidth="1"/>
    <col min="11004" max="11004" width="5.5546875" style="18" customWidth="1"/>
    <col min="11005" max="11005" width="9" style="18" customWidth="1"/>
    <col min="11006" max="11007" width="9.88671875" style="18" customWidth="1"/>
    <col min="11008" max="11008" width="11.109375" style="18" customWidth="1"/>
    <col min="11009" max="11009" width="2.88671875" style="18" customWidth="1"/>
    <col min="11010" max="11010" width="3.5546875" style="18" customWidth="1"/>
    <col min="11011" max="11255" width="9.109375" style="18"/>
    <col min="11256" max="11256" width="8.6640625" style="18" customWidth="1"/>
    <col min="11257" max="11257" width="9.88671875" style="18" customWidth="1"/>
    <col min="11258" max="11258" width="14.44140625" style="18" customWidth="1"/>
    <col min="11259" max="11259" width="7.33203125" style="18" customWidth="1"/>
    <col min="11260" max="11260" width="5.5546875" style="18" customWidth="1"/>
    <col min="11261" max="11261" width="9" style="18" customWidth="1"/>
    <col min="11262" max="11263" width="9.88671875" style="18" customWidth="1"/>
    <col min="11264" max="11264" width="11.109375" style="18" customWidth="1"/>
    <col min="11265" max="11265" width="2.88671875" style="18" customWidth="1"/>
    <col min="11266" max="11266" width="3.5546875" style="18" customWidth="1"/>
    <col min="11267" max="11511" width="9.109375" style="18"/>
    <col min="11512" max="11512" width="8.6640625" style="18" customWidth="1"/>
    <col min="11513" max="11513" width="9.88671875" style="18" customWidth="1"/>
    <col min="11514" max="11514" width="14.44140625" style="18" customWidth="1"/>
    <col min="11515" max="11515" width="7.33203125" style="18" customWidth="1"/>
    <col min="11516" max="11516" width="5.5546875" style="18" customWidth="1"/>
    <col min="11517" max="11517" width="9" style="18" customWidth="1"/>
    <col min="11518" max="11519" width="9.88671875" style="18" customWidth="1"/>
    <col min="11520" max="11520" width="11.109375" style="18" customWidth="1"/>
    <col min="11521" max="11521" width="2.88671875" style="18" customWidth="1"/>
    <col min="11522" max="11522" width="3.5546875" style="18" customWidth="1"/>
    <col min="11523" max="11767" width="9.109375" style="18"/>
    <col min="11768" max="11768" width="8.6640625" style="18" customWidth="1"/>
    <col min="11769" max="11769" width="9.88671875" style="18" customWidth="1"/>
    <col min="11770" max="11770" width="14.44140625" style="18" customWidth="1"/>
    <col min="11771" max="11771" width="7.33203125" style="18" customWidth="1"/>
    <col min="11772" max="11772" width="5.5546875" style="18" customWidth="1"/>
    <col min="11773" max="11773" width="9" style="18" customWidth="1"/>
    <col min="11774" max="11775" width="9.88671875" style="18" customWidth="1"/>
    <col min="11776" max="11776" width="11.109375" style="18" customWidth="1"/>
    <col min="11777" max="11777" width="2.88671875" style="18" customWidth="1"/>
    <col min="11778" max="11778" width="3.5546875" style="18" customWidth="1"/>
    <col min="11779" max="12023" width="9.109375" style="18"/>
    <col min="12024" max="12024" width="8.6640625" style="18" customWidth="1"/>
    <col min="12025" max="12025" width="9.88671875" style="18" customWidth="1"/>
    <col min="12026" max="12026" width="14.44140625" style="18" customWidth="1"/>
    <col min="12027" max="12027" width="7.33203125" style="18" customWidth="1"/>
    <col min="12028" max="12028" width="5.5546875" style="18" customWidth="1"/>
    <col min="12029" max="12029" width="9" style="18" customWidth="1"/>
    <col min="12030" max="12031" width="9.88671875" style="18" customWidth="1"/>
    <col min="12032" max="12032" width="11.109375" style="18" customWidth="1"/>
    <col min="12033" max="12033" width="2.88671875" style="18" customWidth="1"/>
    <col min="12034" max="12034" width="3.5546875" style="18" customWidth="1"/>
    <col min="12035" max="12279" width="9.109375" style="18"/>
    <col min="12280" max="12280" width="8.6640625" style="18" customWidth="1"/>
    <col min="12281" max="12281" width="9.88671875" style="18" customWidth="1"/>
    <col min="12282" max="12282" width="14.44140625" style="18" customWidth="1"/>
    <col min="12283" max="12283" width="7.33203125" style="18" customWidth="1"/>
    <col min="12284" max="12284" width="5.5546875" style="18" customWidth="1"/>
    <col min="12285" max="12285" width="9" style="18" customWidth="1"/>
    <col min="12286" max="12287" width="9.88671875" style="18" customWidth="1"/>
    <col min="12288" max="12288" width="11.109375" style="18" customWidth="1"/>
    <col min="12289" max="12289" width="2.88671875" style="18" customWidth="1"/>
    <col min="12290" max="12290" width="3.5546875" style="18" customWidth="1"/>
    <col min="12291" max="12535" width="9.109375" style="18"/>
    <col min="12536" max="12536" width="8.6640625" style="18" customWidth="1"/>
    <col min="12537" max="12537" width="9.88671875" style="18" customWidth="1"/>
    <col min="12538" max="12538" width="14.44140625" style="18" customWidth="1"/>
    <col min="12539" max="12539" width="7.33203125" style="18" customWidth="1"/>
    <col min="12540" max="12540" width="5.5546875" style="18" customWidth="1"/>
    <col min="12541" max="12541" width="9" style="18" customWidth="1"/>
    <col min="12542" max="12543" width="9.88671875" style="18" customWidth="1"/>
    <col min="12544" max="12544" width="11.109375" style="18" customWidth="1"/>
    <col min="12545" max="12545" width="2.88671875" style="18" customWidth="1"/>
    <col min="12546" max="12546" width="3.5546875" style="18" customWidth="1"/>
    <col min="12547" max="12791" width="9.109375" style="18"/>
    <col min="12792" max="12792" width="8.6640625" style="18" customWidth="1"/>
    <col min="12793" max="12793" width="9.88671875" style="18" customWidth="1"/>
    <col min="12794" max="12794" width="14.44140625" style="18" customWidth="1"/>
    <col min="12795" max="12795" width="7.33203125" style="18" customWidth="1"/>
    <col min="12796" max="12796" width="5.5546875" style="18" customWidth="1"/>
    <col min="12797" max="12797" width="9" style="18" customWidth="1"/>
    <col min="12798" max="12799" width="9.88671875" style="18" customWidth="1"/>
    <col min="12800" max="12800" width="11.109375" style="18" customWidth="1"/>
    <col min="12801" max="12801" width="2.88671875" style="18" customWidth="1"/>
    <col min="12802" max="12802" width="3.5546875" style="18" customWidth="1"/>
    <col min="12803" max="13047" width="9.109375" style="18"/>
    <col min="13048" max="13048" width="8.6640625" style="18" customWidth="1"/>
    <col min="13049" max="13049" width="9.88671875" style="18" customWidth="1"/>
    <col min="13050" max="13050" width="14.44140625" style="18" customWidth="1"/>
    <col min="13051" max="13051" width="7.33203125" style="18" customWidth="1"/>
    <col min="13052" max="13052" width="5.5546875" style="18" customWidth="1"/>
    <col min="13053" max="13053" width="9" style="18" customWidth="1"/>
    <col min="13054" max="13055" width="9.88671875" style="18" customWidth="1"/>
    <col min="13056" max="13056" width="11.109375" style="18" customWidth="1"/>
    <col min="13057" max="13057" width="2.88671875" style="18" customWidth="1"/>
    <col min="13058" max="13058" width="3.5546875" style="18" customWidth="1"/>
    <col min="13059" max="13303" width="9.109375" style="18"/>
    <col min="13304" max="13304" width="8.6640625" style="18" customWidth="1"/>
    <col min="13305" max="13305" width="9.88671875" style="18" customWidth="1"/>
    <col min="13306" max="13306" width="14.44140625" style="18" customWidth="1"/>
    <col min="13307" max="13307" width="7.33203125" style="18" customWidth="1"/>
    <col min="13308" max="13308" width="5.5546875" style="18" customWidth="1"/>
    <col min="13309" max="13309" width="9" style="18" customWidth="1"/>
    <col min="13310" max="13311" width="9.88671875" style="18" customWidth="1"/>
    <col min="13312" max="13312" width="11.109375" style="18" customWidth="1"/>
    <col min="13313" max="13313" width="2.88671875" style="18" customWidth="1"/>
    <col min="13314" max="13314" width="3.5546875" style="18" customWidth="1"/>
    <col min="13315" max="13559" width="9.109375" style="18"/>
    <col min="13560" max="13560" width="8.6640625" style="18" customWidth="1"/>
    <col min="13561" max="13561" width="9.88671875" style="18" customWidth="1"/>
    <col min="13562" max="13562" width="14.44140625" style="18" customWidth="1"/>
    <col min="13563" max="13563" width="7.33203125" style="18" customWidth="1"/>
    <col min="13564" max="13564" width="5.5546875" style="18" customWidth="1"/>
    <col min="13565" max="13565" width="9" style="18" customWidth="1"/>
    <col min="13566" max="13567" width="9.88671875" style="18" customWidth="1"/>
    <col min="13568" max="13568" width="11.109375" style="18" customWidth="1"/>
    <col min="13569" max="13569" width="2.88671875" style="18" customWidth="1"/>
    <col min="13570" max="13570" width="3.5546875" style="18" customWidth="1"/>
    <col min="13571" max="13815" width="9.109375" style="18"/>
    <col min="13816" max="13816" width="8.6640625" style="18" customWidth="1"/>
    <col min="13817" max="13817" width="9.88671875" style="18" customWidth="1"/>
    <col min="13818" max="13818" width="14.44140625" style="18" customWidth="1"/>
    <col min="13819" max="13819" width="7.33203125" style="18" customWidth="1"/>
    <col min="13820" max="13820" width="5.5546875" style="18" customWidth="1"/>
    <col min="13821" max="13821" width="9" style="18" customWidth="1"/>
    <col min="13822" max="13823" width="9.88671875" style="18" customWidth="1"/>
    <col min="13824" max="13824" width="11.109375" style="18" customWidth="1"/>
    <col min="13825" max="13825" width="2.88671875" style="18" customWidth="1"/>
    <col min="13826" max="13826" width="3.5546875" style="18" customWidth="1"/>
    <col min="13827" max="14071" width="9.109375" style="18"/>
    <col min="14072" max="14072" width="8.6640625" style="18" customWidth="1"/>
    <col min="14073" max="14073" width="9.88671875" style="18" customWidth="1"/>
    <col min="14074" max="14074" width="14.44140625" style="18" customWidth="1"/>
    <col min="14075" max="14075" width="7.33203125" style="18" customWidth="1"/>
    <col min="14076" max="14076" width="5.5546875" style="18" customWidth="1"/>
    <col min="14077" max="14077" width="9" style="18" customWidth="1"/>
    <col min="14078" max="14079" width="9.88671875" style="18" customWidth="1"/>
    <col min="14080" max="14080" width="11.109375" style="18" customWidth="1"/>
    <col min="14081" max="14081" width="2.88671875" style="18" customWidth="1"/>
    <col min="14082" max="14082" width="3.5546875" style="18" customWidth="1"/>
    <col min="14083" max="14327" width="9.109375" style="18"/>
    <col min="14328" max="14328" width="8.6640625" style="18" customWidth="1"/>
    <col min="14329" max="14329" width="9.88671875" style="18" customWidth="1"/>
    <col min="14330" max="14330" width="14.44140625" style="18" customWidth="1"/>
    <col min="14331" max="14331" width="7.33203125" style="18" customWidth="1"/>
    <col min="14332" max="14332" width="5.5546875" style="18" customWidth="1"/>
    <col min="14333" max="14333" width="9" style="18" customWidth="1"/>
    <col min="14334" max="14335" width="9.88671875" style="18" customWidth="1"/>
    <col min="14336" max="14336" width="11.109375" style="18" customWidth="1"/>
    <col min="14337" max="14337" width="2.88671875" style="18" customWidth="1"/>
    <col min="14338" max="14338" width="3.5546875" style="18" customWidth="1"/>
    <col min="14339" max="14583" width="9.109375" style="18"/>
    <col min="14584" max="14584" width="8.6640625" style="18" customWidth="1"/>
    <col min="14585" max="14585" width="9.88671875" style="18" customWidth="1"/>
    <col min="14586" max="14586" width="14.44140625" style="18" customWidth="1"/>
    <col min="14587" max="14587" width="7.33203125" style="18" customWidth="1"/>
    <col min="14588" max="14588" width="5.5546875" style="18" customWidth="1"/>
    <col min="14589" max="14589" width="9" style="18" customWidth="1"/>
    <col min="14590" max="14591" width="9.88671875" style="18" customWidth="1"/>
    <col min="14592" max="14592" width="11.109375" style="18" customWidth="1"/>
    <col min="14593" max="14593" width="2.88671875" style="18" customWidth="1"/>
    <col min="14594" max="14594" width="3.5546875" style="18" customWidth="1"/>
    <col min="14595" max="14839" width="9.109375" style="18"/>
    <col min="14840" max="14840" width="8.6640625" style="18" customWidth="1"/>
    <col min="14841" max="14841" width="9.88671875" style="18" customWidth="1"/>
    <col min="14842" max="14842" width="14.44140625" style="18" customWidth="1"/>
    <col min="14843" max="14843" width="7.33203125" style="18" customWidth="1"/>
    <col min="14844" max="14844" width="5.5546875" style="18" customWidth="1"/>
    <col min="14845" max="14845" width="9" style="18" customWidth="1"/>
    <col min="14846" max="14847" width="9.88671875" style="18" customWidth="1"/>
    <col min="14848" max="14848" width="11.109375" style="18" customWidth="1"/>
    <col min="14849" max="14849" width="2.88671875" style="18" customWidth="1"/>
    <col min="14850" max="14850" width="3.5546875" style="18" customWidth="1"/>
    <col min="14851" max="15095" width="9.109375" style="18"/>
    <col min="15096" max="15096" width="8.6640625" style="18" customWidth="1"/>
    <col min="15097" max="15097" width="9.88671875" style="18" customWidth="1"/>
    <col min="15098" max="15098" width="14.44140625" style="18" customWidth="1"/>
    <col min="15099" max="15099" width="7.33203125" style="18" customWidth="1"/>
    <col min="15100" max="15100" width="5.5546875" style="18" customWidth="1"/>
    <col min="15101" max="15101" width="9" style="18" customWidth="1"/>
    <col min="15102" max="15103" width="9.88671875" style="18" customWidth="1"/>
    <col min="15104" max="15104" width="11.109375" style="18" customWidth="1"/>
    <col min="15105" max="15105" width="2.88671875" style="18" customWidth="1"/>
    <col min="15106" max="15106" width="3.5546875" style="18" customWidth="1"/>
    <col min="15107" max="15351" width="9.109375" style="18"/>
    <col min="15352" max="15352" width="8.6640625" style="18" customWidth="1"/>
    <col min="15353" max="15353" width="9.88671875" style="18" customWidth="1"/>
    <col min="15354" max="15354" width="14.44140625" style="18" customWidth="1"/>
    <col min="15355" max="15355" width="7.33203125" style="18" customWidth="1"/>
    <col min="15356" max="15356" width="5.5546875" style="18" customWidth="1"/>
    <col min="15357" max="15357" width="9" style="18" customWidth="1"/>
    <col min="15358" max="15359" width="9.88671875" style="18" customWidth="1"/>
    <col min="15360" max="15360" width="11.109375" style="18" customWidth="1"/>
    <col min="15361" max="15361" width="2.88671875" style="18" customWidth="1"/>
    <col min="15362" max="15362" width="3.5546875" style="18" customWidth="1"/>
    <col min="15363" max="15607" width="9.109375" style="18"/>
    <col min="15608" max="15608" width="8.6640625" style="18" customWidth="1"/>
    <col min="15609" max="15609" width="9.88671875" style="18" customWidth="1"/>
    <col min="15610" max="15610" width="14.44140625" style="18" customWidth="1"/>
    <col min="15611" max="15611" width="7.33203125" style="18" customWidth="1"/>
    <col min="15612" max="15612" width="5.5546875" style="18" customWidth="1"/>
    <col min="15613" max="15613" width="9" style="18" customWidth="1"/>
    <col min="15614" max="15615" width="9.88671875" style="18" customWidth="1"/>
    <col min="15616" max="15616" width="11.109375" style="18" customWidth="1"/>
    <col min="15617" max="15617" width="2.88671875" style="18" customWidth="1"/>
    <col min="15618" max="15618" width="3.5546875" style="18" customWidth="1"/>
    <col min="15619" max="15863" width="9.109375" style="18"/>
    <col min="15864" max="15864" width="8.6640625" style="18" customWidth="1"/>
    <col min="15865" max="15865" width="9.88671875" style="18" customWidth="1"/>
    <col min="15866" max="15866" width="14.44140625" style="18" customWidth="1"/>
    <col min="15867" max="15867" width="7.33203125" style="18" customWidth="1"/>
    <col min="15868" max="15868" width="5.5546875" style="18" customWidth="1"/>
    <col min="15869" max="15869" width="9" style="18" customWidth="1"/>
    <col min="15870" max="15871" width="9.88671875" style="18" customWidth="1"/>
    <col min="15872" max="15872" width="11.109375" style="18" customWidth="1"/>
    <col min="15873" max="15873" width="2.88671875" style="18" customWidth="1"/>
    <col min="15874" max="15874" width="3.5546875" style="18" customWidth="1"/>
    <col min="15875" max="16119" width="9.109375" style="18"/>
    <col min="16120" max="16120" width="8.6640625" style="18" customWidth="1"/>
    <col min="16121" max="16121" width="9.88671875" style="18" customWidth="1"/>
    <col min="16122" max="16122" width="14.44140625" style="18" customWidth="1"/>
    <col min="16123" max="16123" width="7.33203125" style="18" customWidth="1"/>
    <col min="16124" max="16124" width="5.5546875" style="18" customWidth="1"/>
    <col min="16125" max="16125" width="9" style="18" customWidth="1"/>
    <col min="16126" max="16127" width="9.88671875" style="18" customWidth="1"/>
    <col min="16128" max="16128" width="11.109375" style="18" customWidth="1"/>
    <col min="16129" max="16129" width="2.88671875" style="18" customWidth="1"/>
    <col min="16130" max="16130" width="3.5546875" style="18" customWidth="1"/>
    <col min="16131" max="16384" width="9.109375" style="18"/>
  </cols>
  <sheetData>
    <row r="1" spans="1:26" ht="46.5" customHeight="1" x14ac:dyDescent="0.3">
      <c r="A1" s="179" t="s">
        <v>375</v>
      </c>
      <c r="B1" s="179"/>
      <c r="C1" s="179"/>
      <c r="D1" s="179"/>
      <c r="E1" s="179"/>
      <c r="F1" s="179"/>
      <c r="G1" s="179"/>
      <c r="H1" s="179"/>
    </row>
    <row r="2" spans="1:26" ht="16.5" customHeight="1" x14ac:dyDescent="0.3">
      <c r="A2" s="180" t="s">
        <v>0</v>
      </c>
      <c r="B2" s="180"/>
      <c r="C2" s="180"/>
      <c r="D2" s="180"/>
      <c r="E2" s="180"/>
      <c r="F2" s="180"/>
      <c r="G2" s="180"/>
      <c r="H2" s="180"/>
    </row>
    <row r="3" spans="1:26" x14ac:dyDescent="0.3">
      <c r="A3" s="148" t="s">
        <v>1</v>
      </c>
      <c r="B3" s="148"/>
      <c r="C3" s="148"/>
      <c r="D3" s="148"/>
      <c r="E3" s="148" t="str">
        <f ca="1">TEXT(TODAY(),"DD/MM/YYYY")</f>
        <v>19/09/2025</v>
      </c>
      <c r="F3" s="148"/>
      <c r="G3" s="148"/>
      <c r="H3" s="148"/>
      <c r="K3" s="49" t="s">
        <v>231</v>
      </c>
      <c r="L3" s="48" t="s">
        <v>229</v>
      </c>
      <c r="M3" s="48" t="s">
        <v>234</v>
      </c>
      <c r="N3" s="48" t="s">
        <v>232</v>
      </c>
      <c r="O3" s="48" t="s">
        <v>352</v>
      </c>
      <c r="P3" s="48" t="s">
        <v>378</v>
      </c>
    </row>
    <row r="4" spans="1:26" ht="15" customHeight="1" x14ac:dyDescent="0.3">
      <c r="A4" s="148" t="s">
        <v>228</v>
      </c>
      <c r="B4" s="148"/>
      <c r="C4" s="148"/>
      <c r="D4" s="148"/>
      <c r="E4" s="148" t="s">
        <v>229</v>
      </c>
      <c r="F4" s="148"/>
      <c r="G4" s="148"/>
      <c r="H4" s="148"/>
      <c r="K4" s="47" t="s">
        <v>230</v>
      </c>
      <c r="L4" s="48" t="s">
        <v>166</v>
      </c>
      <c r="M4" s="48" t="s">
        <v>239</v>
      </c>
      <c r="N4" s="48" t="s">
        <v>241</v>
      </c>
      <c r="O4" s="48" t="s">
        <v>336</v>
      </c>
      <c r="P4" s="48" t="s">
        <v>379</v>
      </c>
    </row>
    <row r="5" spans="1:26" ht="15" customHeight="1" x14ac:dyDescent="0.3">
      <c r="A5" s="148" t="s">
        <v>2</v>
      </c>
      <c r="B5" s="148"/>
      <c r="C5" s="148"/>
      <c r="D5" s="148"/>
      <c r="E5" s="148" t="s">
        <v>237</v>
      </c>
      <c r="F5" s="148"/>
      <c r="G5" s="148"/>
      <c r="H5" s="148"/>
      <c r="K5" s="47"/>
      <c r="L5" s="48" t="s">
        <v>236</v>
      </c>
      <c r="M5" s="48" t="s">
        <v>240</v>
      </c>
      <c r="N5" s="48" t="s">
        <v>242</v>
      </c>
      <c r="O5" s="48" t="s">
        <v>337</v>
      </c>
      <c r="P5" s="48"/>
    </row>
    <row r="6" spans="1:26" x14ac:dyDescent="0.3">
      <c r="A6" s="148" t="s">
        <v>3</v>
      </c>
      <c r="B6" s="148"/>
      <c r="C6" s="148"/>
      <c r="D6" s="148"/>
      <c r="E6" s="182">
        <v>45892</v>
      </c>
      <c r="F6" s="148"/>
      <c r="G6" s="148"/>
      <c r="H6" s="148"/>
      <c r="K6" s="47"/>
      <c r="L6" s="48" t="s">
        <v>237</v>
      </c>
      <c r="M6" s="48" t="s">
        <v>350</v>
      </c>
      <c r="N6" s="48"/>
      <c r="O6" s="48" t="s">
        <v>338</v>
      </c>
      <c r="P6" s="48"/>
    </row>
    <row r="7" spans="1:26" ht="16.5" customHeight="1" x14ac:dyDescent="0.3">
      <c r="A7" s="148" t="s">
        <v>4</v>
      </c>
      <c r="B7" s="148"/>
      <c r="C7" s="148"/>
      <c r="D7" s="148"/>
      <c r="E7" s="148" t="s">
        <v>384</v>
      </c>
      <c r="F7" s="148"/>
      <c r="G7" s="148"/>
      <c r="H7" s="148"/>
      <c r="K7" s="47"/>
      <c r="L7" s="48" t="s">
        <v>238</v>
      </c>
      <c r="M7" s="48"/>
      <c r="N7" s="48"/>
      <c r="O7" s="48" t="s">
        <v>338</v>
      </c>
      <c r="P7" s="48"/>
    </row>
    <row r="8" spans="1:26" ht="15" customHeight="1" x14ac:dyDescent="0.3">
      <c r="A8" s="148" t="s">
        <v>5</v>
      </c>
      <c r="B8" s="148"/>
      <c r="C8" s="148"/>
      <c r="D8" s="148"/>
      <c r="E8" s="148" t="str">
        <f>E7</f>
        <v>Neelkanth Infratech</v>
      </c>
      <c r="F8" s="148"/>
      <c r="G8" s="148"/>
      <c r="H8" s="148"/>
      <c r="K8" s="47"/>
      <c r="L8" s="48"/>
      <c r="M8" s="48"/>
      <c r="N8" s="48"/>
      <c r="O8" s="48" t="s">
        <v>339</v>
      </c>
      <c r="P8" s="48"/>
    </row>
    <row r="9" spans="1:26" x14ac:dyDescent="0.3">
      <c r="A9" s="148" t="s">
        <v>6</v>
      </c>
      <c r="B9" s="148"/>
      <c r="C9" s="148"/>
      <c r="D9" s="148"/>
      <c r="E9" s="181" t="s">
        <v>385</v>
      </c>
      <c r="F9" s="181"/>
      <c r="G9" s="181"/>
      <c r="H9" s="181"/>
      <c r="K9" s="47"/>
      <c r="L9" s="48"/>
      <c r="M9" s="48"/>
      <c r="N9" s="48"/>
      <c r="O9" s="48" t="s">
        <v>340</v>
      </c>
      <c r="P9" s="48"/>
    </row>
    <row r="10" spans="1:26" x14ac:dyDescent="0.3">
      <c r="A10" s="148" t="s">
        <v>162</v>
      </c>
      <c r="B10" s="148"/>
      <c r="C10" s="148"/>
      <c r="D10" s="148"/>
      <c r="E10" s="148" t="s">
        <v>386</v>
      </c>
      <c r="F10" s="148"/>
      <c r="G10" s="148"/>
      <c r="H10" s="148"/>
      <c r="K10" s="47"/>
      <c r="L10" s="48"/>
      <c r="M10" s="48"/>
      <c r="N10" s="48"/>
      <c r="O10" s="48" t="s">
        <v>341</v>
      </c>
      <c r="P10" s="48"/>
    </row>
    <row r="11" spans="1:26" x14ac:dyDescent="0.3">
      <c r="A11" s="148" t="s">
        <v>163</v>
      </c>
      <c r="B11" s="148"/>
      <c r="C11" s="148"/>
      <c r="D11" s="148"/>
      <c r="E11" s="148" t="s">
        <v>387</v>
      </c>
      <c r="F11" s="148"/>
      <c r="G11" s="148"/>
      <c r="H11" s="148"/>
      <c r="O11" s="48" t="s">
        <v>342</v>
      </c>
    </row>
    <row r="12" spans="1:26" x14ac:dyDescent="0.3">
      <c r="A12" s="148" t="s">
        <v>7</v>
      </c>
      <c r="B12" s="148"/>
      <c r="C12" s="148"/>
      <c r="D12" s="148"/>
      <c r="E12" s="148" t="s">
        <v>388</v>
      </c>
      <c r="F12" s="148"/>
      <c r="G12" s="148"/>
      <c r="H12" s="148"/>
    </row>
    <row r="13" spans="1:26" x14ac:dyDescent="0.3">
      <c r="A13" s="148" t="s">
        <v>167</v>
      </c>
      <c r="B13" s="148"/>
      <c r="C13" s="148"/>
      <c r="D13" s="148"/>
      <c r="E13" s="148" t="s">
        <v>28</v>
      </c>
      <c r="F13" s="148"/>
      <c r="G13" s="148"/>
      <c r="H13" s="148"/>
      <c r="S13" s="48" t="s">
        <v>175</v>
      </c>
      <c r="T13" s="48" t="s">
        <v>184</v>
      </c>
      <c r="U13" s="48" t="s">
        <v>168</v>
      </c>
      <c r="V13" s="48" t="s">
        <v>189</v>
      </c>
      <c r="W13" s="48" t="s">
        <v>207</v>
      </c>
      <c r="X13"/>
      <c r="Y13" t="s">
        <v>189</v>
      </c>
      <c r="Z13" t="e">
        <f ca="1">OFFSET($S$13,1,MATCH($G20,$S$13:$W$13,0)-1,15,1)</f>
        <v>#VALUE!</v>
      </c>
    </row>
    <row r="14" spans="1:26" x14ac:dyDescent="0.3">
      <c r="A14" s="134" t="s">
        <v>274</v>
      </c>
      <c r="B14" s="134"/>
      <c r="C14" s="134"/>
      <c r="D14" s="134"/>
      <c r="E14" s="147" t="s">
        <v>389</v>
      </c>
      <c r="F14" s="147"/>
      <c r="G14" s="147"/>
      <c r="H14" s="147"/>
      <c r="S14" s="48" t="s">
        <v>175</v>
      </c>
      <c r="T14" s="48" t="s">
        <v>182</v>
      </c>
      <c r="U14" s="48" t="s">
        <v>204</v>
      </c>
      <c r="V14" s="48" t="s">
        <v>190</v>
      </c>
      <c r="W14" s="48" t="s">
        <v>208</v>
      </c>
      <c r="X14"/>
      <c r="Y14"/>
      <c r="Z14"/>
    </row>
    <row r="15" spans="1:26" x14ac:dyDescent="0.3">
      <c r="A15" s="134" t="s">
        <v>8</v>
      </c>
      <c r="B15" s="134"/>
      <c r="C15" s="134"/>
      <c r="D15" s="134"/>
      <c r="E15" s="147" t="s">
        <v>390</v>
      </c>
      <c r="F15" s="148"/>
      <c r="G15" s="148"/>
      <c r="H15" s="148"/>
      <c r="I15" s="135" t="e">
        <f ca="1">OFFSET($D$5,1,MATCH($J13,$D$5:$H$5,0)-1,15,1)</f>
        <v>#N/A</v>
      </c>
      <c r="J15" s="136"/>
      <c r="K15" s="136"/>
      <c r="L15" s="136"/>
      <c r="M15" s="136"/>
      <c r="N15" s="136"/>
      <c r="O15" s="136"/>
      <c r="P15" s="136"/>
      <c r="S15" s="48" t="s">
        <v>176</v>
      </c>
      <c r="T15" s="48" t="s">
        <v>183</v>
      </c>
      <c r="U15" s="48" t="s">
        <v>205</v>
      </c>
      <c r="V15" s="48" t="s">
        <v>191</v>
      </c>
      <c r="W15" s="48" t="s">
        <v>221</v>
      </c>
      <c r="X15"/>
      <c r="Y15"/>
      <c r="Z15"/>
    </row>
    <row r="16" spans="1:26" ht="33" customHeight="1" x14ac:dyDescent="0.3">
      <c r="A16" s="121" t="s">
        <v>9</v>
      </c>
      <c r="B16" s="121"/>
      <c r="C16" s="121" t="str">
        <f>CONCATENATE((IF(OR(E9="",E9="NA"),"",E9)),", ",(IF(OR(A17="",A17="NA"),"",A17)),".",(IF(OR(C17="",C17="NA"),"",C17)),", near ",(IF(OR(C22="",C22="NA"),"",C22)),", ",(IF(OR(C19="",C19="NA"),"",C19)),", ",(IF(OR(C18="",C18="NA"),"",C18)),", ",(IF(OR(G19="",G19="NA"),"",G19)),", ",(IF(OR(C20="",C20="NA"),"",C20)),", ",(IF(OR(C21="",C21="NA"),"",C21)),", ",(IF(OR(G20="",G20="NA"),"",G20))," - ",(IF(OR(G21="",G21="NA"),"",G21)),".")</f>
        <v>Neelkanth Palm President, Plot No.10, Sector 11, near NG Grand Plaza, Palm Beach Road, Jijamata Nagar, Ghansoli, Ghansoli West, Thane, Thane - 400701.</v>
      </c>
      <c r="D16" s="121"/>
      <c r="E16" s="121"/>
      <c r="F16" s="121"/>
      <c r="G16" s="121"/>
      <c r="H16" s="121"/>
      <c r="S16" s="48" t="s">
        <v>177</v>
      </c>
      <c r="T16" s="48" t="s">
        <v>185</v>
      </c>
      <c r="U16" s="48" t="s">
        <v>206</v>
      </c>
      <c r="V16" s="48" t="s">
        <v>192</v>
      </c>
      <c r="W16" s="48" t="s">
        <v>209</v>
      </c>
      <c r="X16"/>
      <c r="Y16"/>
      <c r="Z16"/>
    </row>
    <row r="17" spans="1:26" x14ac:dyDescent="0.3">
      <c r="A17" s="147" t="s">
        <v>391</v>
      </c>
      <c r="B17" s="147"/>
      <c r="C17" s="147" t="s">
        <v>392</v>
      </c>
      <c r="D17" s="147"/>
      <c r="E17" s="147"/>
      <c r="F17" s="147"/>
      <c r="G17" s="147"/>
      <c r="H17" s="147"/>
      <c r="S17" s="48" t="s">
        <v>178</v>
      </c>
      <c r="T17" s="48" t="s">
        <v>186</v>
      </c>
      <c r="U17" s="48" t="s">
        <v>168</v>
      </c>
      <c r="V17" s="48" t="s">
        <v>193</v>
      </c>
      <c r="W17" s="48" t="s">
        <v>210</v>
      </c>
      <c r="X17"/>
      <c r="Y17"/>
      <c r="Z17"/>
    </row>
    <row r="18" spans="1:26" ht="15.75" customHeight="1" x14ac:dyDescent="0.3">
      <c r="A18" s="147" t="s">
        <v>158</v>
      </c>
      <c r="B18" s="147"/>
      <c r="C18" s="147" t="s">
        <v>398</v>
      </c>
      <c r="D18" s="147"/>
      <c r="E18" s="147"/>
      <c r="F18" s="147"/>
      <c r="G18" s="147"/>
      <c r="H18" s="147"/>
      <c r="S18" s="48" t="s">
        <v>179</v>
      </c>
      <c r="T18" s="48" t="s">
        <v>184</v>
      </c>
      <c r="U18" s="48"/>
      <c r="V18" s="48" t="s">
        <v>194</v>
      </c>
      <c r="W18" s="48" t="s">
        <v>211</v>
      </c>
      <c r="X18"/>
      <c r="Y18"/>
      <c r="Z18"/>
    </row>
    <row r="19" spans="1:26" ht="15.75" customHeight="1" x14ac:dyDescent="0.3">
      <c r="A19" s="147" t="s">
        <v>10</v>
      </c>
      <c r="B19" s="147"/>
      <c r="C19" s="148" t="s">
        <v>396</v>
      </c>
      <c r="D19" s="148"/>
      <c r="E19" s="147" t="s">
        <v>69</v>
      </c>
      <c r="F19" s="147"/>
      <c r="G19" s="147" t="s">
        <v>393</v>
      </c>
      <c r="H19" s="147"/>
      <c r="S19" s="48" t="s">
        <v>180</v>
      </c>
      <c r="T19" s="48" t="s">
        <v>187</v>
      </c>
      <c r="U19" s="48"/>
      <c r="V19" s="48" t="s">
        <v>195</v>
      </c>
      <c r="W19" s="48" t="s">
        <v>212</v>
      </c>
      <c r="X19"/>
      <c r="Y19"/>
      <c r="Z19"/>
    </row>
    <row r="20" spans="1:26" x14ac:dyDescent="0.3">
      <c r="A20" s="148" t="s">
        <v>12</v>
      </c>
      <c r="B20" s="148"/>
      <c r="C20" s="147" t="s">
        <v>397</v>
      </c>
      <c r="D20" s="147"/>
      <c r="E20" s="147" t="s">
        <v>11</v>
      </c>
      <c r="F20" s="147"/>
      <c r="G20" s="183" t="s">
        <v>175</v>
      </c>
      <c r="H20" s="183"/>
      <c r="S20" s="48" t="s">
        <v>181</v>
      </c>
      <c r="T20" s="48" t="s">
        <v>188</v>
      </c>
      <c r="U20" s="48"/>
      <c r="V20" s="48" t="s">
        <v>196</v>
      </c>
      <c r="W20" s="48" t="s">
        <v>213</v>
      </c>
      <c r="X20"/>
      <c r="Y20"/>
      <c r="Z20"/>
    </row>
    <row r="21" spans="1:26" x14ac:dyDescent="0.3">
      <c r="A21" s="148" t="s">
        <v>70</v>
      </c>
      <c r="B21" s="148"/>
      <c r="C21" s="147" t="s">
        <v>175</v>
      </c>
      <c r="D21" s="147"/>
      <c r="E21" s="147" t="s">
        <v>13</v>
      </c>
      <c r="F21" s="147"/>
      <c r="G21" s="147">
        <v>400701</v>
      </c>
      <c r="H21" s="147"/>
      <c r="S21" s="48"/>
      <c r="T21" s="48"/>
      <c r="U21" s="48"/>
      <c r="V21" s="48" t="s">
        <v>197</v>
      </c>
      <c r="W21" s="48" t="s">
        <v>214</v>
      </c>
      <c r="X21"/>
      <c r="Y21"/>
      <c r="Z21"/>
    </row>
    <row r="22" spans="1:26" ht="32.25" customHeight="1" x14ac:dyDescent="0.3">
      <c r="A22" s="148" t="s">
        <v>117</v>
      </c>
      <c r="B22" s="148"/>
      <c r="C22" s="147" t="s">
        <v>399</v>
      </c>
      <c r="D22" s="147"/>
      <c r="E22" s="147" t="s">
        <v>14</v>
      </c>
      <c r="F22" s="147"/>
      <c r="G22" s="147" t="s">
        <v>400</v>
      </c>
      <c r="H22" s="147"/>
      <c r="S22" s="48"/>
      <c r="T22" s="48"/>
      <c r="U22" s="48"/>
      <c r="V22" s="48" t="s">
        <v>198</v>
      </c>
      <c r="W22" s="48" t="s">
        <v>215</v>
      </c>
      <c r="X22"/>
      <c r="Y22"/>
      <c r="Z22"/>
    </row>
    <row r="23" spans="1:26" ht="15" customHeight="1" x14ac:dyDescent="0.3">
      <c r="A23" s="121" t="s">
        <v>72</v>
      </c>
      <c r="B23" s="121"/>
      <c r="C23" s="121"/>
      <c r="D23" s="121"/>
      <c r="E23" s="148" t="s">
        <v>15</v>
      </c>
      <c r="F23" s="148"/>
      <c r="G23" s="148"/>
      <c r="H23" s="148"/>
      <c r="S23" s="48"/>
      <c r="T23" s="48"/>
      <c r="U23" s="48"/>
      <c r="V23" s="48" t="s">
        <v>199</v>
      </c>
      <c r="W23" s="48" t="s">
        <v>216</v>
      </c>
      <c r="X23"/>
      <c r="Y23"/>
      <c r="Z23"/>
    </row>
    <row r="24" spans="1:26" ht="18.75" customHeight="1" x14ac:dyDescent="0.3">
      <c r="A24" s="121"/>
      <c r="B24" s="121"/>
      <c r="C24" s="121"/>
      <c r="D24" s="121"/>
      <c r="E24" s="148"/>
      <c r="F24" s="148"/>
      <c r="G24" s="148"/>
      <c r="H24" s="148"/>
      <c r="S24" s="48"/>
      <c r="T24" s="48"/>
      <c r="U24" s="48"/>
      <c r="V24" s="48" t="s">
        <v>200</v>
      </c>
      <c r="W24" s="48" t="s">
        <v>217</v>
      </c>
      <c r="X24"/>
      <c r="Y24"/>
      <c r="Z24"/>
    </row>
    <row r="25" spans="1:26" ht="15" customHeight="1" x14ac:dyDescent="0.3">
      <c r="A25" s="121" t="s">
        <v>16</v>
      </c>
      <c r="B25" s="121"/>
      <c r="C25" s="121"/>
      <c r="D25" s="121"/>
      <c r="E25" s="147" t="s">
        <v>17</v>
      </c>
      <c r="F25" s="147"/>
      <c r="G25" s="147"/>
      <c r="H25" s="147"/>
      <c r="S25" s="48"/>
      <c r="T25" s="48"/>
      <c r="U25" s="48"/>
      <c r="V25" s="48" t="s">
        <v>201</v>
      </c>
      <c r="W25" s="48" t="s">
        <v>218</v>
      </c>
      <c r="X25"/>
      <c r="Y25"/>
      <c r="Z25"/>
    </row>
    <row r="26" spans="1:26" ht="15" customHeight="1" x14ac:dyDescent="0.3">
      <c r="A26" s="134" t="s">
        <v>18</v>
      </c>
      <c r="B26" s="134"/>
      <c r="C26" s="134"/>
      <c r="D26" s="134"/>
      <c r="E26" s="147" t="str">
        <f>IF(AND(G20="Mumbai"),"Upper Class","Middle Class")</f>
        <v>Middle Class</v>
      </c>
      <c r="F26" s="147"/>
      <c r="G26" s="147"/>
      <c r="H26" s="147"/>
      <c r="S26" s="48"/>
      <c r="T26" s="48"/>
      <c r="U26" s="48"/>
      <c r="V26" s="48" t="s">
        <v>202</v>
      </c>
      <c r="W26" s="48" t="s">
        <v>219</v>
      </c>
      <c r="X26"/>
      <c r="Y26"/>
      <c r="Z26"/>
    </row>
    <row r="27" spans="1:26" x14ac:dyDescent="0.3">
      <c r="A27" s="134" t="s">
        <v>19</v>
      </c>
      <c r="B27" s="134"/>
      <c r="C27" s="134"/>
      <c r="D27" s="134"/>
      <c r="E27" s="147" t="s">
        <v>20</v>
      </c>
      <c r="F27" s="147"/>
      <c r="G27" s="147"/>
      <c r="H27" s="147"/>
      <c r="S27" s="48"/>
      <c r="T27" s="48"/>
      <c r="U27" s="48"/>
      <c r="V27" s="48" t="s">
        <v>203</v>
      </c>
      <c r="W27" s="48" t="s">
        <v>220</v>
      </c>
      <c r="X27"/>
      <c r="Y27"/>
      <c r="Z27"/>
    </row>
    <row r="28" spans="1:26" ht="15.75" customHeight="1" x14ac:dyDescent="0.3">
      <c r="A28" s="134" t="s">
        <v>21</v>
      </c>
      <c r="B28" s="134"/>
      <c r="C28" s="134"/>
      <c r="D28" s="134"/>
      <c r="E28" s="147" t="str">
        <f>IF(AND(G20="Mumbai"),"Developed","Developing")</f>
        <v>Developing</v>
      </c>
      <c r="F28" s="147"/>
      <c r="G28" s="147"/>
      <c r="H28" s="147"/>
    </row>
    <row r="29" spans="1:26" x14ac:dyDescent="0.3">
      <c r="A29" s="134" t="s">
        <v>22</v>
      </c>
      <c r="B29" s="134"/>
      <c r="C29" s="134"/>
      <c r="D29" s="134"/>
      <c r="E29" s="147" t="s">
        <v>23</v>
      </c>
      <c r="F29" s="147"/>
      <c r="G29" s="147"/>
      <c r="H29" s="147"/>
    </row>
    <row r="30" spans="1:26" ht="15.75" customHeight="1" x14ac:dyDescent="0.3">
      <c r="A30" s="134" t="s">
        <v>77</v>
      </c>
      <c r="B30" s="134"/>
      <c r="C30" s="134"/>
      <c r="D30" s="134"/>
      <c r="E30" s="147" t="s">
        <v>78</v>
      </c>
      <c r="F30" s="147"/>
      <c r="G30" s="147"/>
      <c r="H30" s="147"/>
    </row>
    <row r="31" spans="1:26" ht="15" customHeight="1" x14ac:dyDescent="0.3">
      <c r="A31" s="134" t="s">
        <v>30</v>
      </c>
      <c r="B31" s="134"/>
      <c r="C31" s="134"/>
      <c r="D31" s="134"/>
      <c r="E31" s="147" t="str">
        <f>IF(AND(ISNUMBER(SEARCH("Flat",D65)),ISNUMBER(SEARCH("Shop",D65)),ISNUMBER(SEARCH("Office",D65))),"Residential + Commercial",IF(AND(ISNUMBER(SEARCH("Flat",D65)),ISNUMBER(SEARCH("Shop",D65))),"Residential + Commercial",IF(AND(ISNUMBER(SEARCH("Flat",D65)),ISNUMBER(SEARCH("Office",D65))),"Residential + Commercial",IF(AND(ISNUMBER(SEARCH("Shop",D65)),ISNUMBER(SEARCH("Office",D65))),"Commercial",IF(ISNUMBER(SEARCH("Shop",D65)),"Commercial",IF(ISNUMBER(SEARCH("Office",D65)),"Commercial",IF(ISNUMBER(SEARCH("Flat",D65)),"Residential")))))))</f>
        <v>Residential + Commercial</v>
      </c>
      <c r="F31" s="147"/>
      <c r="G31" s="147"/>
      <c r="H31" s="147"/>
    </row>
    <row r="32" spans="1:26" ht="15.75" customHeight="1" x14ac:dyDescent="0.3">
      <c r="A32" s="134" t="s">
        <v>89</v>
      </c>
      <c r="B32" s="134"/>
      <c r="C32" s="134"/>
      <c r="D32" s="134"/>
      <c r="E32" s="147" t="s">
        <v>31</v>
      </c>
      <c r="F32" s="147"/>
      <c r="G32" s="147"/>
      <c r="H32" s="147"/>
    </row>
    <row r="33" spans="1:19" s="19" customFormat="1" x14ac:dyDescent="0.3">
      <c r="A33" s="201" t="s">
        <v>90</v>
      </c>
      <c r="B33" s="201"/>
      <c r="C33" s="198" t="s">
        <v>169</v>
      </c>
      <c r="D33" s="199"/>
      <c r="E33" s="200"/>
      <c r="F33" s="198" t="s">
        <v>29</v>
      </c>
      <c r="G33" s="199"/>
      <c r="H33" s="200"/>
      <c r="S33" s="19" t="e">
        <f ca="1">OFFSET($S$13,1,MATCH($G20,$S$13:$W$13,0)-1,15,1)</f>
        <v>#VALUE!</v>
      </c>
    </row>
    <row r="34" spans="1:19" s="19" customFormat="1" x14ac:dyDescent="0.3">
      <c r="A34" s="194" t="s">
        <v>24</v>
      </c>
      <c r="B34" s="194" t="s">
        <v>28</v>
      </c>
      <c r="C34" s="195" t="s">
        <v>403</v>
      </c>
      <c r="D34" s="196"/>
      <c r="E34" s="197"/>
      <c r="F34" s="195" t="s">
        <v>406</v>
      </c>
      <c r="G34" s="196"/>
      <c r="H34" s="197"/>
    </row>
    <row r="35" spans="1:19" x14ac:dyDescent="0.3">
      <c r="A35" s="194" t="s">
        <v>25</v>
      </c>
      <c r="B35" s="194" t="s">
        <v>28</v>
      </c>
      <c r="C35" s="195" t="s">
        <v>404</v>
      </c>
      <c r="D35" s="196"/>
      <c r="E35" s="197"/>
      <c r="F35" s="195" t="s">
        <v>396</v>
      </c>
      <c r="G35" s="196"/>
      <c r="H35" s="197"/>
    </row>
    <row r="36" spans="1:19" s="19" customFormat="1" x14ac:dyDescent="0.3">
      <c r="A36" s="194" t="s">
        <v>27</v>
      </c>
      <c r="B36" s="194" t="s">
        <v>28</v>
      </c>
      <c r="C36" s="195" t="s">
        <v>401</v>
      </c>
      <c r="D36" s="196"/>
      <c r="E36" s="197"/>
      <c r="F36" s="195" t="s">
        <v>405</v>
      </c>
      <c r="G36" s="196"/>
      <c r="H36" s="197"/>
    </row>
    <row r="37" spans="1:19" x14ac:dyDescent="0.3">
      <c r="A37" s="194" t="s">
        <v>26</v>
      </c>
      <c r="B37" s="194" t="s">
        <v>28</v>
      </c>
      <c r="C37" s="195" t="s">
        <v>402</v>
      </c>
      <c r="D37" s="196"/>
      <c r="E37" s="197"/>
      <c r="F37" s="195" t="s">
        <v>399</v>
      </c>
      <c r="G37" s="196"/>
      <c r="H37" s="197"/>
    </row>
    <row r="38" spans="1:19" x14ac:dyDescent="0.3">
      <c r="A38" s="134" t="s">
        <v>275</v>
      </c>
      <c r="B38" s="134"/>
      <c r="C38" s="134"/>
      <c r="D38" s="134"/>
      <c r="E38" s="134"/>
      <c r="F38" s="134"/>
      <c r="G38" s="134"/>
      <c r="H38" s="134"/>
    </row>
    <row r="39" spans="1:19" ht="15.75" customHeight="1" x14ac:dyDescent="0.3">
      <c r="A39" s="134" t="s">
        <v>160</v>
      </c>
      <c r="B39" s="134"/>
      <c r="C39" s="175" t="s">
        <v>394</v>
      </c>
      <c r="D39" s="175"/>
      <c r="E39" s="175"/>
      <c r="F39" s="175"/>
      <c r="G39" s="175"/>
      <c r="H39" s="175"/>
    </row>
    <row r="40" spans="1:19" x14ac:dyDescent="0.3">
      <c r="A40" s="134" t="s">
        <v>157</v>
      </c>
      <c r="B40" s="134"/>
      <c r="C40" s="249" t="s">
        <v>395</v>
      </c>
      <c r="D40" s="147"/>
      <c r="E40" s="147"/>
      <c r="F40" s="147"/>
      <c r="G40" s="147"/>
      <c r="H40" s="147"/>
    </row>
    <row r="41" spans="1:19" x14ac:dyDescent="0.3">
      <c r="A41" s="175" t="s">
        <v>32</v>
      </c>
      <c r="B41" s="175"/>
      <c r="C41" s="175"/>
      <c r="D41" s="175"/>
      <c r="E41" s="175"/>
      <c r="F41" s="175"/>
      <c r="G41" s="175"/>
      <c r="H41" s="175"/>
    </row>
    <row r="42" spans="1:19" x14ac:dyDescent="0.3">
      <c r="A42" s="134" t="s">
        <v>33</v>
      </c>
      <c r="B42" s="134"/>
      <c r="C42" s="134"/>
      <c r="D42" s="134"/>
      <c r="E42" s="242">
        <v>6335.89</v>
      </c>
      <c r="F42" s="242"/>
      <c r="G42" s="242"/>
      <c r="H42" s="242"/>
      <c r="I42" s="18">
        <f>E46/E42</f>
        <v>5.6165945115840072</v>
      </c>
    </row>
    <row r="43" spans="1:19" x14ac:dyDescent="0.3">
      <c r="A43" s="134" t="s">
        <v>34</v>
      </c>
      <c r="B43" s="134"/>
      <c r="C43" s="134"/>
      <c r="D43" s="134"/>
      <c r="E43" s="193">
        <f>10137.424/E42</f>
        <v>1.6</v>
      </c>
      <c r="F43" s="193"/>
      <c r="G43" s="193"/>
      <c r="H43" s="193"/>
    </row>
    <row r="44" spans="1:19" x14ac:dyDescent="0.3">
      <c r="A44" s="134" t="s">
        <v>35</v>
      </c>
      <c r="B44" s="134"/>
      <c r="C44" s="134"/>
      <c r="D44" s="134"/>
      <c r="E44" s="193">
        <f>E46/E42-E43</f>
        <v>4.0165945115840067</v>
      </c>
      <c r="F44" s="193"/>
      <c r="G44" s="193"/>
      <c r="H44" s="193"/>
    </row>
    <row r="45" spans="1:19" x14ac:dyDescent="0.3">
      <c r="A45" s="134" t="s">
        <v>36</v>
      </c>
      <c r="B45" s="134"/>
      <c r="C45" s="134"/>
      <c r="D45" s="134"/>
      <c r="E45" s="193">
        <f>E43+E44</f>
        <v>5.6165945115840064</v>
      </c>
      <c r="F45" s="193"/>
      <c r="G45" s="193"/>
      <c r="H45" s="193"/>
    </row>
    <row r="46" spans="1:19" x14ac:dyDescent="0.3">
      <c r="A46" s="134" t="s">
        <v>88</v>
      </c>
      <c r="B46" s="134"/>
      <c r="C46" s="134"/>
      <c r="D46" s="134"/>
      <c r="E46" s="212">
        <v>35586.125</v>
      </c>
      <c r="F46" s="212"/>
      <c r="G46" s="212"/>
      <c r="H46" s="212"/>
    </row>
    <row r="47" spans="1:19" x14ac:dyDescent="0.3">
      <c r="A47" s="148" t="s">
        <v>37</v>
      </c>
      <c r="B47" s="148"/>
      <c r="C47" s="148"/>
      <c r="D47" s="148"/>
      <c r="E47" s="148" t="s">
        <v>407</v>
      </c>
      <c r="F47" s="148"/>
      <c r="G47" s="148"/>
      <c r="H47" s="148"/>
    </row>
    <row r="48" spans="1:19" x14ac:dyDescent="0.3">
      <c r="A48" s="175" t="s">
        <v>38</v>
      </c>
      <c r="B48" s="175"/>
      <c r="C48" s="175"/>
      <c r="D48" s="175"/>
      <c r="E48" s="175"/>
      <c r="F48" s="175"/>
      <c r="G48" s="175"/>
      <c r="H48" s="175"/>
    </row>
    <row r="49" spans="1:24" ht="33.75" customHeight="1" x14ac:dyDescent="0.3">
      <c r="A49" s="115" t="s">
        <v>146</v>
      </c>
      <c r="B49" s="116"/>
      <c r="C49" s="217" t="s">
        <v>254</v>
      </c>
      <c r="D49" s="218"/>
      <c r="E49" s="218"/>
      <c r="F49" s="218"/>
      <c r="G49" s="218"/>
      <c r="H49" s="219"/>
      <c r="I49" s="18">
        <f>35528.013+1423.621+475.22</f>
        <v>37426.853999999999</v>
      </c>
      <c r="R49" t="s">
        <v>248</v>
      </c>
      <c r="S49" s="50" t="s">
        <v>168</v>
      </c>
      <c r="T49" s="50" t="s">
        <v>175</v>
      </c>
      <c r="U49" s="50" t="s">
        <v>189</v>
      </c>
      <c r="V49" s="50" t="s">
        <v>184</v>
      </c>
    </row>
    <row r="50" spans="1:24" ht="15.75" customHeight="1" x14ac:dyDescent="0.3">
      <c r="A50" s="115" t="s">
        <v>39</v>
      </c>
      <c r="B50" s="116"/>
      <c r="C50" s="115" t="s">
        <v>408</v>
      </c>
      <c r="D50" s="186"/>
      <c r="E50" s="116"/>
      <c r="F50" s="17" t="s">
        <v>40</v>
      </c>
      <c r="G50" s="227">
        <v>45474</v>
      </c>
      <c r="H50" s="228"/>
      <c r="R50"/>
      <c r="S50" s="50" t="s">
        <v>249</v>
      </c>
      <c r="T50" s="50" t="s">
        <v>254</v>
      </c>
      <c r="U50" s="50" t="s">
        <v>265</v>
      </c>
      <c r="V50" s="50" t="s">
        <v>270</v>
      </c>
    </row>
    <row r="51" spans="1:24" x14ac:dyDescent="0.3">
      <c r="A51" s="115" t="s">
        <v>41</v>
      </c>
      <c r="B51" s="116"/>
      <c r="C51" s="115" t="str">
        <f>C50</f>
        <v>NRV/A-2283</v>
      </c>
      <c r="D51" s="186"/>
      <c r="E51" s="116"/>
      <c r="F51" s="17" t="s">
        <v>40</v>
      </c>
      <c r="G51" s="227">
        <f>G50</f>
        <v>45474</v>
      </c>
      <c r="H51" s="228"/>
      <c r="R51"/>
      <c r="S51" s="50" t="s">
        <v>250</v>
      </c>
      <c r="T51" s="50" t="s">
        <v>353</v>
      </c>
      <c r="U51" s="50" t="s">
        <v>263</v>
      </c>
      <c r="V51" s="50" t="s">
        <v>271</v>
      </c>
    </row>
    <row r="52" spans="1:24" s="20" customFormat="1" ht="15.75" customHeight="1" x14ac:dyDescent="0.3">
      <c r="A52" s="234" t="s">
        <v>150</v>
      </c>
      <c r="B52" s="235"/>
      <c r="C52" s="234" t="s">
        <v>409</v>
      </c>
      <c r="D52" s="240"/>
      <c r="E52" s="235"/>
      <c r="F52" s="17" t="s">
        <v>40</v>
      </c>
      <c r="G52" s="227">
        <v>45474</v>
      </c>
      <c r="H52" s="228"/>
      <c r="I52" s="19" t="str">
        <f ca="1">IF(G52&gt;EDATE(E3,-48),"NO REMARK","CC REMARK FOR CC")</f>
        <v>NO REMARK</v>
      </c>
      <c r="J52" s="69"/>
      <c r="R52"/>
      <c r="S52" s="50" t="s">
        <v>251</v>
      </c>
      <c r="T52" s="50" t="s">
        <v>256</v>
      </c>
      <c r="U52" s="50" t="s">
        <v>253</v>
      </c>
      <c r="V52" s="50" t="s">
        <v>272</v>
      </c>
    </row>
    <row r="53" spans="1:24" s="20" customFormat="1" ht="33.75" hidden="1" customHeight="1" x14ac:dyDescent="0.3">
      <c r="A53" s="236"/>
      <c r="B53" s="237"/>
      <c r="C53" s="238"/>
      <c r="D53" s="241"/>
      <c r="E53" s="239"/>
      <c r="F53" s="17" t="s">
        <v>116</v>
      </c>
      <c r="G53" s="115" t="s">
        <v>147</v>
      </c>
      <c r="H53" s="116"/>
      <c r="R53"/>
      <c r="S53" s="50" t="s">
        <v>252</v>
      </c>
      <c r="T53" s="50" t="s">
        <v>259</v>
      </c>
      <c r="U53" s="50" t="s">
        <v>266</v>
      </c>
      <c r="V53" s="65" t="s">
        <v>345</v>
      </c>
    </row>
    <row r="54" spans="1:24" s="20" customFormat="1" ht="49.8" customHeight="1" x14ac:dyDescent="0.3">
      <c r="A54" s="238"/>
      <c r="B54" s="239"/>
      <c r="C54" s="115" t="s">
        <v>450</v>
      </c>
      <c r="D54" s="186"/>
      <c r="E54" s="186"/>
      <c r="F54" s="186"/>
      <c r="G54" s="186"/>
      <c r="H54" s="116"/>
      <c r="R54"/>
      <c r="S54" s="50"/>
      <c r="T54" s="50"/>
      <c r="U54" s="50"/>
      <c r="V54" s="65"/>
    </row>
    <row r="55" spans="1:24" s="20" customFormat="1" hidden="1" x14ac:dyDescent="0.3">
      <c r="A55" s="151" t="s">
        <v>276</v>
      </c>
      <c r="B55" s="152"/>
      <c r="C55" s="115">
        <f>C53</f>
        <v>0</v>
      </c>
      <c r="D55" s="186"/>
      <c r="E55" s="116"/>
      <c r="F55" s="17" t="s">
        <v>40</v>
      </c>
      <c r="G55" s="227"/>
      <c r="H55" s="228"/>
      <c r="K55" s="70">
        <f>EDATE(G52,-48)</f>
        <v>44013</v>
      </c>
      <c r="L55" s="20" t="str">
        <f ca="1">IF(G52&gt;EDATE(E3,-48),"NO REMARK","CC REMARK FOR CC")</f>
        <v>NO REMARK</v>
      </c>
      <c r="R55"/>
      <c r="S55" s="50" t="s">
        <v>251</v>
      </c>
      <c r="T55" s="50" t="s">
        <v>256</v>
      </c>
      <c r="U55" s="50" t="s">
        <v>253</v>
      </c>
      <c r="V55" s="50" t="s">
        <v>272</v>
      </c>
    </row>
    <row r="56" spans="1:24" s="20" customFormat="1" ht="32.25" hidden="1" customHeight="1" x14ac:dyDescent="0.3">
      <c r="A56" s="153"/>
      <c r="B56" s="154"/>
      <c r="C56" s="231"/>
      <c r="D56" s="232"/>
      <c r="E56" s="232"/>
      <c r="F56" s="232"/>
      <c r="G56" s="232"/>
      <c r="H56" s="233"/>
      <c r="R56"/>
      <c r="S56" s="50" t="s">
        <v>253</v>
      </c>
      <c r="T56" s="50" t="s">
        <v>257</v>
      </c>
      <c r="U56" s="50" t="s">
        <v>267</v>
      </c>
      <c r="V56" s="66"/>
      <c r="W56" s="18"/>
      <c r="X56" s="18"/>
    </row>
    <row r="57" spans="1:24" s="20" customFormat="1" ht="34.5" hidden="1" customHeight="1" x14ac:dyDescent="0.3">
      <c r="A57" s="151" t="s">
        <v>277</v>
      </c>
      <c r="B57" s="152"/>
      <c r="C57" s="115">
        <f>C56</f>
        <v>0</v>
      </c>
      <c r="D57" s="186"/>
      <c r="E57" s="116"/>
      <c r="F57" s="17" t="s">
        <v>40</v>
      </c>
      <c r="G57" s="227">
        <f>G56</f>
        <v>0</v>
      </c>
      <c r="H57" s="228"/>
      <c r="R57"/>
      <c r="S57" s="66"/>
      <c r="T57" s="50" t="s">
        <v>258</v>
      </c>
      <c r="U57" s="50" t="s">
        <v>268</v>
      </c>
      <c r="V57" s="66"/>
      <c r="W57" s="18"/>
      <c r="X57" s="18"/>
    </row>
    <row r="58" spans="1:24" s="20" customFormat="1" ht="41.25" hidden="1" customHeight="1" x14ac:dyDescent="0.3">
      <c r="A58" s="153"/>
      <c r="B58" s="154"/>
      <c r="C58" s="115"/>
      <c r="D58" s="186"/>
      <c r="E58" s="186"/>
      <c r="F58" s="186"/>
      <c r="G58" s="186"/>
      <c r="H58" s="116"/>
      <c r="R58"/>
      <c r="S58" s="66"/>
      <c r="T58" s="50" t="s">
        <v>260</v>
      </c>
      <c r="U58" s="50" t="s">
        <v>269</v>
      </c>
      <c r="V58" s="66"/>
      <c r="W58" s="18"/>
      <c r="X58" s="18"/>
    </row>
    <row r="59" spans="1:24" s="20" customFormat="1" ht="15.75" hidden="1" customHeight="1" x14ac:dyDescent="0.3">
      <c r="A59" s="151" t="s">
        <v>348</v>
      </c>
      <c r="B59" s="152"/>
      <c r="C59" s="187"/>
      <c r="D59" s="188"/>
      <c r="E59" s="189"/>
      <c r="F59" s="17" t="s">
        <v>40</v>
      </c>
      <c r="G59" s="227"/>
      <c r="H59" s="228"/>
      <c r="R59"/>
      <c r="S59" s="66"/>
      <c r="T59" s="50" t="s">
        <v>261</v>
      </c>
      <c r="U59" s="66" t="s">
        <v>291</v>
      </c>
      <c r="V59" s="66"/>
      <c r="W59" s="18"/>
      <c r="X59" s="18"/>
    </row>
    <row r="60" spans="1:24" s="20" customFormat="1" ht="33.75" hidden="1" customHeight="1" x14ac:dyDescent="0.3">
      <c r="A60" s="184"/>
      <c r="B60" s="185"/>
      <c r="C60" s="190"/>
      <c r="D60" s="191"/>
      <c r="E60" s="192"/>
      <c r="F60" s="17" t="s">
        <v>349</v>
      </c>
      <c r="G60" s="227"/>
      <c r="H60" s="228"/>
      <c r="R60"/>
      <c r="S60" s="66"/>
      <c r="T60" s="50" t="s">
        <v>262</v>
      </c>
      <c r="U60" s="66"/>
      <c r="V60" s="66"/>
      <c r="W60" s="18"/>
      <c r="X60" s="18"/>
    </row>
    <row r="61" spans="1:24" s="20" customFormat="1" ht="33.75" hidden="1" customHeight="1" x14ac:dyDescent="0.3">
      <c r="A61" s="153"/>
      <c r="B61" s="154"/>
      <c r="C61" s="115" t="s">
        <v>371</v>
      </c>
      <c r="D61" s="186"/>
      <c r="E61" s="186"/>
      <c r="F61" s="186"/>
      <c r="G61" s="186"/>
      <c r="H61" s="116"/>
      <c r="R61"/>
      <c r="S61" s="66"/>
      <c r="T61" s="50"/>
      <c r="U61" s="66"/>
      <c r="V61" s="66"/>
      <c r="W61" s="18"/>
      <c r="X61" s="18"/>
    </row>
    <row r="62" spans="1:24" x14ac:dyDescent="0.3">
      <c r="A62" s="141" t="s">
        <v>42</v>
      </c>
      <c r="B62" s="142"/>
      <c r="C62" s="141" t="s">
        <v>101</v>
      </c>
      <c r="D62" s="143"/>
      <c r="E62" s="142"/>
      <c r="F62" s="40" t="s">
        <v>40</v>
      </c>
      <c r="G62" s="149" t="s">
        <v>28</v>
      </c>
      <c r="H62" s="150"/>
      <c r="R62"/>
      <c r="S62" s="66"/>
      <c r="T62" s="50" t="s">
        <v>264</v>
      </c>
      <c r="U62" s="66"/>
      <c r="V62" s="66"/>
    </row>
    <row r="63" spans="1:24" x14ac:dyDescent="0.3">
      <c r="A63" s="176" t="s">
        <v>44</v>
      </c>
      <c r="B63" s="176"/>
      <c r="C63" s="176"/>
      <c r="D63" s="176"/>
      <c r="E63" s="176"/>
      <c r="F63" s="176"/>
      <c r="G63" s="176"/>
      <c r="H63" s="176"/>
      <c r="S63" s="66"/>
      <c r="T63" s="50" t="s">
        <v>273</v>
      </c>
      <c r="U63" s="66"/>
      <c r="V63" s="66"/>
    </row>
    <row r="64" spans="1:24" x14ac:dyDescent="0.3">
      <c r="A64" s="121" t="s">
        <v>87</v>
      </c>
      <c r="B64" s="121"/>
      <c r="C64" s="121"/>
      <c r="D64" s="144">
        <f>E46</f>
        <v>35586.125</v>
      </c>
      <c r="E64" s="144"/>
      <c r="F64" s="144"/>
      <c r="G64" s="144"/>
      <c r="H64" s="144"/>
      <c r="R64"/>
    </row>
    <row r="65" spans="1:19" ht="33.6" customHeight="1" x14ac:dyDescent="0.3">
      <c r="A65" s="147" t="s">
        <v>45</v>
      </c>
      <c r="B65" s="148"/>
      <c r="C65" s="148"/>
      <c r="D65" s="147" t="s">
        <v>459</v>
      </c>
      <c r="E65" s="148"/>
      <c r="F65" s="148"/>
      <c r="G65" s="148"/>
      <c r="H65" s="148"/>
      <c r="I65" s="21"/>
      <c r="R65"/>
    </row>
    <row r="66" spans="1:19" ht="33.6" customHeight="1" x14ac:dyDescent="0.3">
      <c r="A66" s="214" t="s">
        <v>46</v>
      </c>
      <c r="B66" s="215"/>
      <c r="C66" s="216"/>
      <c r="D66" s="122" t="s">
        <v>410</v>
      </c>
      <c r="E66" s="213"/>
      <c r="F66" s="213"/>
      <c r="G66" s="213"/>
      <c r="H66" s="213"/>
      <c r="R66"/>
    </row>
    <row r="67" spans="1:19" ht="15.75" customHeight="1" x14ac:dyDescent="0.3">
      <c r="A67" s="214" t="s">
        <v>85</v>
      </c>
      <c r="B67" s="215"/>
      <c r="C67" s="215"/>
      <c r="D67" s="224" t="s">
        <v>411</v>
      </c>
      <c r="E67" s="225"/>
      <c r="F67" s="225"/>
      <c r="G67" s="225"/>
      <c r="H67" s="226"/>
      <c r="R67"/>
    </row>
    <row r="68" spans="1:19" ht="15.75" customHeight="1" x14ac:dyDescent="0.3">
      <c r="A68" s="220"/>
      <c r="B68" s="221"/>
      <c r="C68" s="221"/>
      <c r="D68" s="117" t="s">
        <v>412</v>
      </c>
      <c r="E68" s="118"/>
      <c r="F68" s="118"/>
      <c r="G68" s="118"/>
      <c r="H68" s="119"/>
      <c r="R68"/>
    </row>
    <row r="69" spans="1:19" ht="15.75" hidden="1" customHeight="1" x14ac:dyDescent="0.3">
      <c r="A69" s="222"/>
      <c r="B69" s="223"/>
      <c r="C69" s="223"/>
      <c r="D69" s="117" t="s">
        <v>164</v>
      </c>
      <c r="E69" s="118"/>
      <c r="F69" s="118"/>
      <c r="G69" s="118"/>
      <c r="H69" s="119"/>
      <c r="S69"/>
    </row>
    <row r="70" spans="1:19" ht="15.75" customHeight="1" x14ac:dyDescent="0.3">
      <c r="A70" s="148" t="s">
        <v>43</v>
      </c>
      <c r="B70" s="148"/>
      <c r="C70" s="148"/>
      <c r="D70" s="230" t="s">
        <v>413</v>
      </c>
      <c r="E70" s="230"/>
      <c r="F70" s="230"/>
      <c r="G70" s="230"/>
      <c r="H70" s="230"/>
      <c r="J70" s="22"/>
      <c r="K70" s="21"/>
      <c r="N70" s="21"/>
      <c r="S70"/>
    </row>
    <row r="71" spans="1:19" ht="15.75" customHeight="1" x14ac:dyDescent="0.3">
      <c r="A71" s="148" t="s">
        <v>83</v>
      </c>
      <c r="B71" s="148"/>
      <c r="C71" s="148"/>
      <c r="D71" s="211" t="str">
        <f>(IF(G62="NA","60 Years After Completion",IF(G62&lt;&gt;"NA",""&amp;60-ROUNDDOWN((E3-G62)/360,0)&amp;" Years"," ")))</f>
        <v>60 Years After Completion</v>
      </c>
      <c r="E71" s="211"/>
      <c r="F71" s="211"/>
      <c r="G71" s="211"/>
      <c r="H71" s="211"/>
      <c r="N71" s="21"/>
      <c r="S71"/>
    </row>
    <row r="72" spans="1:19" ht="15.75" customHeight="1" x14ac:dyDescent="0.3">
      <c r="A72" s="148" t="s">
        <v>84</v>
      </c>
      <c r="B72" s="148"/>
      <c r="C72" s="148"/>
      <c r="D72" s="147" t="s">
        <v>23</v>
      </c>
      <c r="E72" s="147"/>
      <c r="F72" s="147"/>
      <c r="G72" s="147"/>
      <c r="H72" s="147"/>
      <c r="J72" s="23"/>
      <c r="K72" s="23"/>
      <c r="S72"/>
    </row>
    <row r="73" spans="1:19" ht="48.6" customHeight="1" x14ac:dyDescent="0.3">
      <c r="A73" s="148" t="s">
        <v>414</v>
      </c>
      <c r="B73" s="148"/>
      <c r="C73" s="148"/>
      <c r="D73" s="147" t="s">
        <v>415</v>
      </c>
      <c r="E73" s="147"/>
      <c r="F73" s="147"/>
      <c r="G73" s="147"/>
      <c r="H73" s="147"/>
      <c r="S73"/>
    </row>
    <row r="74" spans="1:19" x14ac:dyDescent="0.3">
      <c r="A74" s="121" t="s">
        <v>143</v>
      </c>
      <c r="B74" s="121"/>
      <c r="C74" s="121"/>
      <c r="D74" s="121" t="s">
        <v>28</v>
      </c>
      <c r="E74" s="121"/>
      <c r="F74" s="121"/>
      <c r="G74" s="121"/>
      <c r="H74" s="121"/>
      <c r="I74" s="24"/>
      <c r="J74" s="24"/>
      <c r="K74" s="24"/>
      <c r="L74" s="24"/>
      <c r="M74" s="24"/>
      <c r="N74" s="24"/>
    </row>
    <row r="75" spans="1:19" ht="15.75" customHeight="1" x14ac:dyDescent="0.3">
      <c r="A75" s="210" t="s">
        <v>82</v>
      </c>
      <c r="B75" s="210"/>
      <c r="C75" s="210"/>
      <c r="D75" s="122" t="str">
        <f ca="1">(IF(G81&gt;95%,"Nothing",IF(G81&gt;0%,"Cement, Aggregate, Steel, etc",IF(G81=0%,"Work not yet Started"))))</f>
        <v>Cement, Aggregate, Steel, etc</v>
      </c>
      <c r="E75" s="122"/>
      <c r="F75" s="122"/>
      <c r="G75" s="122"/>
      <c r="H75" s="122"/>
      <c r="J75" s="23"/>
      <c r="S75"/>
    </row>
    <row r="76" spans="1:19" ht="33.75" customHeight="1" thickBot="1" x14ac:dyDescent="0.35">
      <c r="A76" s="209" t="s">
        <v>114</v>
      </c>
      <c r="B76" s="209"/>
      <c r="C76" s="209"/>
      <c r="D76" s="122" t="str">
        <f ca="1">(IF(D75="Nothing","Yes",IF(D75="Cement, Aggregate, Steel, etc","Under Construction",IF(D75="Work not yet Started","Work not yet Started"))))</f>
        <v>Under Construction</v>
      </c>
      <c r="E76" s="122"/>
      <c r="F76" s="122" t="str">
        <f ca="1">(IF(D75="Nothing","Yes",IF(D75="Cement, Aggregate, Steel, etc","Under Construction",IF(D75="Work not yet Started","Work not yet Started"))))</f>
        <v>Under Construction</v>
      </c>
      <c r="G76" s="122"/>
      <c r="H76" s="122"/>
      <c r="S76"/>
    </row>
    <row r="77" spans="1:19" ht="15.75" customHeight="1" x14ac:dyDescent="0.3">
      <c r="A77" s="202" t="s">
        <v>135</v>
      </c>
      <c r="B77" s="203"/>
      <c r="C77" s="204" t="str">
        <f>D67</f>
        <v>A Wing = Gr + Lower 1st Floor + 1st to 45th Floor</v>
      </c>
      <c r="D77" s="205"/>
      <c r="E77" s="205"/>
      <c r="F77" s="205"/>
      <c r="G77" s="205"/>
      <c r="H77" s="206"/>
      <c r="I77" s="43" t="str">
        <f ca="1">IF(D90=100%,"All work Completed. Possession granted to the Building.",IF(D89=100%,"All work Completed, Waiting for OC",I78&amp;""&amp;I79&amp;""&amp;J78&amp;""&amp;J77&amp;" "&amp;J79))</f>
        <v>Excavation, Plinth Completed, RCC upto 19 Slab, Brickwork upto 13 Floor, Internal Plaster upto 9.75 Floor, External Plaster upto 9.75 Floor Completed</v>
      </c>
      <c r="J77" s="44" t="str">
        <f ca="1">(IF(C83=(D78+F78+H78),"",IF(C83&gt;0,", RCC upto "&amp;C83&amp;" Slab","")))&amp;(IF(C84=H78,"",IF(C84&gt;0,", Brickwork upto "&amp;C84&amp;" Floor","")))&amp;(IF(C85=H78,"",IF(C85&gt;0,", Internal Plaster upto "&amp;C85&amp;" Floor","")))&amp;(IF(C86=H78,"",IF(C86&gt;0,", External Plaster upto "&amp;C86&amp;" Floor","")))&amp;(IF(C87=H78,"",IF(C87&gt;0,", Flooring upto "&amp;C87&amp;" Floor","")))&amp;(IF(C88=H78,"",IF(C88&gt;0,", Painting upto "&amp;C88&amp;" Floor","")))&amp;(IF(C89=H78,"",IF(C89&gt;0,", Finishing upto "&amp;C89&amp;" Floor","")))&amp;(IF(C90=H78,"",IF(C90&gt;0,", Possession upto "&amp;C90&amp;" Floor","")))</f>
        <v>, RCC upto 19 Slab, Brickwork upto 13 Floor, Internal Plaster upto 9.75 Floor, External Plaster upto 9.75 Floor</v>
      </c>
      <c r="S77"/>
    </row>
    <row r="78" spans="1:19" x14ac:dyDescent="0.3">
      <c r="A78" s="15" t="s">
        <v>137</v>
      </c>
      <c r="B78" s="42">
        <f>IF(AND(ISNUMBER(SEARCH("1B",C77))),1,IF(AND(ISNUMBER(SEARCH("2B",C77))),2,IF(AND(ISNUMBER(SEARCH("3B",C77))),3,IF(AND(ISNUMBER(SEARCH("4B",C77))),4,IF(ISNUMBER(SEARCH("5B",C77)),5,0)))))</f>
        <v>0</v>
      </c>
      <c r="C78" s="42" t="s">
        <v>68</v>
      </c>
      <c r="D78" s="42">
        <v>2</v>
      </c>
      <c r="E78" s="42" t="s">
        <v>67</v>
      </c>
      <c r="F78" s="42">
        <v>0</v>
      </c>
      <c r="G78" s="42" t="s">
        <v>76</v>
      </c>
      <c r="H78" s="16">
        <f ca="1">--TRIM(RIGHT(SUBSTITUTE(LEFT(C77,_xlfn.AGGREGATE(16,6,FIND({0,1,2,3,4,5,6,7,8,9},C77,ROW(INDIRECT("1:"&amp;LEN(C77)))),1))," ",REPT(" ",LEN(C77))),LEN(C77)))</f>
        <v>45</v>
      </c>
      <c r="I78" s="45" t="str">
        <f ca="1">IF(D81=100%,"Excavation","")&amp;IF(D82=100%,", Plinth","")&amp;IF(D83=100%,", RCC Slab","")&amp;IF(D84=100%,", Brickwork","")&amp;IF(D85=100%,", Internal Plaster","")&amp;IF(D86=100%,", External Plaster","")&amp;IF(D87=100%,", Flooring","")&amp;IF(D88=100%,", Painting","")&amp;IF(D89=100%,", Building common Amenities","")</f>
        <v>Excavation, Plinth</v>
      </c>
      <c r="J78" s="46" t="str">
        <f ca="1">(IF(C81=0,"Work not yet Started.",IF(D81=25%,"Piling work in process",IF(D81=50%,"Excavation work in process",IF(D81=100%,"","0")))))&amp;(IF(C82=0%,"",IF(C82=J83,", Footing work is process",IF(C82=J84,", Footing work Completed",IF(C82=J85,", 1st Basement Completed",IF(C82=J86,", 1st &amp; 2nd Basement Completed",IF(C82=J87,", 1st to 3rd Basement Completed",IF(C82=J88,", 1st to 4th Basement Completed",IF(C82=J89,", Plinth work is process",IF(C82=J90,"","0"))))))))))</f>
        <v/>
      </c>
      <c r="S78"/>
    </row>
    <row r="79" spans="1:19" ht="32.4" customHeight="1" x14ac:dyDescent="0.3">
      <c r="A79" s="229" t="s">
        <v>86</v>
      </c>
      <c r="B79" s="181"/>
      <c r="C79" s="207" t="str">
        <f ca="1">I77</f>
        <v>Excavation, Plinth Completed, RCC upto 19 Slab, Brickwork upto 13 Floor, Internal Plaster upto 9.75 Floor, External Plaster upto 9.75 Floor Completed</v>
      </c>
      <c r="D79" s="207"/>
      <c r="E79" s="207"/>
      <c r="F79" s="207"/>
      <c r="G79" s="207"/>
      <c r="H79" s="208"/>
      <c r="I79" s="45" t="str">
        <f ca="1">IF(I78&lt;&gt;""," Completed","")</f>
        <v xml:space="preserve"> Completed</v>
      </c>
      <c r="J79" s="46" t="str">
        <f ca="1">IF(J77&lt;&gt;"","Completed","")</f>
        <v>Completed</v>
      </c>
      <c r="S79"/>
    </row>
    <row r="80" spans="1:19" ht="15.75" customHeight="1" x14ac:dyDescent="0.3">
      <c r="A80" s="113" t="s">
        <v>47</v>
      </c>
      <c r="B80" s="114"/>
      <c r="C80" s="88" t="s">
        <v>134</v>
      </c>
      <c r="D80" s="88" t="s">
        <v>79</v>
      </c>
      <c r="E80" s="123" t="s">
        <v>81</v>
      </c>
      <c r="F80" s="123"/>
      <c r="G80" s="123" t="s">
        <v>80</v>
      </c>
      <c r="H80" s="124"/>
      <c r="I80" s="13" t="s">
        <v>136</v>
      </c>
      <c r="J80" s="25">
        <f ca="1">H78*25%</f>
        <v>11.25</v>
      </c>
      <c r="S80"/>
    </row>
    <row r="81" spans="1:19" x14ac:dyDescent="0.3">
      <c r="A81" s="113" t="s">
        <v>123</v>
      </c>
      <c r="B81" s="114"/>
      <c r="C81" s="88">
        <f ca="1">J82</f>
        <v>45</v>
      </c>
      <c r="D81" s="89">
        <f ca="1">((100/H78)*C81)/100</f>
        <v>1</v>
      </c>
      <c r="E81" s="243">
        <f ca="1">(((C82/H78*10)+(40/(D78+F78+H78)*C83)+(7.5/(H78)*C84)+(7.5/(H78)*C85)+(10/H78*C86)+(10/H78*C87)+(5/H78*C88)+(5/H78*C89)+(5/H78*C90))/100)</f>
        <v>0.32128546099290778</v>
      </c>
      <c r="F81" s="250"/>
      <c r="G81" s="243">
        <f ca="1">((((C81/H78)*20)+((C82/H78)*25)+(30/(H78+F78+D78)*C83)+(5/H78*C84)+(5/H78*C85)+(5/H78*C86)+(5/H78*C87)+(0/H78*C88)+(0/H78*C89)+(5/H78*C90))/100)</f>
        <v>0.60738770685579202</v>
      </c>
      <c r="H81" s="244"/>
      <c r="I81" s="13" t="s">
        <v>96</v>
      </c>
      <c r="J81" s="26">
        <f ca="1">H78*50%</f>
        <v>22.5</v>
      </c>
    </row>
    <row r="82" spans="1:19" x14ac:dyDescent="0.3">
      <c r="A82" s="113" t="s">
        <v>48</v>
      </c>
      <c r="B82" s="114"/>
      <c r="C82" s="88">
        <f ca="1">J90</f>
        <v>45</v>
      </c>
      <c r="D82" s="89">
        <f ca="1">((100/H78)*C82)/100</f>
        <v>1</v>
      </c>
      <c r="E82" s="245"/>
      <c r="F82" s="251"/>
      <c r="G82" s="245"/>
      <c r="H82" s="246"/>
      <c r="I82" s="13" t="s">
        <v>97</v>
      </c>
      <c r="J82" s="26">
        <f ca="1">H78</f>
        <v>45</v>
      </c>
      <c r="L82" s="86"/>
      <c r="S82"/>
    </row>
    <row r="83" spans="1:19" ht="15.75" customHeight="1" x14ac:dyDescent="0.3">
      <c r="A83" s="113" t="s">
        <v>124</v>
      </c>
      <c r="B83" s="114"/>
      <c r="C83" s="88">
        <v>19</v>
      </c>
      <c r="D83" s="89">
        <f ca="1">((100/(D78+F78+H78))*C83)/100</f>
        <v>0.4042553191489362</v>
      </c>
      <c r="E83" s="245"/>
      <c r="F83" s="251"/>
      <c r="G83" s="245"/>
      <c r="H83" s="246"/>
      <c r="I83" s="13" t="s">
        <v>98</v>
      </c>
      <c r="J83" s="27">
        <f ca="1">(IF(B78&gt;1,(H78/(B78+2)),H78/4))</f>
        <v>11.25</v>
      </c>
      <c r="S83"/>
    </row>
    <row r="84" spans="1:19" ht="15.75" customHeight="1" x14ac:dyDescent="0.3">
      <c r="A84" s="113" t="s">
        <v>131</v>
      </c>
      <c r="B84" s="114" t="s">
        <v>125</v>
      </c>
      <c r="C84" s="88">
        <f>C83-6</f>
        <v>13</v>
      </c>
      <c r="D84" s="89">
        <f ca="1">((100/H78)*C84)/100</f>
        <v>0.28888888888888892</v>
      </c>
      <c r="E84" s="245"/>
      <c r="F84" s="251"/>
      <c r="G84" s="245"/>
      <c r="H84" s="246"/>
      <c r="I84" s="13" t="s">
        <v>99</v>
      </c>
      <c r="J84" s="27">
        <f ca="1">(IF(B78&gt;1,(H78/(B78+2)+J83),H78/4+J83))</f>
        <v>22.5</v>
      </c>
    </row>
    <row r="85" spans="1:19" ht="15.75" customHeight="1" x14ac:dyDescent="0.3">
      <c r="A85" s="113" t="s">
        <v>132</v>
      </c>
      <c r="B85" s="114" t="s">
        <v>125</v>
      </c>
      <c r="C85" s="92">
        <f>C84*0.75</f>
        <v>9.75</v>
      </c>
      <c r="D85" s="89">
        <f ca="1">((100/H78)*C85)/100</f>
        <v>0.21666666666666667</v>
      </c>
      <c r="E85" s="245"/>
      <c r="F85" s="251"/>
      <c r="G85" s="245"/>
      <c r="H85" s="246"/>
      <c r="I85" s="13" t="s">
        <v>141</v>
      </c>
      <c r="J85" s="27">
        <f>(IF(B78&gt;1,(H78/(B78+2)+J84),0))</f>
        <v>0</v>
      </c>
    </row>
    <row r="86" spans="1:19" ht="15" customHeight="1" x14ac:dyDescent="0.3">
      <c r="A86" s="113" t="s">
        <v>130</v>
      </c>
      <c r="B86" s="114" t="s">
        <v>127</v>
      </c>
      <c r="C86" s="92">
        <f>C85</f>
        <v>9.75</v>
      </c>
      <c r="D86" s="89">
        <f ca="1">((100/(H78))*C86)/100</f>
        <v>0.21666666666666667</v>
      </c>
      <c r="E86" s="245"/>
      <c r="F86" s="251"/>
      <c r="G86" s="245"/>
      <c r="H86" s="246"/>
      <c r="I86" s="13" t="s">
        <v>138</v>
      </c>
      <c r="J86" s="27">
        <f>(IF(B78&gt;2,(H78/(B78+2)+J85),0))</f>
        <v>0</v>
      </c>
    </row>
    <row r="87" spans="1:19" ht="15.75" customHeight="1" x14ac:dyDescent="0.3">
      <c r="A87" s="113" t="s">
        <v>126</v>
      </c>
      <c r="B87" s="114" t="s">
        <v>126</v>
      </c>
      <c r="C87" s="88">
        <v>0</v>
      </c>
      <c r="D87" s="89">
        <f ca="1">((100/H78)*C87)/100</f>
        <v>0</v>
      </c>
      <c r="E87" s="245"/>
      <c r="F87" s="251"/>
      <c r="G87" s="245"/>
      <c r="H87" s="246"/>
      <c r="I87" s="13" t="s">
        <v>139</v>
      </c>
      <c r="J87" s="28">
        <f>(IF(B78&gt;3,(H78/(B78+2)+J86),0))</f>
        <v>0</v>
      </c>
    </row>
    <row r="88" spans="1:19" ht="15.75" customHeight="1" x14ac:dyDescent="0.3">
      <c r="A88" s="113" t="s">
        <v>133</v>
      </c>
      <c r="B88" s="114"/>
      <c r="C88" s="88">
        <v>0</v>
      </c>
      <c r="D88" s="89">
        <f ca="1">((100/H78)*C88)/100</f>
        <v>0</v>
      </c>
      <c r="E88" s="245"/>
      <c r="F88" s="251"/>
      <c r="G88" s="245"/>
      <c r="H88" s="246"/>
      <c r="I88" s="13" t="s">
        <v>140</v>
      </c>
      <c r="J88" s="27">
        <f>(IF(B78&gt;4,(H78/(B78+2)+J87),0))</f>
        <v>0</v>
      </c>
    </row>
    <row r="89" spans="1:19" ht="15.75" customHeight="1" x14ac:dyDescent="0.3">
      <c r="A89" s="113" t="s">
        <v>128</v>
      </c>
      <c r="B89" s="114" t="s">
        <v>128</v>
      </c>
      <c r="C89" s="88">
        <v>0</v>
      </c>
      <c r="D89" s="89">
        <f ca="1">((100/(H78))*C89)/100</f>
        <v>0</v>
      </c>
      <c r="E89" s="245"/>
      <c r="F89" s="251"/>
      <c r="G89" s="245"/>
      <c r="H89" s="246"/>
      <c r="I89" s="13" t="s">
        <v>142</v>
      </c>
      <c r="J89" s="27">
        <f ca="1">(IF(B78=1,(H78/(B78+3)+J84),IF(B78=0,(H78/4+J84),IF(B78&gt;1,0))))</f>
        <v>33.75</v>
      </c>
    </row>
    <row r="90" spans="1:19" ht="16.2" thickBot="1" x14ac:dyDescent="0.35">
      <c r="A90" s="125" t="s">
        <v>129</v>
      </c>
      <c r="B90" s="126"/>
      <c r="C90" s="90">
        <v>0</v>
      </c>
      <c r="D90" s="91">
        <f ca="1">((100/(H78))*C90)/100</f>
        <v>0</v>
      </c>
      <c r="E90" s="247"/>
      <c r="F90" s="252"/>
      <c r="G90" s="247"/>
      <c r="H90" s="248"/>
      <c r="I90" s="14" t="s">
        <v>100</v>
      </c>
      <c r="J90" s="29">
        <f ca="1">(IF(B78&gt;1.5,(H78/(B78+2)+J84+MAX(0,J85-J84)+MAX(0,J86-J85)+MAX(0,J87-J86)+MAX(0,J88-J87)+MAX(0,J89-J88)),IF(B78=1,(H78/(B78+3)+J89),IF(B78=0,H78/4+J89))))</f>
        <v>45</v>
      </c>
    </row>
    <row r="91" spans="1:19" ht="15.75" customHeight="1" x14ac:dyDescent="0.3">
      <c r="A91" s="202" t="s">
        <v>135</v>
      </c>
      <c r="B91" s="203"/>
      <c r="C91" s="204" t="str">
        <f>D68</f>
        <v>B Wing = Gr + Lower 1st Floor + 1st to 34th Floor</v>
      </c>
      <c r="D91" s="205"/>
      <c r="E91" s="205"/>
      <c r="F91" s="205"/>
      <c r="G91" s="205"/>
      <c r="H91" s="206"/>
      <c r="I91" s="43" t="str">
        <f ca="1">IF(D104=100%,"All work Completed. Possession granted to the Building.",IF(D103=100%,"All work Completed, Waiting for OC",I92&amp;""&amp;I93&amp;""&amp;J92&amp;""&amp;J91&amp;" "&amp;J93))</f>
        <v>Excavation, Plinth Completed, RCC upto 9 Slab, Brickwork upto 2 Floor Completed</v>
      </c>
      <c r="J91" s="44" t="str">
        <f ca="1">(IF(C97=(D92+F92+H92),"",IF(C97&gt;0,", RCC upto "&amp;C97&amp;" Slab","")))&amp;(IF(C98=H92,"",IF(C98&gt;0,", Brickwork upto "&amp;C98&amp;" Floor","")))&amp;(IF(C99=H92,"",IF(C99&gt;0,", Internal Plaster upto "&amp;C99&amp;" Floor","")))&amp;(IF(C100=H92,"",IF(C100&gt;0,", External Plaster upto "&amp;C100&amp;" Floor","")))&amp;(IF(C101=H92,"",IF(C101&gt;0,", Flooring upto "&amp;C101&amp;" Floor","")))&amp;(IF(C102=H92,"",IF(C102&gt;0,", Painting upto "&amp;C102&amp;" Floor","")))&amp;(IF(C103=H92,"",IF(C103&gt;0,", Finishing upto "&amp;C103&amp;" Floor","")))&amp;(IF(C104=H92,"",IF(C104&gt;0,", Possession upto "&amp;C104&amp;" Floor","")))</f>
        <v>, RCC upto 9 Slab, Brickwork upto 2 Floor</v>
      </c>
      <c r="S91"/>
    </row>
    <row r="92" spans="1:19" x14ac:dyDescent="0.3">
      <c r="A92" s="15" t="s">
        <v>137</v>
      </c>
      <c r="B92" s="42">
        <f>IF(AND(ISNUMBER(SEARCH("1B",C91))),1,IF(AND(ISNUMBER(SEARCH("2B",C91))),2,IF(AND(ISNUMBER(SEARCH("3B",C91))),3,IF(AND(ISNUMBER(SEARCH("4B",C91))),4,IF(ISNUMBER(SEARCH("5B",C91)),5,0)))))</f>
        <v>0</v>
      </c>
      <c r="C92" s="42" t="s">
        <v>68</v>
      </c>
      <c r="D92" s="42">
        <v>2</v>
      </c>
      <c r="E92" s="42" t="s">
        <v>67</v>
      </c>
      <c r="F92" s="42">
        <v>0</v>
      </c>
      <c r="G92" s="42" t="s">
        <v>76</v>
      </c>
      <c r="H92" s="16">
        <f ca="1">--TRIM(RIGHT(SUBSTITUTE(LEFT(C91,_xlfn.AGGREGATE(16,6,FIND({0,1,2,3,4,5,6,7,8,9},C91,ROW(INDIRECT("1:"&amp;LEN(C91)))),1))," ",REPT(" ",LEN(C91))),LEN(C91)))</f>
        <v>34</v>
      </c>
      <c r="I92" s="45" t="str">
        <f ca="1">IF(D95=100%,"Excavation","")&amp;IF(D96=100%,", Plinth","")&amp;IF(D97=100%,", RCC Slab","")&amp;IF(D98=100%,", Brickwork","")&amp;IF(D99=100%,", Internal Plaster","")&amp;IF(D100=100%,", External Plaster","")&amp;IF(D101=100%,", Flooring","")&amp;IF(D102=100%,", Painting","")&amp;IF(D103=100%,", Building common Amenities","")</f>
        <v>Excavation, Plinth</v>
      </c>
      <c r="J92" s="46" t="str">
        <f ca="1">(IF(C95=0,"Work not yet Started.",IF(D95=25%,"Piling work in process",IF(D95=50%,"Excavation work in process",IF(D95=100%,"","0")))))&amp;(IF(C96=0%,"",IF(C96=J97,", Footing work is process",IF(C96=J98,", Footing work Completed",IF(C96=J99,", 1st Basement Completed",IF(C96=J100,", 1st &amp; 2nd Basement Completed",IF(C96=J101,", 1st to 3rd Basement Completed",IF(C96=J102,", 1st to 4th Basement Completed",IF(C96=J103,", Plinth work is process",IF(C96=J104,"","0"))))))))))</f>
        <v/>
      </c>
      <c r="S92"/>
    </row>
    <row r="93" spans="1:19" ht="36.75" customHeight="1" x14ac:dyDescent="0.3">
      <c r="A93" s="229" t="s">
        <v>86</v>
      </c>
      <c r="B93" s="181"/>
      <c r="C93" s="207" t="str">
        <f ca="1">I91</f>
        <v>Excavation, Plinth Completed, RCC upto 9 Slab, Brickwork upto 2 Floor Completed</v>
      </c>
      <c r="D93" s="207"/>
      <c r="E93" s="207"/>
      <c r="F93" s="207"/>
      <c r="G93" s="207"/>
      <c r="H93" s="208"/>
      <c r="I93" s="45" t="str">
        <f ca="1">IF(I92&lt;&gt;""," Completed","")</f>
        <v xml:space="preserve"> Completed</v>
      </c>
      <c r="J93" s="46" t="str">
        <f ca="1">IF(J91&lt;&gt;"","Completed","")</f>
        <v>Completed</v>
      </c>
      <c r="S93"/>
    </row>
    <row r="94" spans="1:19" ht="15.75" customHeight="1" x14ac:dyDescent="0.3">
      <c r="A94" s="113" t="s">
        <v>47</v>
      </c>
      <c r="B94" s="114"/>
      <c r="C94" s="88" t="s">
        <v>134</v>
      </c>
      <c r="D94" s="88" t="s">
        <v>79</v>
      </c>
      <c r="E94" s="123" t="s">
        <v>81</v>
      </c>
      <c r="F94" s="123"/>
      <c r="G94" s="123" t="s">
        <v>80</v>
      </c>
      <c r="H94" s="124"/>
      <c r="I94" s="13" t="s">
        <v>136</v>
      </c>
      <c r="J94" s="25">
        <f ca="1">H92*25%</f>
        <v>8.5</v>
      </c>
      <c r="S94"/>
    </row>
    <row r="95" spans="1:19" x14ac:dyDescent="0.3">
      <c r="A95" s="113" t="s">
        <v>123</v>
      </c>
      <c r="B95" s="114"/>
      <c r="C95" s="88">
        <f ca="1">J96</f>
        <v>34</v>
      </c>
      <c r="D95" s="89">
        <f ca="1">((100/H92)*C95)/100</f>
        <v>1</v>
      </c>
      <c r="E95" s="243">
        <f ca="1">(((C96/H92*10)+(40/(D92+F92+H92)*C97)+(7.5/(H92)*C98)+(7.5/(H92)*C99)+(10/H92*C100)+(10/H92*C101)+(5/H92*C102)+(5/H92*C103)+(5/H92*C104))/100)</f>
        <v>0.20441176470588235</v>
      </c>
      <c r="F95" s="250"/>
      <c r="G95" s="243">
        <f ca="1">((((C95/H92)*20)+((C96/H92)*25)+(30/(H92+F92+D92)*C97)+(5/H92*C98)+(5/H92*C99)+(5/H92*C100)+(5/H92*C101)+(0/H92*C102)+(0/H92*C103)+(5/H92*C104))/100)</f>
        <v>0.52794117647058825</v>
      </c>
      <c r="H95" s="244"/>
      <c r="I95" s="13" t="s">
        <v>96</v>
      </c>
      <c r="J95" s="26">
        <f ca="1">H92*50%</f>
        <v>17</v>
      </c>
    </row>
    <row r="96" spans="1:19" x14ac:dyDescent="0.3">
      <c r="A96" s="113" t="s">
        <v>48</v>
      </c>
      <c r="B96" s="114"/>
      <c r="C96" s="88">
        <f ca="1">J104</f>
        <v>34</v>
      </c>
      <c r="D96" s="89">
        <f ca="1">((100/H92)*C96)/100</f>
        <v>1</v>
      </c>
      <c r="E96" s="245"/>
      <c r="F96" s="251"/>
      <c r="G96" s="245"/>
      <c r="H96" s="246"/>
      <c r="I96" s="13" t="s">
        <v>97</v>
      </c>
      <c r="J96" s="26">
        <f ca="1">H92</f>
        <v>34</v>
      </c>
      <c r="S96"/>
    </row>
    <row r="97" spans="1:19" ht="15.75" customHeight="1" x14ac:dyDescent="0.3">
      <c r="A97" s="113" t="s">
        <v>124</v>
      </c>
      <c r="B97" s="114"/>
      <c r="C97" s="88">
        <v>9</v>
      </c>
      <c r="D97" s="89">
        <f ca="1">((100/(D92+F92+H92))*C97)/100</f>
        <v>0.25</v>
      </c>
      <c r="E97" s="245"/>
      <c r="F97" s="251"/>
      <c r="G97" s="245"/>
      <c r="H97" s="246"/>
      <c r="I97" s="13" t="s">
        <v>98</v>
      </c>
      <c r="J97" s="27">
        <f ca="1">(IF(B92&gt;1,(H92/(B92+2)),H92/4))</f>
        <v>8.5</v>
      </c>
      <c r="S97"/>
    </row>
    <row r="98" spans="1:19" ht="15.75" customHeight="1" x14ac:dyDescent="0.3">
      <c r="A98" s="113" t="s">
        <v>131</v>
      </c>
      <c r="B98" s="114" t="s">
        <v>125</v>
      </c>
      <c r="C98" s="88">
        <v>2</v>
      </c>
      <c r="D98" s="89">
        <f ca="1">((100/H92)*C98)/100</f>
        <v>5.8823529411764712E-2</v>
      </c>
      <c r="E98" s="245"/>
      <c r="F98" s="251"/>
      <c r="G98" s="245"/>
      <c r="H98" s="246"/>
      <c r="I98" s="13" t="s">
        <v>99</v>
      </c>
      <c r="J98" s="27">
        <f ca="1">(IF(B92&gt;1,(H92/(B92+2)+J97),H92/4+J97))</f>
        <v>17</v>
      </c>
    </row>
    <row r="99" spans="1:19" ht="15.75" customHeight="1" x14ac:dyDescent="0.3">
      <c r="A99" s="113" t="s">
        <v>132</v>
      </c>
      <c r="B99" s="114" t="s">
        <v>125</v>
      </c>
      <c r="C99" s="92">
        <v>0</v>
      </c>
      <c r="D99" s="89">
        <f ca="1">((100/H92)*C99)/100</f>
        <v>0</v>
      </c>
      <c r="E99" s="245"/>
      <c r="F99" s="251"/>
      <c r="G99" s="245"/>
      <c r="H99" s="246"/>
      <c r="I99" s="13" t="s">
        <v>141</v>
      </c>
      <c r="J99" s="27">
        <f>(IF(B92&gt;1,(H92/(B92+2)+J98),0))</f>
        <v>0</v>
      </c>
    </row>
    <row r="100" spans="1:19" ht="15" customHeight="1" x14ac:dyDescent="0.3">
      <c r="A100" s="113" t="s">
        <v>130</v>
      </c>
      <c r="B100" s="114" t="s">
        <v>127</v>
      </c>
      <c r="C100" s="92">
        <v>0</v>
      </c>
      <c r="D100" s="89">
        <f ca="1">((100/(H92))*C100)/100</f>
        <v>0</v>
      </c>
      <c r="E100" s="245"/>
      <c r="F100" s="251"/>
      <c r="G100" s="245"/>
      <c r="H100" s="246"/>
      <c r="I100" s="13" t="s">
        <v>138</v>
      </c>
      <c r="J100" s="27">
        <f>(IF(B92&gt;2,(H92/(B92+2)+J99),0))</f>
        <v>0</v>
      </c>
    </row>
    <row r="101" spans="1:19" ht="15.75" customHeight="1" x14ac:dyDescent="0.3">
      <c r="A101" s="113" t="s">
        <v>126</v>
      </c>
      <c r="B101" s="114" t="s">
        <v>126</v>
      </c>
      <c r="C101" s="88">
        <v>0</v>
      </c>
      <c r="D101" s="89">
        <f ca="1">((100/H92)*C101)/100</f>
        <v>0</v>
      </c>
      <c r="E101" s="245"/>
      <c r="F101" s="251"/>
      <c r="G101" s="245"/>
      <c r="H101" s="246"/>
      <c r="I101" s="13" t="s">
        <v>139</v>
      </c>
      <c r="J101" s="28">
        <f>(IF(B92&gt;3,(H92/(B92+2)+J100),0))</f>
        <v>0</v>
      </c>
    </row>
    <row r="102" spans="1:19" ht="15.75" customHeight="1" x14ac:dyDescent="0.3">
      <c r="A102" s="113" t="s">
        <v>133</v>
      </c>
      <c r="B102" s="114"/>
      <c r="C102" s="88">
        <v>0</v>
      </c>
      <c r="D102" s="89">
        <f ca="1">((100/H92)*C102)/100</f>
        <v>0</v>
      </c>
      <c r="E102" s="245"/>
      <c r="F102" s="251"/>
      <c r="G102" s="245"/>
      <c r="H102" s="246"/>
      <c r="I102" s="13" t="s">
        <v>140</v>
      </c>
      <c r="J102" s="27">
        <f>(IF(B92&gt;4,(H92/(B92+2)+J101),0))</f>
        <v>0</v>
      </c>
    </row>
    <row r="103" spans="1:19" ht="15.75" customHeight="1" x14ac:dyDescent="0.3">
      <c r="A103" s="113" t="s">
        <v>128</v>
      </c>
      <c r="B103" s="114" t="s">
        <v>128</v>
      </c>
      <c r="C103" s="88">
        <v>0</v>
      </c>
      <c r="D103" s="89">
        <f ca="1">((100/(H92))*C103)/100</f>
        <v>0</v>
      </c>
      <c r="E103" s="245"/>
      <c r="F103" s="251"/>
      <c r="G103" s="245"/>
      <c r="H103" s="246"/>
      <c r="I103" s="13" t="s">
        <v>142</v>
      </c>
      <c r="J103" s="27">
        <f ca="1">(IF(B92=1,(H92/(B92+3)+J98),IF(B92=0,(H92/4+J98),IF(B92&gt;1,0))))</f>
        <v>25.5</v>
      </c>
    </row>
    <row r="104" spans="1:19" ht="16.2" thickBot="1" x14ac:dyDescent="0.35">
      <c r="A104" s="125" t="s">
        <v>129</v>
      </c>
      <c r="B104" s="126"/>
      <c r="C104" s="90">
        <v>0</v>
      </c>
      <c r="D104" s="91">
        <f ca="1">((100/(H92))*C104)/100</f>
        <v>0</v>
      </c>
      <c r="E104" s="247"/>
      <c r="F104" s="252"/>
      <c r="G104" s="247"/>
      <c r="H104" s="248"/>
      <c r="I104" s="14" t="s">
        <v>100</v>
      </c>
      <c r="J104" s="29">
        <f ca="1">(IF(B92&gt;1.5,(H92/(B92+2)+J98+MAX(0,J99-J98)+MAX(0,J100-J99)+MAX(0,J101-J100)+MAX(0,J102-J101)+MAX(0,J103-J102)),IF(B92=1,(H92/(B92+3)+J103),IF(B92=0,H92/4+J103))))</f>
        <v>34</v>
      </c>
    </row>
    <row r="105" spans="1:19" ht="15.75" hidden="1" customHeight="1" x14ac:dyDescent="0.3">
      <c r="A105" s="202" t="s">
        <v>135</v>
      </c>
      <c r="B105" s="203"/>
      <c r="C105" s="204" t="str">
        <f>D69</f>
        <v>C Wing = 1B + G + 1st to 20th Floor</v>
      </c>
      <c r="D105" s="205"/>
      <c r="E105" s="205"/>
      <c r="F105" s="205"/>
      <c r="G105" s="205"/>
      <c r="H105" s="206"/>
      <c r="I105" s="43" t="str">
        <f ca="1">IF(D118=100%,"All work Completed. Possession granted to the Building.",IF(D117=100%,"All work Completed, Waiting for OC",I106&amp;""&amp;I107&amp;""&amp;J106&amp;""&amp;J105&amp;" "&amp;J107))</f>
        <v xml:space="preserve">Excavation, Plinth Completed </v>
      </c>
      <c r="J105" s="44" t="str">
        <f ca="1">(IF(C111=(D106+F106+H106),"",IF(C111&gt;0,", RCC upto "&amp;C111&amp;" Slab","")))&amp;(IF(C112=H106,"",IF(C112&gt;0,", Brickwork upto "&amp;C112&amp;" Floor","")))&amp;(IF(C113=H106,"",IF(C113&gt;0,", Internal Plaster upto "&amp;C113&amp;" Floor","")))&amp;(IF(C114=H106,"",IF(C114&gt;0,", External Plaster upto "&amp;C114&amp;" Floor","")))&amp;(IF(C115=H106,"",IF(C115&gt;0,", Flooring upto "&amp;C115&amp;" Floor","")))&amp;(IF(C116=H106,"",IF(C116&gt;0,", Painting upto "&amp;C116&amp;" Floor","")))&amp;(IF(C117=H106,"",IF(C117&gt;0,", Finishing upto "&amp;C117&amp;" Floor","")))&amp;(IF(C118=H106,"",IF(C118&gt;0,", Possession upto "&amp;C118&amp;" Floor","")))</f>
        <v/>
      </c>
      <c r="S105"/>
    </row>
    <row r="106" spans="1:19" hidden="1" x14ac:dyDescent="0.3">
      <c r="A106" s="15" t="s">
        <v>137</v>
      </c>
      <c r="B106" s="42">
        <f>IF(AND(ISNUMBER(SEARCH("1B",C105))),1,IF(AND(ISNUMBER(SEARCH("2B",C105))),2,IF(AND(ISNUMBER(SEARCH("3B",C105))),3,IF(AND(ISNUMBER(SEARCH("4B",C105))),4,IF(ISNUMBER(SEARCH("5B",C105)),5,0)))))</f>
        <v>1</v>
      </c>
      <c r="C106" s="42" t="s">
        <v>68</v>
      </c>
      <c r="D106" s="42">
        <v>1</v>
      </c>
      <c r="E106" s="42" t="s">
        <v>67</v>
      </c>
      <c r="F106" s="42">
        <v>0</v>
      </c>
      <c r="G106" s="42" t="s">
        <v>76</v>
      </c>
      <c r="H106" s="16">
        <f ca="1">--TRIM(RIGHT(SUBSTITUTE(LEFT(C105,_xlfn.AGGREGATE(16,6,FIND({0,1,2,3,4,5,6,7,8,9},C105,ROW(INDIRECT("1:"&amp;LEN(C105)))),1))," ",REPT(" ",LEN(C105))),LEN(C105)))</f>
        <v>20</v>
      </c>
      <c r="I106" s="45" t="str">
        <f ca="1">IF(D109=100%,"Excavation","")&amp;IF(D110=100%,", Plinth","")&amp;IF(D111=100%,", RCC Slab","")&amp;IF(D112=100%,", Brickwork","")&amp;IF(D113=100%,", Internal Plaster","")&amp;IF(D114=100%,", External Plaster","")&amp;IF(D115=100%,", Flooring","")&amp;IF(D116=100%,", Painting","")&amp;IF(D117=100%,", Building common Amenities","")</f>
        <v>Excavation, Plinth</v>
      </c>
      <c r="J106" s="46" t="str">
        <f ca="1">(IF(C109=0,"Work not yet Started.",IF(D109=25%,"Piling work in process",IF(D109=50%,"Excavation work in process",IF(D109=100%,"","0")))))&amp;(IF(C110=0%,"",IF(C110=J111,", Footing work is process",IF(C110=J112,", Footing work Completed",IF(C110=J113,", 1st Basement Completed",IF(C110=J114,", 1st &amp; 2nd Basement Completed",IF(C110=J115,", 1st to 3rd Basement Completed",IF(C110=J116,", 1st to 4th Basement Completed",IF(C110=J117,", Plinth work is process",IF(C110=J118,"","0"))))))))))</f>
        <v/>
      </c>
      <c r="S106"/>
    </row>
    <row r="107" spans="1:19" hidden="1" x14ac:dyDescent="0.3">
      <c r="A107" s="229" t="s">
        <v>86</v>
      </c>
      <c r="B107" s="181"/>
      <c r="C107" s="207" t="str">
        <f ca="1">I105</f>
        <v xml:space="preserve">Excavation, Plinth Completed </v>
      </c>
      <c r="D107" s="207"/>
      <c r="E107" s="207"/>
      <c r="F107" s="207"/>
      <c r="G107" s="207"/>
      <c r="H107" s="208"/>
      <c r="I107" s="45" t="str">
        <f ca="1">IF(I106&lt;&gt;""," Completed","")</f>
        <v xml:space="preserve"> Completed</v>
      </c>
      <c r="J107" s="46" t="str">
        <f ca="1">IF(J105&lt;&gt;"","Completed","")</f>
        <v/>
      </c>
      <c r="S107"/>
    </row>
    <row r="108" spans="1:19" ht="15.75" hidden="1" customHeight="1" x14ac:dyDescent="0.3">
      <c r="A108" s="113" t="s">
        <v>47</v>
      </c>
      <c r="B108" s="114"/>
      <c r="C108" s="88" t="s">
        <v>134</v>
      </c>
      <c r="D108" s="88" t="s">
        <v>79</v>
      </c>
      <c r="E108" s="123" t="s">
        <v>81</v>
      </c>
      <c r="F108" s="123"/>
      <c r="G108" s="123" t="s">
        <v>80</v>
      </c>
      <c r="H108" s="124"/>
      <c r="I108" s="13" t="s">
        <v>136</v>
      </c>
      <c r="J108" s="25">
        <f ca="1">H106*25%</f>
        <v>5</v>
      </c>
      <c r="S108"/>
    </row>
    <row r="109" spans="1:19" hidden="1" x14ac:dyDescent="0.3">
      <c r="A109" s="113" t="s">
        <v>123</v>
      </c>
      <c r="B109" s="114"/>
      <c r="C109" s="88">
        <f ca="1">J110</f>
        <v>20</v>
      </c>
      <c r="D109" s="89">
        <f ca="1">((100/H106)*C109)/100</f>
        <v>1</v>
      </c>
      <c r="E109" s="243">
        <f ca="1">(((C110/H106*10)+(40/(D106+F106+H106)*C111)+(7.5/(H106)*C112)+(7.5/(H106)*C113)+(10/H106*C114)+(10/H106*C115)+(5/H106*C116)+(5/H106*C117)+(5/H106*C118))/100)</f>
        <v>0.1</v>
      </c>
      <c r="F109" s="250"/>
      <c r="G109" s="243">
        <f ca="1">((((C109/H106)*20)+((C110/H106)*25)+(30/(H106+F106+D106)*C111)+(5/H106*C112)+(5/H106*C113)+(5/H106*C114)+(5/H106*C115)+(0/H106*C116)+(0/H106*C117)+(5/H106*C118))/100)</f>
        <v>0.45</v>
      </c>
      <c r="H109" s="244"/>
      <c r="I109" s="13" t="s">
        <v>96</v>
      </c>
      <c r="J109" s="26">
        <f ca="1">H106*50%</f>
        <v>10</v>
      </c>
    </row>
    <row r="110" spans="1:19" hidden="1" x14ac:dyDescent="0.3">
      <c r="A110" s="113" t="s">
        <v>48</v>
      </c>
      <c r="B110" s="114"/>
      <c r="C110" s="88">
        <f ca="1">J118</f>
        <v>20</v>
      </c>
      <c r="D110" s="89">
        <f ca="1">((100/H106)*C110)/100</f>
        <v>1</v>
      </c>
      <c r="E110" s="245"/>
      <c r="F110" s="251"/>
      <c r="G110" s="245"/>
      <c r="H110" s="246"/>
      <c r="I110" s="13" t="s">
        <v>97</v>
      </c>
      <c r="J110" s="26">
        <f ca="1">H106</f>
        <v>20</v>
      </c>
      <c r="S110"/>
    </row>
    <row r="111" spans="1:19" ht="15.75" hidden="1" customHeight="1" x14ac:dyDescent="0.3">
      <c r="A111" s="113" t="s">
        <v>124</v>
      </c>
      <c r="B111" s="114"/>
      <c r="C111" s="88">
        <v>0</v>
      </c>
      <c r="D111" s="89">
        <f ca="1">((100/(D106+F106+H106))*C111)/100</f>
        <v>0</v>
      </c>
      <c r="E111" s="245"/>
      <c r="F111" s="251"/>
      <c r="G111" s="245"/>
      <c r="H111" s="246"/>
      <c r="I111" s="13" t="s">
        <v>98</v>
      </c>
      <c r="J111" s="27">
        <f ca="1">(IF(B106&gt;1,(H106/(B106+2)),H106/4))</f>
        <v>5</v>
      </c>
      <c r="S111"/>
    </row>
    <row r="112" spans="1:19" ht="15.75" hidden="1" customHeight="1" x14ac:dyDescent="0.3">
      <c r="A112" s="113" t="s">
        <v>131</v>
      </c>
      <c r="B112" s="114" t="s">
        <v>125</v>
      </c>
      <c r="C112" s="88">
        <v>0</v>
      </c>
      <c r="D112" s="89">
        <f ca="1">((100/H106)*C112)/100</f>
        <v>0</v>
      </c>
      <c r="E112" s="245"/>
      <c r="F112" s="251"/>
      <c r="G112" s="245"/>
      <c r="H112" s="246"/>
      <c r="I112" s="13" t="s">
        <v>99</v>
      </c>
      <c r="J112" s="27">
        <f ca="1">(IF(B106&gt;1,(H106/(B106+2)+J111),H106/4+J111))</f>
        <v>10</v>
      </c>
    </row>
    <row r="113" spans="1:22" ht="15.75" hidden="1" customHeight="1" x14ac:dyDescent="0.3">
      <c r="A113" s="113" t="s">
        <v>132</v>
      </c>
      <c r="B113" s="114" t="s">
        <v>125</v>
      </c>
      <c r="C113" s="88">
        <v>0</v>
      </c>
      <c r="D113" s="89">
        <f ca="1">((100/H106)*C113)/100</f>
        <v>0</v>
      </c>
      <c r="E113" s="245"/>
      <c r="F113" s="251"/>
      <c r="G113" s="245"/>
      <c r="H113" s="246"/>
      <c r="I113" s="13" t="s">
        <v>141</v>
      </c>
      <c r="J113" s="27">
        <f>(IF(B106&gt;1,(H106/(B106+2)+J112),0))</f>
        <v>0</v>
      </c>
    </row>
    <row r="114" spans="1:22" ht="15" hidden="1" customHeight="1" x14ac:dyDescent="0.3">
      <c r="A114" s="113" t="s">
        <v>130</v>
      </c>
      <c r="B114" s="114" t="s">
        <v>127</v>
      </c>
      <c r="C114" s="88">
        <v>0</v>
      </c>
      <c r="D114" s="89">
        <f ca="1">((100/(H106))*C114)/100</f>
        <v>0</v>
      </c>
      <c r="E114" s="245"/>
      <c r="F114" s="251"/>
      <c r="G114" s="245"/>
      <c r="H114" s="246"/>
      <c r="I114" s="13" t="s">
        <v>138</v>
      </c>
      <c r="J114" s="27">
        <f>(IF(B106&gt;2,(H106/(B106+2)+J113),0))</f>
        <v>0</v>
      </c>
    </row>
    <row r="115" spans="1:22" ht="15.75" hidden="1" customHeight="1" x14ac:dyDescent="0.3">
      <c r="A115" s="113" t="s">
        <v>126</v>
      </c>
      <c r="B115" s="114" t="s">
        <v>126</v>
      </c>
      <c r="C115" s="88">
        <v>0</v>
      </c>
      <c r="D115" s="89">
        <f ca="1">((100/H106)*C115)/100</f>
        <v>0</v>
      </c>
      <c r="E115" s="245"/>
      <c r="F115" s="251"/>
      <c r="G115" s="245"/>
      <c r="H115" s="246"/>
      <c r="I115" s="13" t="s">
        <v>139</v>
      </c>
      <c r="J115" s="28">
        <f>(IF(B106&gt;3,(H106/(B106+2)+J114),0))</f>
        <v>0</v>
      </c>
    </row>
    <row r="116" spans="1:22" ht="15.75" hidden="1" customHeight="1" x14ac:dyDescent="0.3">
      <c r="A116" s="113" t="s">
        <v>133</v>
      </c>
      <c r="B116" s="114"/>
      <c r="C116" s="88">
        <v>0</v>
      </c>
      <c r="D116" s="89">
        <f ca="1">((100/H106)*C116)/100</f>
        <v>0</v>
      </c>
      <c r="E116" s="245"/>
      <c r="F116" s="251"/>
      <c r="G116" s="245"/>
      <c r="H116" s="246"/>
      <c r="I116" s="13" t="s">
        <v>140</v>
      </c>
      <c r="J116" s="27">
        <f>(IF(B106&gt;4,(H106/(B106+2)+J115),0))</f>
        <v>0</v>
      </c>
    </row>
    <row r="117" spans="1:22" ht="15.75" hidden="1" customHeight="1" x14ac:dyDescent="0.3">
      <c r="A117" s="113" t="s">
        <v>128</v>
      </c>
      <c r="B117" s="114" t="s">
        <v>128</v>
      </c>
      <c r="C117" s="88">
        <v>0</v>
      </c>
      <c r="D117" s="89">
        <f ca="1">((100/(H106))*C117)/100</f>
        <v>0</v>
      </c>
      <c r="E117" s="245"/>
      <c r="F117" s="251"/>
      <c r="G117" s="245"/>
      <c r="H117" s="246"/>
      <c r="I117" s="13" t="s">
        <v>142</v>
      </c>
      <c r="J117" s="27">
        <f ca="1">(IF(B106=1,(H106/(B106+3)+J112),IF(B106=0,(H106/4+J112),IF(B106&gt;1,0))))</f>
        <v>15</v>
      </c>
    </row>
    <row r="118" spans="1:22" ht="16.2" hidden="1" thickBot="1" x14ac:dyDescent="0.35">
      <c r="A118" s="125" t="s">
        <v>129</v>
      </c>
      <c r="B118" s="126"/>
      <c r="C118" s="90">
        <v>0</v>
      </c>
      <c r="D118" s="91">
        <f ca="1">((100/(H106))*C118)/100</f>
        <v>0</v>
      </c>
      <c r="E118" s="247"/>
      <c r="F118" s="252"/>
      <c r="G118" s="247"/>
      <c r="H118" s="248"/>
      <c r="I118" s="14" t="s">
        <v>100</v>
      </c>
      <c r="J118" s="29">
        <f ca="1">(IF(B106&gt;1.5,(H106/(B106+2)+J112+MAX(0,J113-J112)+MAX(0,J114-J113)+MAX(0,J115-J114)+MAX(0,J116-J115)+MAX(0,J117-J116)),IF(B106=1,(H106/(B106+3)+J117),IF(B106=0,H106/4+J117))))</f>
        <v>20</v>
      </c>
    </row>
    <row r="119" spans="1:22" x14ac:dyDescent="0.3">
      <c r="A119" s="133" t="s">
        <v>152</v>
      </c>
      <c r="B119" s="133"/>
      <c r="C119" s="133"/>
      <c r="D119" s="133"/>
      <c r="E119" s="133"/>
      <c r="F119" s="167" t="s">
        <v>156</v>
      </c>
      <c r="G119" s="167"/>
      <c r="H119" s="167"/>
      <c r="R119" t="s">
        <v>248</v>
      </c>
      <c r="S119" t="s">
        <v>168</v>
      </c>
      <c r="T119" t="s">
        <v>175</v>
      </c>
      <c r="U119" t="s">
        <v>189</v>
      </c>
      <c r="V119" t="s">
        <v>184</v>
      </c>
    </row>
    <row r="120" spans="1:22" x14ac:dyDescent="0.3">
      <c r="A120" s="134" t="s">
        <v>154</v>
      </c>
      <c r="B120" s="134"/>
      <c r="C120" s="134"/>
      <c r="D120" s="134"/>
      <c r="E120" s="134"/>
      <c r="F120" s="137">
        <v>14500</v>
      </c>
      <c r="G120" s="137"/>
      <c r="H120" s="137"/>
      <c r="R120"/>
      <c r="S120">
        <v>800000</v>
      </c>
      <c r="T120">
        <v>150000</v>
      </c>
      <c r="U120">
        <v>100000</v>
      </c>
      <c r="V120">
        <v>100000</v>
      </c>
    </row>
    <row r="121" spans="1:22" x14ac:dyDescent="0.3">
      <c r="A121" s="134" t="s">
        <v>153</v>
      </c>
      <c r="B121" s="134"/>
      <c r="C121" s="134"/>
      <c r="D121" s="134"/>
      <c r="E121" s="134"/>
      <c r="F121" s="137">
        <v>25000</v>
      </c>
      <c r="G121" s="137"/>
      <c r="H121" s="137"/>
      <c r="R121"/>
      <c r="S121">
        <v>900000</v>
      </c>
      <c r="T121">
        <v>200000</v>
      </c>
      <c r="U121">
        <v>150000</v>
      </c>
      <c r="V121">
        <v>150000</v>
      </c>
    </row>
    <row r="122" spans="1:22" x14ac:dyDescent="0.3">
      <c r="A122" s="134" t="s">
        <v>155</v>
      </c>
      <c r="B122" s="134"/>
      <c r="C122" s="134"/>
      <c r="D122" s="134"/>
      <c r="E122" s="134"/>
      <c r="F122" s="137">
        <v>18000</v>
      </c>
      <c r="G122" s="137"/>
      <c r="H122" s="137"/>
      <c r="R122"/>
      <c r="S122">
        <v>1000000</v>
      </c>
      <c r="T122">
        <v>250000</v>
      </c>
      <c r="U122">
        <v>200000</v>
      </c>
      <c r="V122">
        <v>200000</v>
      </c>
    </row>
    <row r="123" spans="1:22" s="30" customFormat="1" x14ac:dyDescent="0.3">
      <c r="A123" s="134" t="s">
        <v>452</v>
      </c>
      <c r="B123" s="134"/>
      <c r="C123" s="134"/>
      <c r="D123" s="134"/>
      <c r="E123" s="134"/>
      <c r="F123" s="137">
        <v>50</v>
      </c>
      <c r="G123" s="137"/>
      <c r="H123" s="137"/>
      <c r="R123"/>
      <c r="S123">
        <v>1100000</v>
      </c>
      <c r="T123">
        <v>300000</v>
      </c>
      <c r="U123">
        <v>250000</v>
      </c>
      <c r="V123" s="20">
        <v>250000</v>
      </c>
    </row>
    <row r="124" spans="1:22" s="30" customFormat="1" x14ac:dyDescent="0.3">
      <c r="A124" s="134" t="s">
        <v>91</v>
      </c>
      <c r="B124" s="134"/>
      <c r="C124" s="134"/>
      <c r="D124" s="134"/>
      <c r="E124" s="134"/>
      <c r="F124" s="137">
        <v>400000</v>
      </c>
      <c r="G124" s="137"/>
      <c r="H124" s="137"/>
      <c r="R124"/>
      <c r="S124">
        <v>1200000</v>
      </c>
      <c r="T124">
        <v>350000</v>
      </c>
      <c r="U124">
        <v>300000</v>
      </c>
      <c r="V124">
        <v>300000</v>
      </c>
    </row>
    <row r="125" spans="1:22" s="30" customFormat="1" x14ac:dyDescent="0.3">
      <c r="A125" s="134" t="s">
        <v>451</v>
      </c>
      <c r="B125" s="134"/>
      <c r="C125" s="134"/>
      <c r="D125" s="134"/>
      <c r="E125" s="134"/>
      <c r="F125" s="137">
        <v>600000</v>
      </c>
      <c r="G125" s="137"/>
      <c r="H125" s="137"/>
      <c r="R125"/>
      <c r="S125">
        <v>1300000</v>
      </c>
      <c r="T125">
        <v>400000</v>
      </c>
      <c r="U125">
        <v>350000</v>
      </c>
      <c r="V125" s="20">
        <v>400000</v>
      </c>
    </row>
    <row r="126" spans="1:22" s="30" customFormat="1" hidden="1" x14ac:dyDescent="0.3">
      <c r="A126" s="134" t="s">
        <v>92</v>
      </c>
      <c r="B126" s="134"/>
      <c r="C126" s="134"/>
      <c r="D126" s="134"/>
      <c r="E126" s="134"/>
      <c r="F126" s="138"/>
      <c r="G126" s="138"/>
      <c r="H126" s="138"/>
      <c r="R126"/>
      <c r="S126">
        <v>1400000</v>
      </c>
      <c r="T126">
        <v>500000</v>
      </c>
      <c r="U126">
        <v>400000</v>
      </c>
      <c r="V126"/>
    </row>
    <row r="127" spans="1:22" s="30" customFormat="1" hidden="1" x14ac:dyDescent="0.3">
      <c r="A127" s="134" t="s">
        <v>93</v>
      </c>
      <c r="B127" s="134"/>
      <c r="C127" s="134"/>
      <c r="D127" s="134"/>
      <c r="E127" s="134"/>
      <c r="F127" s="138"/>
      <c r="G127" s="138"/>
      <c r="H127" s="138"/>
      <c r="R127"/>
      <c r="S127">
        <v>1500000</v>
      </c>
      <c r="T127">
        <v>600000</v>
      </c>
      <c r="U127">
        <v>500000</v>
      </c>
      <c r="V127" s="20"/>
    </row>
    <row r="128" spans="1:22" s="30" customFormat="1" x14ac:dyDescent="0.3">
      <c r="A128" s="134" t="s">
        <v>94</v>
      </c>
      <c r="B128" s="134"/>
      <c r="C128" s="134"/>
      <c r="D128" s="134"/>
      <c r="E128" s="134"/>
      <c r="F128" s="137">
        <v>150000</v>
      </c>
      <c r="G128" s="137"/>
      <c r="H128" s="137"/>
      <c r="R128"/>
      <c r="S128">
        <v>1600000</v>
      </c>
      <c r="T128">
        <v>700000</v>
      </c>
      <c r="U128">
        <v>600000</v>
      </c>
      <c r="V128"/>
    </row>
    <row r="129" spans="1:22" s="30" customFormat="1" hidden="1" x14ac:dyDescent="0.3">
      <c r="A129" s="134" t="s">
        <v>95</v>
      </c>
      <c r="B129" s="134"/>
      <c r="C129" s="134"/>
      <c r="D129" s="134"/>
      <c r="E129" s="134"/>
      <c r="F129" s="137"/>
      <c r="G129" s="137"/>
      <c r="H129" s="137"/>
      <c r="R129"/>
      <c r="S129">
        <v>1700000</v>
      </c>
      <c r="T129">
        <v>800000</v>
      </c>
      <c r="U129"/>
      <c r="V129" s="20"/>
    </row>
    <row r="130" spans="1:22" x14ac:dyDescent="0.3">
      <c r="A130" s="134" t="s">
        <v>49</v>
      </c>
      <c r="B130" s="134"/>
      <c r="C130" s="134"/>
      <c r="D130" s="134"/>
      <c r="E130" s="134"/>
      <c r="F130" s="137">
        <v>800000</v>
      </c>
      <c r="G130" s="137"/>
      <c r="H130" s="137"/>
      <c r="R130"/>
      <c r="S130">
        <v>1800000</v>
      </c>
      <c r="T130">
        <v>900000</v>
      </c>
      <c r="U130"/>
    </row>
    <row r="131" spans="1:22" s="31" customFormat="1" x14ac:dyDescent="0.3">
      <c r="A131" s="175" t="s">
        <v>50</v>
      </c>
      <c r="B131" s="175"/>
      <c r="C131" s="175"/>
      <c r="D131" s="175"/>
      <c r="E131" s="175"/>
      <c r="F131" s="137">
        <f>F120*0.8</f>
        <v>11600</v>
      </c>
      <c r="G131" s="137"/>
      <c r="H131" s="137"/>
      <c r="R131" s="18"/>
      <c r="S131" s="18"/>
      <c r="T131">
        <v>1000000</v>
      </c>
      <c r="U131"/>
      <c r="V131" s="18"/>
    </row>
    <row r="132" spans="1:22" s="32" customFormat="1" ht="15.75" customHeight="1" x14ac:dyDescent="0.3">
      <c r="A132" s="174" t="s">
        <v>71</v>
      </c>
      <c r="B132" s="174"/>
      <c r="C132" s="174"/>
      <c r="D132" s="174"/>
      <c r="E132" s="174"/>
      <c r="F132" s="174"/>
      <c r="G132" s="174"/>
      <c r="H132" s="174"/>
      <c r="R132"/>
      <c r="S132" s="18"/>
      <c r="T132"/>
      <c r="U132"/>
      <c r="V132" s="18"/>
    </row>
    <row r="133" spans="1:22" s="32" customFormat="1" ht="15.75" customHeight="1" x14ac:dyDescent="0.3">
      <c r="A133" s="140" t="s">
        <v>51</v>
      </c>
      <c r="B133" s="140"/>
      <c r="C133" s="146" t="s">
        <v>74</v>
      </c>
      <c r="D133" s="146"/>
      <c r="E133" s="127" t="s">
        <v>52</v>
      </c>
      <c r="F133" s="127"/>
      <c r="G133" s="140" t="s">
        <v>53</v>
      </c>
      <c r="H133" s="140"/>
      <c r="R133"/>
      <c r="S133" s="18"/>
      <c r="T133"/>
      <c r="U133" s="18"/>
      <c r="V133" s="18"/>
    </row>
    <row r="134" spans="1:22" s="32" customFormat="1" x14ac:dyDescent="0.3">
      <c r="A134" s="145" t="s">
        <v>443</v>
      </c>
      <c r="B134" s="145"/>
      <c r="C134" s="106">
        <f>COUNT(D152:D163)</f>
        <v>12</v>
      </c>
      <c r="D134" s="105"/>
      <c r="E134" s="106">
        <f t="shared" ref="E134" si="0">SUM(F152:F163)</f>
        <v>7302.8357999999989</v>
      </c>
      <c r="F134" s="105"/>
      <c r="G134" s="106">
        <f t="shared" ref="G134" si="1">SUM(H152:H163)</f>
        <v>11319.395489999999</v>
      </c>
      <c r="H134" s="105"/>
      <c r="R134"/>
      <c r="S134" s="18"/>
      <c r="T134"/>
      <c r="U134" s="18"/>
      <c r="V134" s="18"/>
    </row>
    <row r="135" spans="1:22" s="32" customFormat="1" x14ac:dyDescent="0.3">
      <c r="A135" s="145" t="s">
        <v>444</v>
      </c>
      <c r="B135" s="145"/>
      <c r="C135" s="106">
        <f>COUNT(D166:D171)</f>
        <v>6</v>
      </c>
      <c r="D135" s="105"/>
      <c r="E135" s="106">
        <f t="shared" ref="E135" si="2">SUM(F166:F171)</f>
        <v>6998.0316119999998</v>
      </c>
      <c r="F135" s="105"/>
      <c r="G135" s="106">
        <f t="shared" ref="G135" si="3">SUM(H166:H171)</f>
        <v>10846.948998600001</v>
      </c>
      <c r="H135" s="105"/>
      <c r="R135"/>
      <c r="S135" s="18"/>
      <c r="T135"/>
      <c r="U135" s="18"/>
      <c r="V135" s="18"/>
    </row>
    <row r="136" spans="1:22" s="32" customFormat="1" x14ac:dyDescent="0.3">
      <c r="A136" s="174" t="s">
        <v>145</v>
      </c>
      <c r="B136" s="174"/>
      <c r="C136" s="253">
        <f>SUM(C134:D135)</f>
        <v>18</v>
      </c>
      <c r="D136" s="146"/>
      <c r="E136" s="253">
        <f>SUM(E134:F135)</f>
        <v>14300.867412</v>
      </c>
      <c r="F136" s="146"/>
      <c r="G136" s="253">
        <f>SUM(G134:H135)</f>
        <v>22166.3444886</v>
      </c>
      <c r="H136" s="146"/>
      <c r="R136"/>
      <c r="S136" s="18"/>
      <c r="T136"/>
      <c r="U136" s="18"/>
      <c r="V136" s="18"/>
    </row>
    <row r="137" spans="1:22" s="32" customFormat="1" x14ac:dyDescent="0.3">
      <c r="A137" s="174" t="s">
        <v>66</v>
      </c>
      <c r="B137" s="174"/>
      <c r="C137" s="174"/>
      <c r="D137" s="174"/>
      <c r="E137" s="174"/>
      <c r="F137" s="174"/>
      <c r="G137" s="174"/>
      <c r="H137" s="174"/>
      <c r="T137"/>
    </row>
    <row r="138" spans="1:22" s="32" customFormat="1" ht="15.75" customHeight="1" x14ac:dyDescent="0.3">
      <c r="A138" s="140" t="s">
        <v>51</v>
      </c>
      <c r="B138" s="140"/>
      <c r="C138" s="146" t="s">
        <v>74</v>
      </c>
      <c r="D138" s="146"/>
      <c r="E138" s="127" t="s">
        <v>52</v>
      </c>
      <c r="F138" s="127"/>
      <c r="G138" s="140" t="s">
        <v>53</v>
      </c>
      <c r="H138" s="140"/>
      <c r="T138"/>
    </row>
    <row r="139" spans="1:22" s="32" customFormat="1" ht="15.6" customHeight="1" x14ac:dyDescent="0.3">
      <c r="A139" s="103" t="s">
        <v>455</v>
      </c>
      <c r="B139" s="41" t="s">
        <v>445</v>
      </c>
      <c r="C139" s="105">
        <f>COUNT(D179:D182)*31+COUNT(D186:D188)*8</f>
        <v>148</v>
      </c>
      <c r="D139" s="105"/>
      <c r="E139" s="106">
        <f t="shared" ref="E139" si="4">SUM(F179:F182)*31+SUM(F186:F188)*8</f>
        <v>150014.68185599998</v>
      </c>
      <c r="F139" s="106"/>
      <c r="G139" s="106">
        <f t="shared" ref="G139" si="5">SUM(H179:H182)*31+SUM(H186:H188)*8</f>
        <v>225022.022784</v>
      </c>
      <c r="H139" s="106"/>
      <c r="J139" s="32">
        <f>124+24</f>
        <v>148</v>
      </c>
      <c r="T139"/>
    </row>
    <row r="140" spans="1:22" s="32" customFormat="1" ht="15.6" customHeight="1" x14ac:dyDescent="0.3">
      <c r="A140" s="104"/>
      <c r="B140" s="41" t="s">
        <v>430</v>
      </c>
      <c r="C140" s="105">
        <f>COUNT(D195:D200)*21+COUNT(D202:D206)*6+COUNT(D211:D214)</f>
        <v>160</v>
      </c>
      <c r="D140" s="105"/>
      <c r="E140" s="106">
        <f>SUM(F195:F200)*21+SUM(F202:F206)*6+SUM(F211:F214)</f>
        <v>113395.36010400001</v>
      </c>
      <c r="F140" s="106"/>
      <c r="G140" s="106">
        <f>SUM(H195:H200)*21+SUM(H202:H206)*6+SUM(H211:H214)</f>
        <v>170093.04015599997</v>
      </c>
      <c r="H140" s="106"/>
      <c r="J140" s="32">
        <f>126+30+4</f>
        <v>160</v>
      </c>
      <c r="T140"/>
    </row>
    <row r="141" spans="1:22" s="32" customFormat="1" ht="15.6" customHeight="1" x14ac:dyDescent="0.3">
      <c r="A141" s="103" t="s">
        <v>448</v>
      </c>
      <c r="B141" s="41" t="s">
        <v>445</v>
      </c>
      <c r="C141" s="105">
        <f>COUNT(D184)*8</f>
        <v>8</v>
      </c>
      <c r="D141" s="105"/>
      <c r="E141" s="106">
        <f t="shared" ref="E141" si="6">SUM(F184)*8</f>
        <v>2530.4872319999999</v>
      </c>
      <c r="F141" s="106"/>
      <c r="G141" s="106">
        <f t="shared" ref="G141" si="7">SUM(H184)*8</f>
        <v>3795.7308480000002</v>
      </c>
      <c r="H141" s="106"/>
      <c r="T141"/>
    </row>
    <row r="142" spans="1:22" s="32" customFormat="1" ht="15.6" customHeight="1" x14ac:dyDescent="0.3">
      <c r="A142" s="104"/>
      <c r="B142" s="41" t="s">
        <v>430</v>
      </c>
      <c r="C142" s="105">
        <f>COUNT(D207)*6</f>
        <v>6</v>
      </c>
      <c r="D142" s="105"/>
      <c r="E142" s="106">
        <f t="shared" ref="E142" si="8">SUM(F207)*5</f>
        <v>1454.5931399999999</v>
      </c>
      <c r="F142" s="106"/>
      <c r="G142" s="106">
        <f t="shared" ref="G142" si="9">SUM(H207)*5</f>
        <v>2181.8897099999999</v>
      </c>
      <c r="H142" s="106"/>
      <c r="T142"/>
    </row>
    <row r="143" spans="1:22" s="32" customFormat="1" x14ac:dyDescent="0.3">
      <c r="A143" s="107" t="s">
        <v>454</v>
      </c>
      <c r="B143" s="107"/>
      <c r="C143" s="156">
        <f>C139+C140</f>
        <v>308</v>
      </c>
      <c r="D143" s="156"/>
      <c r="E143" s="108">
        <f>E139+E140</f>
        <v>263410.04196</v>
      </c>
      <c r="F143" s="108"/>
      <c r="G143" s="108">
        <f>G139+G140</f>
        <v>395115.06293999997</v>
      </c>
      <c r="H143" s="108"/>
      <c r="T143"/>
    </row>
    <row r="144" spans="1:22" s="32" customFormat="1" ht="16.2" thickBot="1" x14ac:dyDescent="0.35">
      <c r="A144" s="107" t="s">
        <v>449</v>
      </c>
      <c r="B144" s="107"/>
      <c r="C144" s="108">
        <f>C141+C142</f>
        <v>14</v>
      </c>
      <c r="D144" s="108"/>
      <c r="E144" s="108">
        <f>E141+E142</f>
        <v>3985.0803719999999</v>
      </c>
      <c r="F144" s="108"/>
      <c r="G144" s="108">
        <f>G141+G142</f>
        <v>5977.6205580000005</v>
      </c>
      <c r="H144" s="108"/>
      <c r="T144"/>
    </row>
    <row r="145" spans="1:20" s="32" customFormat="1" ht="16.2" thickBot="1" x14ac:dyDescent="0.35">
      <c r="A145" s="163" t="s">
        <v>161</v>
      </c>
      <c r="B145" s="164"/>
      <c r="C145" s="177">
        <f>C136+C143+C144</f>
        <v>340</v>
      </c>
      <c r="D145" s="178"/>
      <c r="E145" s="177">
        <f t="shared" ref="E145" si="10">E136+E143+E144</f>
        <v>281695.98974400002</v>
      </c>
      <c r="F145" s="178"/>
      <c r="G145" s="177">
        <f>G136+G143+G144</f>
        <v>423259.02798659995</v>
      </c>
      <c r="H145" s="178"/>
      <c r="T145"/>
    </row>
    <row r="146" spans="1:20" s="31" customFormat="1" x14ac:dyDescent="0.3">
      <c r="A146" s="128" t="s">
        <v>351</v>
      </c>
      <c r="B146" s="128"/>
      <c r="C146" s="128"/>
      <c r="D146" s="128"/>
      <c r="E146" s="128"/>
      <c r="F146" s="128"/>
      <c r="G146" s="128"/>
      <c r="H146" s="128"/>
      <c r="T146" s="32"/>
    </row>
    <row r="147" spans="1:20" x14ac:dyDescent="0.3">
      <c r="A147" s="139" t="s">
        <v>170</v>
      </c>
      <c r="B147" s="139"/>
      <c r="C147" s="139"/>
      <c r="D147" s="139"/>
      <c r="E147" s="139"/>
      <c r="F147" s="139"/>
      <c r="G147" s="139"/>
      <c r="H147" s="139"/>
      <c r="T147" s="32"/>
    </row>
    <row r="148" spans="1:20" ht="47.25" customHeight="1" x14ac:dyDescent="0.3">
      <c r="A148" s="131" t="s">
        <v>419</v>
      </c>
      <c r="B148" s="131" t="s">
        <v>171</v>
      </c>
      <c r="C148" s="131" t="s">
        <v>54</v>
      </c>
      <c r="D148" s="131" t="s">
        <v>227</v>
      </c>
      <c r="E148" s="165" t="s">
        <v>151</v>
      </c>
      <c r="F148" s="131" t="s">
        <v>55</v>
      </c>
      <c r="G148" s="165" t="s">
        <v>56</v>
      </c>
      <c r="H148" s="93" t="s">
        <v>144</v>
      </c>
      <c r="T148" s="32"/>
    </row>
    <row r="149" spans="1:20" s="34" customFormat="1" x14ac:dyDescent="0.3">
      <c r="A149" s="132"/>
      <c r="B149" s="132"/>
      <c r="C149" s="132"/>
      <c r="D149" s="132"/>
      <c r="E149" s="166"/>
      <c r="F149" s="132"/>
      <c r="G149" s="166"/>
      <c r="H149" s="94">
        <v>0.55000000000000004</v>
      </c>
      <c r="T149" s="32"/>
    </row>
    <row r="150" spans="1:20" s="34" customFormat="1" x14ac:dyDescent="0.3">
      <c r="A150" s="168" t="s">
        <v>416</v>
      </c>
      <c r="B150" s="169"/>
      <c r="C150" s="169"/>
      <c r="D150" s="169"/>
      <c r="E150" s="169"/>
      <c r="F150" s="169"/>
      <c r="G150" s="169"/>
      <c r="H150" s="170"/>
      <c r="J150" s="33"/>
      <c r="T150" s="32"/>
    </row>
    <row r="151" spans="1:20" s="34" customFormat="1" x14ac:dyDescent="0.3">
      <c r="A151" s="157" t="s">
        <v>417</v>
      </c>
      <c r="B151" s="158"/>
      <c r="C151" s="158"/>
      <c r="D151" s="158"/>
      <c r="E151" s="158"/>
      <c r="F151" s="158"/>
      <c r="G151" s="158"/>
      <c r="H151" s="159"/>
      <c r="J151" s="33"/>
      <c r="L151" s="39">
        <v>10.763999999999999</v>
      </c>
      <c r="T151" s="32"/>
    </row>
    <row r="152" spans="1:20" s="34" customFormat="1" ht="15.75" customHeight="1" x14ac:dyDescent="0.3">
      <c r="A152" s="100">
        <v>1</v>
      </c>
      <c r="B152" s="102"/>
      <c r="C152" s="39" t="s">
        <v>418</v>
      </c>
      <c r="D152" s="39">
        <f>(56.119)*10.764</f>
        <v>604.06491599999993</v>
      </c>
      <c r="E152" s="39">
        <v>0</v>
      </c>
      <c r="F152" s="39">
        <f>D152+(IF(E152&lt;201,E152,IF(E152&lt;301,E152/2,E152/3)))</f>
        <v>604.06491599999993</v>
      </c>
      <c r="G152" s="39">
        <v>0</v>
      </c>
      <c r="H152" s="39">
        <f>(F152+(IF(G152&lt;101,G152,IF(G152&lt;201,G152/2,IF(G152&lt;=301,G152/3,G152/4)))))*(($H$149)+1)</f>
        <v>936.30061979999994</v>
      </c>
      <c r="I152" s="33"/>
      <c r="L152" s="112"/>
      <c r="M152" s="112"/>
      <c r="N152" s="33"/>
      <c r="T152" s="32"/>
    </row>
    <row r="153" spans="1:20" s="34" customFormat="1" ht="15.75" customHeight="1" x14ac:dyDescent="0.3">
      <c r="A153" s="100">
        <f>A152+1</f>
        <v>2</v>
      </c>
      <c r="B153" s="102"/>
      <c r="C153" s="39" t="s">
        <v>418</v>
      </c>
      <c r="D153" s="39">
        <f>(55.429)*10.764</f>
        <v>596.63775599999997</v>
      </c>
      <c r="E153" s="39">
        <v>0</v>
      </c>
      <c r="F153" s="39">
        <f>D153+(IF(E153&lt;201,E153,IF(E153&lt;301,E153/2,E153/3)))</f>
        <v>596.63775599999997</v>
      </c>
      <c r="G153" s="39">
        <v>0</v>
      </c>
      <c r="H153" s="39">
        <f>(F153+(IF(G153&lt;101,G153,IF(G153&lt;201,G153/2,IF(G153&lt;=301,G153/3,G153/4)))))*(($H$149)+1)</f>
        <v>924.78852180000001</v>
      </c>
      <c r="I153" s="33"/>
      <c r="L153" s="112"/>
      <c r="M153" s="112"/>
      <c r="N153" s="33"/>
      <c r="T153" s="31"/>
    </row>
    <row r="154" spans="1:20" s="34" customFormat="1" ht="15.75" customHeight="1" x14ac:dyDescent="0.3">
      <c r="A154" s="100">
        <f>A153+1</f>
        <v>3</v>
      </c>
      <c r="B154" s="102"/>
      <c r="C154" s="39" t="s">
        <v>418</v>
      </c>
      <c r="D154" s="39">
        <f>(83.116)*10.764</f>
        <v>894.66062399999998</v>
      </c>
      <c r="E154" s="39">
        <v>0</v>
      </c>
      <c r="F154" s="39">
        <f>D154+(IF(E154&lt;201,E154,IF(E154&lt;301,E154/2,E154/3)))</f>
        <v>894.66062399999998</v>
      </c>
      <c r="G154" s="39">
        <v>0</v>
      </c>
      <c r="H154" s="39">
        <f>(F154+(IF(G154&lt;101,G154,IF(G154&lt;201,G154/2,IF(G154&lt;=301,G154/3,G154/4)))))*(($H$149)+1)</f>
        <v>1386.7239672000001</v>
      </c>
      <c r="I154" s="33"/>
      <c r="L154" s="112"/>
      <c r="M154" s="112"/>
      <c r="N154" s="33"/>
      <c r="T154" s="18"/>
    </row>
    <row r="155" spans="1:20" s="34" customFormat="1" ht="15.75" customHeight="1" x14ac:dyDescent="0.3">
      <c r="A155" s="100">
        <f>A154+1</f>
        <v>4</v>
      </c>
      <c r="B155" s="102"/>
      <c r="C155" s="39" t="s">
        <v>418</v>
      </c>
      <c r="D155" s="39">
        <f>(49.234)*10.764</f>
        <v>529.95477600000004</v>
      </c>
      <c r="E155" s="39">
        <v>0</v>
      </c>
      <c r="F155" s="39">
        <f>D155+(IF(E155&lt;201,E155,IF(E155&lt;301,E155/2,E155/3)))</f>
        <v>529.95477600000004</v>
      </c>
      <c r="G155" s="39">
        <v>0</v>
      </c>
      <c r="H155" s="39">
        <f>(F155+(IF(G155&lt;101,G155,IF(G155&lt;201,G155/2,IF(G155&lt;=301,G155/3,G155/4)))))*(($H$149)+1)</f>
        <v>821.42990280000004</v>
      </c>
      <c r="I155" s="33"/>
      <c r="J155" s="34">
        <f>2.866*16.987</f>
        <v>48.684742</v>
      </c>
      <c r="L155" s="112"/>
      <c r="M155" s="112"/>
      <c r="N155" s="33"/>
      <c r="T155" s="18"/>
    </row>
    <row r="156" spans="1:20" s="34" customFormat="1" ht="15.75" customHeight="1" x14ac:dyDescent="0.3">
      <c r="A156" s="100">
        <f t="shared" ref="A156:A163" si="11">A155+1</f>
        <v>5</v>
      </c>
      <c r="B156" s="102"/>
      <c r="C156" s="39" t="s">
        <v>418</v>
      </c>
      <c r="D156" s="39">
        <f>(47.209)*10.764</f>
        <v>508.15767599999998</v>
      </c>
      <c r="E156" s="39">
        <v>0</v>
      </c>
      <c r="F156" s="39">
        <f t="shared" ref="F156:F163" si="12">D156+(IF(E156&lt;201,E156,IF(E156&lt;301,E156/2,E156/3)))</f>
        <v>508.15767599999998</v>
      </c>
      <c r="G156" s="39">
        <v>0</v>
      </c>
      <c r="H156" s="39">
        <f t="shared" ref="H156:H163" si="13">(F156+(IF(G156&lt;101,G156,IF(G156&lt;201,G156/2,IF(G156&lt;=301,G156/3,G156/4)))))*(($H$149)+1)</f>
        <v>787.64439779999998</v>
      </c>
      <c r="I156" s="33"/>
      <c r="L156" s="112"/>
      <c r="M156" s="112"/>
      <c r="N156" s="33"/>
      <c r="T156" s="18"/>
    </row>
    <row r="157" spans="1:20" s="34" customFormat="1" ht="15.75" customHeight="1" x14ac:dyDescent="0.3">
      <c r="A157" s="100">
        <f t="shared" si="11"/>
        <v>6</v>
      </c>
      <c r="B157" s="102"/>
      <c r="C157" s="39" t="s">
        <v>418</v>
      </c>
      <c r="D157" s="39">
        <f>(66.755)*10.764</f>
        <v>718.55081999999993</v>
      </c>
      <c r="E157" s="39">
        <v>0</v>
      </c>
      <c r="F157" s="39">
        <f t="shared" si="12"/>
        <v>718.55081999999993</v>
      </c>
      <c r="G157" s="39">
        <v>0</v>
      </c>
      <c r="H157" s="39">
        <f t="shared" si="13"/>
        <v>1113.7537709999999</v>
      </c>
      <c r="I157" s="33"/>
      <c r="L157" s="112"/>
      <c r="M157" s="112"/>
      <c r="N157" s="33"/>
      <c r="T157" s="18"/>
    </row>
    <row r="158" spans="1:20" s="34" customFormat="1" ht="15.75" customHeight="1" x14ac:dyDescent="0.3">
      <c r="A158" s="100">
        <f t="shared" si="11"/>
        <v>7</v>
      </c>
      <c r="B158" s="102"/>
      <c r="C158" s="39" t="s">
        <v>418</v>
      </c>
      <c r="D158" s="39">
        <f>(66.685)*10.764</f>
        <v>717.79733999999996</v>
      </c>
      <c r="E158" s="39">
        <v>0</v>
      </c>
      <c r="F158" s="39">
        <f t="shared" si="12"/>
        <v>717.79733999999996</v>
      </c>
      <c r="G158" s="39">
        <v>0</v>
      </c>
      <c r="H158" s="39">
        <f t="shared" si="13"/>
        <v>1112.585877</v>
      </c>
      <c r="I158" s="33"/>
      <c r="L158" s="112">
        <v>12000000</v>
      </c>
      <c r="M158" s="112"/>
      <c r="N158" s="33">
        <f>L158/H159</f>
        <v>17015.456730293328</v>
      </c>
      <c r="T158" s="18"/>
    </row>
    <row r="159" spans="1:20" s="34" customFormat="1" ht="15.75" customHeight="1" x14ac:dyDescent="0.3">
      <c r="A159" s="100">
        <f t="shared" si="11"/>
        <v>8</v>
      </c>
      <c r="B159" s="102"/>
      <c r="C159" s="39" t="s">
        <v>418</v>
      </c>
      <c r="D159" s="39">
        <f>(42.27)*10.764</f>
        <v>454.99428</v>
      </c>
      <c r="E159" s="39">
        <v>0</v>
      </c>
      <c r="F159" s="39">
        <f t="shared" si="12"/>
        <v>454.99428</v>
      </c>
      <c r="G159" s="39">
        <v>0</v>
      </c>
      <c r="H159" s="39">
        <f t="shared" si="13"/>
        <v>705.24113399999999</v>
      </c>
      <c r="I159" s="33"/>
      <c r="L159" s="112"/>
      <c r="M159" s="112"/>
      <c r="N159" s="33"/>
      <c r="T159" s="18"/>
    </row>
    <row r="160" spans="1:20" s="34" customFormat="1" ht="15.75" customHeight="1" x14ac:dyDescent="0.3">
      <c r="A160" s="100">
        <f t="shared" si="11"/>
        <v>9</v>
      </c>
      <c r="B160" s="102"/>
      <c r="C160" s="39" t="s">
        <v>418</v>
      </c>
      <c r="D160" s="39">
        <f>(42.472)*10.764</f>
        <v>457.16860800000001</v>
      </c>
      <c r="E160" s="39">
        <v>0</v>
      </c>
      <c r="F160" s="39">
        <f t="shared" si="12"/>
        <v>457.16860800000001</v>
      </c>
      <c r="G160" s="39">
        <v>0</v>
      </c>
      <c r="H160" s="39">
        <f t="shared" si="13"/>
        <v>708.61134240000001</v>
      </c>
      <c r="I160" s="33"/>
      <c r="L160" s="112"/>
      <c r="M160" s="112"/>
      <c r="N160" s="33"/>
      <c r="T160" s="18"/>
    </row>
    <row r="161" spans="1:20" s="34" customFormat="1" ht="15.75" customHeight="1" x14ac:dyDescent="0.3">
      <c r="A161" s="100">
        <f t="shared" si="11"/>
        <v>10</v>
      </c>
      <c r="B161" s="102"/>
      <c r="C161" s="39" t="s">
        <v>418</v>
      </c>
      <c r="D161" s="39">
        <f>(72.964)*10.764</f>
        <v>785.3844959999999</v>
      </c>
      <c r="E161" s="39">
        <v>0</v>
      </c>
      <c r="F161" s="39">
        <f t="shared" si="12"/>
        <v>785.3844959999999</v>
      </c>
      <c r="G161" s="39">
        <v>0</v>
      </c>
      <c r="H161" s="39">
        <f t="shared" si="13"/>
        <v>1217.3459687999998</v>
      </c>
      <c r="I161" s="33"/>
      <c r="L161" s="112"/>
      <c r="M161" s="112"/>
      <c r="N161" s="33"/>
      <c r="T161" s="18"/>
    </row>
    <row r="162" spans="1:20" s="34" customFormat="1" ht="15.75" customHeight="1" x14ac:dyDescent="0.3">
      <c r="A162" s="100">
        <f t="shared" si="11"/>
        <v>11</v>
      </c>
      <c r="B162" s="102"/>
      <c r="C162" s="39" t="s">
        <v>418</v>
      </c>
      <c r="D162" s="39">
        <f>(47.739)*10.764</f>
        <v>513.86259599999994</v>
      </c>
      <c r="E162" s="39">
        <v>0</v>
      </c>
      <c r="F162" s="39">
        <f t="shared" si="12"/>
        <v>513.86259599999994</v>
      </c>
      <c r="G162" s="39">
        <v>0</v>
      </c>
      <c r="H162" s="39">
        <f t="shared" si="13"/>
        <v>796.48702379999997</v>
      </c>
      <c r="I162" s="33"/>
      <c r="L162" s="112"/>
      <c r="M162" s="112"/>
      <c r="N162" s="33"/>
      <c r="T162" s="18"/>
    </row>
    <row r="163" spans="1:20" s="34" customFormat="1" ht="15.75" customHeight="1" x14ac:dyDescent="0.3">
      <c r="A163" s="100">
        <f t="shared" si="11"/>
        <v>12</v>
      </c>
      <c r="B163" s="102"/>
      <c r="C163" s="39" t="s">
        <v>418</v>
      </c>
      <c r="D163" s="39">
        <f>(48.458)*10.764</f>
        <v>521.60191199999997</v>
      </c>
      <c r="E163" s="39">
        <v>0</v>
      </c>
      <c r="F163" s="39">
        <f t="shared" si="12"/>
        <v>521.60191199999997</v>
      </c>
      <c r="G163" s="39">
        <v>0</v>
      </c>
      <c r="H163" s="39">
        <f t="shared" si="13"/>
        <v>808.48296359999995</v>
      </c>
      <c r="I163" s="33"/>
      <c r="L163" s="112"/>
      <c r="M163" s="112"/>
      <c r="N163" s="33"/>
      <c r="T163" s="18"/>
    </row>
    <row r="164" spans="1:20" s="34" customFormat="1" x14ac:dyDescent="0.3">
      <c r="A164" s="157" t="s">
        <v>420</v>
      </c>
      <c r="B164" s="158"/>
      <c r="C164" s="158"/>
      <c r="D164" s="158"/>
      <c r="E164" s="158"/>
      <c r="F164" s="158"/>
      <c r="G164" s="158"/>
      <c r="H164" s="159"/>
      <c r="J164" s="33"/>
      <c r="T164" s="32"/>
    </row>
    <row r="165" spans="1:20" s="34" customFormat="1" x14ac:dyDescent="0.3">
      <c r="A165" s="157" t="s">
        <v>421</v>
      </c>
      <c r="B165" s="158"/>
      <c r="C165" s="158"/>
      <c r="D165" s="158"/>
      <c r="E165" s="158"/>
      <c r="F165" s="158"/>
      <c r="G165" s="158"/>
      <c r="H165" s="159"/>
      <c r="J165" s="33"/>
      <c r="T165" s="32"/>
    </row>
    <row r="166" spans="1:20" s="34" customFormat="1" ht="15.75" customHeight="1" x14ac:dyDescent="0.3">
      <c r="A166" s="100">
        <v>1</v>
      </c>
      <c r="B166" s="102"/>
      <c r="C166" s="39" t="s">
        <v>422</v>
      </c>
      <c r="D166" s="39">
        <f>(210.55)*10.764</f>
        <v>2266.3602000000001</v>
      </c>
      <c r="E166" s="39">
        <v>0</v>
      </c>
      <c r="F166" s="39">
        <f>D166+(IF(E166&lt;201,E166,IF(E166&lt;301,E166/2,E166/3)))</f>
        <v>2266.3602000000001</v>
      </c>
      <c r="G166" s="39">
        <v>0</v>
      </c>
      <c r="H166" s="39">
        <f>(F166+(IF(G166&lt;101,G166,IF(G166&lt;201,G166/2,IF(G166&lt;=301,G166/3,G166/4)))))*(($H$149)+1)</f>
        <v>3512.8583100000001</v>
      </c>
      <c r="I166" s="33"/>
      <c r="J166" s="34">
        <f>11.785*17.45</f>
        <v>205.64824999999999</v>
      </c>
      <c r="L166" s="112"/>
      <c r="M166" s="112"/>
      <c r="N166" s="33"/>
      <c r="T166" s="32"/>
    </row>
    <row r="167" spans="1:20" s="34" customFormat="1" ht="15.75" customHeight="1" x14ac:dyDescent="0.3">
      <c r="A167" s="100">
        <f>A166+1</f>
        <v>2</v>
      </c>
      <c r="B167" s="102"/>
      <c r="C167" s="39" t="s">
        <v>422</v>
      </c>
      <c r="D167" s="39">
        <f>(77.34)*10.764</f>
        <v>832.48775999999998</v>
      </c>
      <c r="E167" s="39">
        <v>0</v>
      </c>
      <c r="F167" s="39">
        <f>D167+(IF(E167&lt;201,E167,IF(E167&lt;301,E167/2,E167/3)))</f>
        <v>832.48775999999998</v>
      </c>
      <c r="G167" s="39">
        <v>0</v>
      </c>
      <c r="H167" s="39">
        <f>(F167+(IF(G167&lt;101,G167,IF(G167&lt;201,G167/2,IF(G167&lt;=301,G167/3,G167/4)))))*(($H$149)+1)</f>
        <v>1290.3560279999999</v>
      </c>
      <c r="I167" s="33"/>
      <c r="L167" s="112"/>
      <c r="M167" s="112"/>
      <c r="N167" s="33"/>
      <c r="T167" s="31"/>
    </row>
    <row r="168" spans="1:20" s="34" customFormat="1" ht="15.75" customHeight="1" x14ac:dyDescent="0.3">
      <c r="A168" s="100">
        <f>A167+1</f>
        <v>3</v>
      </c>
      <c r="B168" s="102"/>
      <c r="C168" s="39" t="s">
        <v>422</v>
      </c>
      <c r="D168" s="39">
        <f>(117.311)*10.764</f>
        <v>1262.735604</v>
      </c>
      <c r="E168" s="39">
        <v>0</v>
      </c>
      <c r="F168" s="39">
        <f>D168+(IF(E168&lt;201,E168,IF(E168&lt;301,E168/2,E168/3)))</f>
        <v>1262.735604</v>
      </c>
      <c r="G168" s="39">
        <v>0</v>
      </c>
      <c r="H168" s="39">
        <f>(F168+(IF(G168&lt;101,G168,IF(G168&lt;201,G168/2,IF(G168&lt;=301,G168/3,G168/4)))))*(($H$149)+1)</f>
        <v>1957.2401861999999</v>
      </c>
      <c r="I168" s="33"/>
      <c r="L168" s="112"/>
      <c r="M168" s="112"/>
      <c r="N168" s="33"/>
      <c r="T168" s="18"/>
    </row>
    <row r="169" spans="1:20" s="34" customFormat="1" ht="15.75" customHeight="1" x14ac:dyDescent="0.3">
      <c r="A169" s="100">
        <f>A168+1</f>
        <v>4</v>
      </c>
      <c r="B169" s="102"/>
      <c r="C169" s="39" t="s">
        <v>422</v>
      </c>
      <c r="D169" s="39">
        <f>(76.888)*10.764</f>
        <v>827.622432</v>
      </c>
      <c r="E169" s="39">
        <v>0</v>
      </c>
      <c r="F169" s="39">
        <f>D169+(IF(E169&lt;201,E169,IF(E169&lt;301,E169/2,E169/3)))</f>
        <v>827.622432</v>
      </c>
      <c r="G169" s="39">
        <v>0</v>
      </c>
      <c r="H169" s="39">
        <f>(F169+(IF(G169&lt;101,G169,IF(G169&lt;201,G169/2,IF(G169&lt;=301,G169/3,G169/4)))))*(($H$149)+1)</f>
        <v>1282.8147696000001</v>
      </c>
      <c r="I169" s="33"/>
      <c r="L169" s="112"/>
      <c r="M169" s="112"/>
      <c r="N169" s="33"/>
      <c r="T169" s="18"/>
    </row>
    <row r="170" spans="1:20" s="34" customFormat="1" ht="15.75" customHeight="1" x14ac:dyDescent="0.3">
      <c r="A170" s="100">
        <f t="shared" ref="A170:A171" si="14">A169+1</f>
        <v>5</v>
      </c>
      <c r="B170" s="102"/>
      <c r="C170" s="39" t="s">
        <v>422</v>
      </c>
      <c r="D170" s="39">
        <f>(71.208)*10.764</f>
        <v>766.48291199999994</v>
      </c>
      <c r="E170" s="39">
        <v>0</v>
      </c>
      <c r="F170" s="39">
        <f t="shared" ref="F170:F171" si="15">D170+(IF(E170&lt;201,E170,IF(E170&lt;301,E170/2,E170/3)))</f>
        <v>766.48291199999994</v>
      </c>
      <c r="G170" s="39">
        <v>0</v>
      </c>
      <c r="H170" s="39">
        <f t="shared" ref="H170:H171" si="16">(F170+(IF(G170&lt;101,G170,IF(G170&lt;201,G170/2,IF(G170&lt;=301,G170/3,G170/4)))))*(($H$149)+1)</f>
        <v>1188.0485136</v>
      </c>
      <c r="I170" s="33"/>
      <c r="L170" s="112"/>
      <c r="M170" s="112"/>
      <c r="N170" s="33"/>
      <c r="T170" s="18"/>
    </row>
    <row r="171" spans="1:20" s="34" customFormat="1" ht="15.75" customHeight="1" x14ac:dyDescent="0.3">
      <c r="A171" s="100">
        <f t="shared" si="14"/>
        <v>6</v>
      </c>
      <c r="B171" s="102"/>
      <c r="C171" s="39" t="s">
        <v>422</v>
      </c>
      <c r="D171" s="39">
        <f>(96.836)*10.764</f>
        <v>1042.3427039999999</v>
      </c>
      <c r="E171" s="39">
        <v>0</v>
      </c>
      <c r="F171" s="39">
        <f t="shared" si="15"/>
        <v>1042.3427039999999</v>
      </c>
      <c r="G171" s="39">
        <v>0</v>
      </c>
      <c r="H171" s="39">
        <f t="shared" si="16"/>
        <v>1615.6311911999999</v>
      </c>
      <c r="I171" s="33"/>
      <c r="L171" s="112"/>
      <c r="M171" s="112"/>
      <c r="N171" s="33"/>
      <c r="T171" s="18"/>
    </row>
    <row r="172" spans="1:20" s="34" customFormat="1" x14ac:dyDescent="0.3">
      <c r="A172" s="100"/>
      <c r="B172" s="101"/>
      <c r="C172" s="101"/>
      <c r="D172" s="101"/>
      <c r="E172" s="101"/>
      <c r="F172" s="101"/>
      <c r="G172" s="101"/>
      <c r="H172" s="102"/>
      <c r="I172" s="33"/>
      <c r="N172" s="33"/>
    </row>
    <row r="173" spans="1:20" ht="47.25" customHeight="1" x14ac:dyDescent="0.3">
      <c r="A173" s="129" t="s">
        <v>115</v>
      </c>
      <c r="B173" s="131" t="s">
        <v>172</v>
      </c>
      <c r="C173" s="131" t="s">
        <v>54</v>
      </c>
      <c r="D173" s="131" t="s">
        <v>372</v>
      </c>
      <c r="E173" s="131" t="s">
        <v>442</v>
      </c>
      <c r="F173" s="131" t="s">
        <v>55</v>
      </c>
      <c r="G173" s="165" t="s">
        <v>56</v>
      </c>
      <c r="H173" s="93" t="s">
        <v>144</v>
      </c>
      <c r="I173" s="33"/>
      <c r="T173" s="34"/>
    </row>
    <row r="174" spans="1:20" s="34" customFormat="1" x14ac:dyDescent="0.3">
      <c r="A174" s="130"/>
      <c r="B174" s="132"/>
      <c r="C174" s="132"/>
      <c r="D174" s="132"/>
      <c r="E174" s="132"/>
      <c r="F174" s="132"/>
      <c r="G174" s="166"/>
      <c r="H174" s="94">
        <v>0.5</v>
      </c>
      <c r="I174" s="33"/>
      <c r="M174" s="34">
        <f>50*39</f>
        <v>1950</v>
      </c>
    </row>
    <row r="175" spans="1:20" s="34" customFormat="1" x14ac:dyDescent="0.3">
      <c r="A175" s="168" t="s">
        <v>416</v>
      </c>
      <c r="B175" s="169"/>
      <c r="C175" s="169"/>
      <c r="D175" s="169"/>
      <c r="E175" s="169"/>
      <c r="F175" s="169"/>
      <c r="G175" s="169"/>
      <c r="H175" s="170"/>
      <c r="I175" s="34">
        <v>1</v>
      </c>
      <c r="J175" s="33"/>
    </row>
    <row r="176" spans="1:20" s="34" customFormat="1" x14ac:dyDescent="0.3">
      <c r="A176" s="157" t="s">
        <v>423</v>
      </c>
      <c r="B176" s="158"/>
      <c r="C176" s="158"/>
      <c r="D176" s="158"/>
      <c r="E176" s="158"/>
      <c r="F176" s="158"/>
      <c r="G176" s="158"/>
      <c r="H176" s="159"/>
      <c r="I176" s="34">
        <v>4</v>
      </c>
      <c r="J176" s="33"/>
    </row>
    <row r="177" spans="1:20" s="34" customFormat="1" x14ac:dyDescent="0.3">
      <c r="A177" s="157" t="s">
        <v>424</v>
      </c>
      <c r="B177" s="158"/>
      <c r="C177" s="158"/>
      <c r="D177" s="158"/>
      <c r="E177" s="158"/>
      <c r="F177" s="158"/>
      <c r="G177" s="158"/>
      <c r="H177" s="159"/>
      <c r="I177" s="34">
        <v>1</v>
      </c>
      <c r="J177" s="33"/>
      <c r="K177" s="39">
        <v>10.763999999999999</v>
      </c>
    </row>
    <row r="178" spans="1:20" s="34" customFormat="1" ht="35.4" customHeight="1" x14ac:dyDescent="0.3">
      <c r="A178" s="171" t="s">
        <v>429</v>
      </c>
      <c r="B178" s="171"/>
      <c r="C178" s="171"/>
      <c r="D178" s="171"/>
      <c r="E178" s="171"/>
      <c r="F178" s="171"/>
      <c r="G178" s="171"/>
      <c r="H178" s="171"/>
      <c r="I178" s="33">
        <f>4+4+4+4+4+4+4+3</f>
        <v>31</v>
      </c>
      <c r="L178" s="112"/>
      <c r="M178" s="112"/>
    </row>
    <row r="179" spans="1:20" s="34" customFormat="1" x14ac:dyDescent="0.3">
      <c r="A179" s="39">
        <v>1</v>
      </c>
      <c r="B179" s="39" t="s">
        <v>456</v>
      </c>
      <c r="C179" s="39" t="s">
        <v>428</v>
      </c>
      <c r="D179" s="39">
        <f>(83.328)*10.764</f>
        <v>896.94259199999999</v>
      </c>
      <c r="E179" s="39">
        <f>(2.826)*10.764</f>
        <v>30.419063999999999</v>
      </c>
      <c r="F179" s="39">
        <f>D179+E179</f>
        <v>927.36165600000004</v>
      </c>
      <c r="G179" s="39">
        <v>0</v>
      </c>
      <c r="H179" s="39">
        <f>F179*(($H$174)+1)+(IF(G179&lt;101,G179,IF(G179&lt;201,G179/2,IF(G179&lt;=301,G179/3,G179/4))))</f>
        <v>1391.0424840000001</v>
      </c>
      <c r="I179" s="33"/>
      <c r="N179" s="33"/>
    </row>
    <row r="180" spans="1:20" s="34" customFormat="1" x14ac:dyDescent="0.3">
      <c r="A180" s="39">
        <f>A179+1</f>
        <v>2</v>
      </c>
      <c r="B180" s="39" t="s">
        <v>456</v>
      </c>
      <c r="C180" s="39" t="s">
        <v>428</v>
      </c>
      <c r="D180" s="39">
        <f>(95.443)*10.764</f>
        <v>1027.348452</v>
      </c>
      <c r="E180" s="39">
        <f>(3)*10.764</f>
        <v>32.292000000000002</v>
      </c>
      <c r="F180" s="39">
        <f>D180+E180</f>
        <v>1059.6404519999999</v>
      </c>
      <c r="G180" s="39">
        <v>0</v>
      </c>
      <c r="H180" s="39">
        <f>F180*(($H$174)+1)+(IF(G180&lt;101,G180,IF(G180&lt;201,G180/2,IF(G180&lt;=301,G180/3,G180/4))))</f>
        <v>1589.4606779999999</v>
      </c>
      <c r="I180" s="33"/>
      <c r="M180" s="34">
        <v>27500000</v>
      </c>
      <c r="N180" s="33">
        <f>M180/H180</f>
        <v>17301.466076281253</v>
      </c>
    </row>
    <row r="181" spans="1:20" s="34" customFormat="1" x14ac:dyDescent="0.3">
      <c r="A181" s="39">
        <f>A180+1</f>
        <v>3</v>
      </c>
      <c r="B181" s="39" t="s">
        <v>456</v>
      </c>
      <c r="C181" s="39" t="s">
        <v>428</v>
      </c>
      <c r="D181" s="39">
        <f>(95.443)*10.764</f>
        <v>1027.348452</v>
      </c>
      <c r="E181" s="39">
        <f>(3)*10.764</f>
        <v>32.292000000000002</v>
      </c>
      <c r="F181" s="39">
        <f>D181+E181</f>
        <v>1059.6404519999999</v>
      </c>
      <c r="G181" s="39">
        <v>0</v>
      </c>
      <c r="H181" s="39">
        <f>F181*(($H$174)+1)+(IF(G181&lt;101,G181,IF(G181&lt;201,G181/2,IF(G181&lt;=301,G181/3,G181/4))))</f>
        <v>1589.4606779999999</v>
      </c>
      <c r="I181" s="33"/>
      <c r="N181" s="33"/>
    </row>
    <row r="182" spans="1:20" s="34" customFormat="1" x14ac:dyDescent="0.3">
      <c r="A182" s="39">
        <f>A181+1</f>
        <v>4</v>
      </c>
      <c r="B182" s="39" t="s">
        <v>456</v>
      </c>
      <c r="C182" s="39" t="s">
        <v>428</v>
      </c>
      <c r="D182" s="39">
        <f>(89.084)*10.764</f>
        <v>958.90017599999999</v>
      </c>
      <c r="E182" s="39">
        <f>(2.9)*10.764</f>
        <v>31.215599999999998</v>
      </c>
      <c r="F182" s="39">
        <f>D182+E182</f>
        <v>990.11577599999998</v>
      </c>
      <c r="G182" s="39">
        <v>0</v>
      </c>
      <c r="H182" s="39">
        <f>F182*(($H$174)+1)+(IF(G182&lt;101,G182,IF(G182&lt;201,G182/2,IF(G182&lt;=301,G182/3,G182/4))))</f>
        <v>1485.1736639999999</v>
      </c>
      <c r="I182" s="33"/>
      <c r="N182" s="33"/>
    </row>
    <row r="183" spans="1:20" s="34" customFormat="1" ht="33.6" customHeight="1" x14ac:dyDescent="0.3">
      <c r="A183" s="157" t="s">
        <v>427</v>
      </c>
      <c r="B183" s="158"/>
      <c r="C183" s="158"/>
      <c r="D183" s="158"/>
      <c r="E183" s="158"/>
      <c r="F183" s="158"/>
      <c r="G183" s="158"/>
      <c r="H183" s="159"/>
      <c r="I183" s="34">
        <v>8</v>
      </c>
      <c r="J183" s="33"/>
    </row>
    <row r="184" spans="1:20" s="34" customFormat="1" ht="41.4" customHeight="1" x14ac:dyDescent="0.3">
      <c r="A184" s="39">
        <v>1</v>
      </c>
      <c r="B184" s="39" t="s">
        <v>446</v>
      </c>
      <c r="C184" s="39" t="s">
        <v>457</v>
      </c>
      <c r="D184" s="39">
        <f>(29.386)*10.764</f>
        <v>316.31090399999999</v>
      </c>
      <c r="E184" s="39">
        <v>0</v>
      </c>
      <c r="F184" s="39">
        <f>D184+E184</f>
        <v>316.31090399999999</v>
      </c>
      <c r="G184" s="39">
        <v>0</v>
      </c>
      <c r="H184" s="39">
        <f>F184*(($H$174)+1)+(IF(G184&lt;101,G184,IF(G184&lt;201,G184/2,IF(G184&lt;=301,G184/3,G184/4))))</f>
        <v>474.46635600000002</v>
      </c>
      <c r="I184" s="33"/>
      <c r="L184" s="112"/>
      <c r="M184" s="112"/>
      <c r="N184" s="33"/>
    </row>
    <row r="185" spans="1:20" s="34" customFormat="1" ht="15.75" customHeight="1" x14ac:dyDescent="0.3">
      <c r="A185" s="100" t="s">
        <v>425</v>
      </c>
      <c r="B185" s="102"/>
      <c r="C185" s="100" t="s">
        <v>426</v>
      </c>
      <c r="D185" s="101"/>
      <c r="E185" s="101"/>
      <c r="F185" s="101"/>
      <c r="G185" s="101"/>
      <c r="H185" s="102"/>
      <c r="I185" s="33"/>
      <c r="L185" s="112"/>
      <c r="M185" s="112"/>
      <c r="N185" s="33"/>
    </row>
    <row r="186" spans="1:20" s="34" customFormat="1" ht="15.75" customHeight="1" x14ac:dyDescent="0.3">
      <c r="A186" s="39">
        <f>A184+1</f>
        <v>2</v>
      </c>
      <c r="B186" s="39" t="s">
        <v>456</v>
      </c>
      <c r="C186" s="39" t="s">
        <v>428</v>
      </c>
      <c r="D186" s="39">
        <f>(95.443)*10.764</f>
        <v>1027.348452</v>
      </c>
      <c r="E186" s="39">
        <f>(3)*10.764</f>
        <v>32.292000000000002</v>
      </c>
      <c r="F186" s="39">
        <f>D186+E186</f>
        <v>1059.6404519999999</v>
      </c>
      <c r="G186" s="39">
        <v>0</v>
      </c>
      <c r="H186" s="39">
        <f>F186*(($H$174)+1)+(IF(G186&lt;101,G186,IF(G186&lt;201,G186/2,IF(G186&lt;=301,G186/3,G186/4))))</f>
        <v>1589.4606779999999</v>
      </c>
      <c r="I186" s="33"/>
      <c r="J186" s="95">
        <f>3.935*4.865+2.75*3.2+2.4*3.05+3.05*3.35+3.35*4.358+4.135*3.05+1.35*2.14+2.617*1.35+1.35*2.45+1.2*1.6+1.35*1.2+0.9*2.6+0.9*0.9</f>
        <v>89.111775000000009</v>
      </c>
      <c r="K186" s="34">
        <f>2*1.5</f>
        <v>3</v>
      </c>
      <c r="L186" s="112">
        <v>25000000</v>
      </c>
      <c r="M186" s="112"/>
      <c r="N186" s="33">
        <f>L186/H186</f>
        <v>15728.605523892049</v>
      </c>
    </row>
    <row r="187" spans="1:20" s="34" customFormat="1" ht="15.75" customHeight="1" x14ac:dyDescent="0.3">
      <c r="A187" s="39">
        <f>A186+1</f>
        <v>3</v>
      </c>
      <c r="B187" s="39" t="s">
        <v>456</v>
      </c>
      <c r="C187" s="39" t="s">
        <v>428</v>
      </c>
      <c r="D187" s="39">
        <f>(95.443)*10.764</f>
        <v>1027.348452</v>
      </c>
      <c r="E187" s="39">
        <f>(3)*10.764</f>
        <v>32.292000000000002</v>
      </c>
      <c r="F187" s="39">
        <f>D187+E187</f>
        <v>1059.6404519999999</v>
      </c>
      <c r="G187" s="39">
        <v>0</v>
      </c>
      <c r="H187" s="39">
        <f>F187*(($H$174)+1)+(IF(G187&lt;101,G187,IF(G187&lt;201,G187/2,IF(G187&lt;=301,G187/3,G187/4))))</f>
        <v>1589.4606779999999</v>
      </c>
      <c r="I187" s="33"/>
      <c r="L187" s="112"/>
      <c r="M187" s="112"/>
      <c r="N187" s="33"/>
    </row>
    <row r="188" spans="1:20" s="34" customFormat="1" ht="15.75" customHeight="1" x14ac:dyDescent="0.3">
      <c r="A188" s="39">
        <f>A187+1</f>
        <v>4</v>
      </c>
      <c r="B188" s="39" t="s">
        <v>456</v>
      </c>
      <c r="C188" s="39" t="s">
        <v>428</v>
      </c>
      <c r="D188" s="39">
        <f>(89.084)*10.764</f>
        <v>958.90017599999999</v>
      </c>
      <c r="E188" s="39">
        <f>(2.9)*10.764</f>
        <v>31.215599999999998</v>
      </c>
      <c r="F188" s="39">
        <f>D188+E188</f>
        <v>990.11577599999998</v>
      </c>
      <c r="G188" s="39">
        <v>0</v>
      </c>
      <c r="H188" s="39">
        <f>F188*(($H$174)+1)+(IF(G188&lt;101,G188,IF(G188&lt;201,G188/2,IF(G188&lt;=301,G188/3,G188/4))))</f>
        <v>1485.1736639999999</v>
      </c>
      <c r="I188" s="33"/>
      <c r="L188" s="112">
        <f>23500000</f>
        <v>23500000</v>
      </c>
      <c r="M188" s="112"/>
      <c r="N188" s="33">
        <f>L188/H188</f>
        <v>15823.065389341567</v>
      </c>
      <c r="T188" s="18"/>
    </row>
    <row r="189" spans="1:20" s="34" customFormat="1" x14ac:dyDescent="0.3">
      <c r="A189" s="168" t="s">
        <v>430</v>
      </c>
      <c r="B189" s="169"/>
      <c r="C189" s="169"/>
      <c r="D189" s="169"/>
      <c r="E189" s="169"/>
      <c r="F189" s="169"/>
      <c r="G189" s="169"/>
      <c r="H189" s="170"/>
      <c r="I189" s="34">
        <v>1</v>
      </c>
      <c r="J189" s="33"/>
    </row>
    <row r="190" spans="1:20" s="34" customFormat="1" x14ac:dyDescent="0.3">
      <c r="A190" s="157" t="s">
        <v>431</v>
      </c>
      <c r="B190" s="158"/>
      <c r="C190" s="158"/>
      <c r="D190" s="158"/>
      <c r="E190" s="158"/>
      <c r="F190" s="158"/>
      <c r="G190" s="158"/>
      <c r="H190" s="159"/>
      <c r="I190" s="34">
        <v>0</v>
      </c>
      <c r="J190" s="33"/>
    </row>
    <row r="191" spans="1:20" s="34" customFormat="1" x14ac:dyDescent="0.3">
      <c r="A191" s="157" t="s">
        <v>432</v>
      </c>
      <c r="B191" s="158"/>
      <c r="C191" s="158"/>
      <c r="D191" s="158"/>
      <c r="E191" s="158"/>
      <c r="F191" s="158"/>
      <c r="G191" s="158"/>
      <c r="H191" s="159"/>
      <c r="I191" s="34">
        <v>1</v>
      </c>
      <c r="J191" s="33"/>
    </row>
    <row r="192" spans="1:20" s="34" customFormat="1" x14ac:dyDescent="0.3">
      <c r="A192" s="157" t="s">
        <v>433</v>
      </c>
      <c r="B192" s="158"/>
      <c r="C192" s="158"/>
      <c r="D192" s="158"/>
      <c r="E192" s="158"/>
      <c r="F192" s="158"/>
      <c r="G192" s="158"/>
      <c r="H192" s="159"/>
      <c r="I192" s="34">
        <v>5</v>
      </c>
      <c r="J192" s="33"/>
    </row>
    <row r="193" spans="1:20" s="34" customFormat="1" x14ac:dyDescent="0.3">
      <c r="A193" s="157" t="s">
        <v>434</v>
      </c>
      <c r="B193" s="158"/>
      <c r="C193" s="158"/>
      <c r="D193" s="158"/>
      <c r="E193" s="158"/>
      <c r="F193" s="158"/>
      <c r="G193" s="158"/>
      <c r="H193" s="159"/>
      <c r="I193" s="34">
        <v>1</v>
      </c>
      <c r="J193" s="33"/>
      <c r="K193" s="39">
        <v>10.763999999999999</v>
      </c>
    </row>
    <row r="194" spans="1:20" s="34" customFormat="1" ht="35.4" customHeight="1" x14ac:dyDescent="0.3">
      <c r="A194" s="171" t="s">
        <v>436</v>
      </c>
      <c r="B194" s="171"/>
      <c r="C194" s="171"/>
      <c r="D194" s="171"/>
      <c r="E194" s="171"/>
      <c r="F194" s="171"/>
      <c r="G194" s="171"/>
      <c r="H194" s="171"/>
      <c r="I194" s="33">
        <f>4+4+4+4+4+1</f>
        <v>21</v>
      </c>
      <c r="L194" s="112"/>
      <c r="M194" s="112"/>
    </row>
    <row r="195" spans="1:20" s="34" customFormat="1" x14ac:dyDescent="0.3">
      <c r="A195" s="39">
        <v>1</v>
      </c>
      <c r="B195" s="39" t="s">
        <v>456</v>
      </c>
      <c r="C195" s="39" t="s">
        <v>435</v>
      </c>
      <c r="D195" s="39">
        <f>(59.858)*10.764</f>
        <v>644.31151199999988</v>
      </c>
      <c r="E195" s="39">
        <f>(3.043)*10.764</f>
        <v>32.754852</v>
      </c>
      <c r="F195" s="39">
        <f>D195+E195</f>
        <v>677.06636399999991</v>
      </c>
      <c r="G195" s="39">
        <v>0</v>
      </c>
      <c r="H195" s="39">
        <f>F195*(($H$174)+1)+(IF(G195&lt;101,G195,IF(G195&lt;201,G195/2,IF(G195&lt;=301,G195/3,G195/4))))</f>
        <v>1015.5995459999999</v>
      </c>
      <c r="I195" s="33"/>
      <c r="M195" s="34">
        <v>15200000</v>
      </c>
      <c r="N195" s="33">
        <f>M195/H195</f>
        <v>14966.528943288835</v>
      </c>
    </row>
    <row r="196" spans="1:20" s="34" customFormat="1" x14ac:dyDescent="0.3">
      <c r="A196" s="39">
        <f>A195+1</f>
        <v>2</v>
      </c>
      <c r="B196" s="39" t="s">
        <v>456</v>
      </c>
      <c r="C196" s="39" t="s">
        <v>435</v>
      </c>
      <c r="D196" s="39">
        <f>(64.739)*10.764</f>
        <v>696.850596</v>
      </c>
      <c r="E196" s="39">
        <f>(2.335)*10.764</f>
        <v>25.133939999999999</v>
      </c>
      <c r="F196" s="39">
        <f>D196+E196</f>
        <v>721.98453600000005</v>
      </c>
      <c r="G196" s="39">
        <v>0</v>
      </c>
      <c r="H196" s="39">
        <f>F196*(($H$174)+1)+(IF(G196&lt;101,G196,IF(G196&lt;201,G196/2,IF(G196&lt;=301,G196/3,G196/4))))</f>
        <v>1082.9768040000001</v>
      </c>
      <c r="I196" s="33"/>
      <c r="M196" s="33"/>
    </row>
    <row r="197" spans="1:20" s="34" customFormat="1" x14ac:dyDescent="0.3">
      <c r="A197" s="39">
        <f t="shared" ref="A197:A200" si="17">A196+1</f>
        <v>3</v>
      </c>
      <c r="B197" s="39" t="s">
        <v>456</v>
      </c>
      <c r="C197" s="39" t="s">
        <v>435</v>
      </c>
      <c r="D197" s="39">
        <f>(64.739)*10.764</f>
        <v>696.850596</v>
      </c>
      <c r="E197" s="39">
        <f>(2.335)*10.764</f>
        <v>25.133939999999999</v>
      </c>
      <c r="F197" s="39">
        <f>D197+E197</f>
        <v>721.98453600000005</v>
      </c>
      <c r="G197" s="39">
        <v>0</v>
      </c>
      <c r="H197" s="39">
        <f>F197*(($H$174)+1)+(IF(G197&lt;101,G197,IF(G197&lt;201,G197/2,IF(G197&lt;=301,G197/3,G197/4))))</f>
        <v>1082.9768040000001</v>
      </c>
      <c r="I197" s="33"/>
      <c r="N197" s="33"/>
    </row>
    <row r="198" spans="1:20" s="34" customFormat="1" x14ac:dyDescent="0.3">
      <c r="A198" s="39">
        <f t="shared" si="17"/>
        <v>4</v>
      </c>
      <c r="B198" s="39" t="s">
        <v>456</v>
      </c>
      <c r="C198" s="39" t="s">
        <v>435</v>
      </c>
      <c r="D198" s="39">
        <f>(64.739)*10.764</f>
        <v>696.850596</v>
      </c>
      <c r="E198" s="39">
        <f>(2.335)*10.764</f>
        <v>25.133939999999999</v>
      </c>
      <c r="F198" s="39">
        <f>D198+E198</f>
        <v>721.98453600000005</v>
      </c>
      <c r="G198" s="39">
        <v>0</v>
      </c>
      <c r="H198" s="39">
        <f>F198*(($H$174)+1)+(IF(G198&lt;101,G198,IF(G198&lt;201,G198/2,IF(G198&lt;=301,G198/3,G198/4))))</f>
        <v>1082.9768040000001</v>
      </c>
      <c r="I198" s="33"/>
      <c r="N198" s="33"/>
    </row>
    <row r="199" spans="1:20" s="34" customFormat="1" x14ac:dyDescent="0.3">
      <c r="A199" s="39">
        <f t="shared" si="17"/>
        <v>5</v>
      </c>
      <c r="B199" s="39" t="s">
        <v>456</v>
      </c>
      <c r="C199" s="39" t="s">
        <v>435</v>
      </c>
      <c r="D199" s="39">
        <f>(64.739)*10.764</f>
        <v>696.850596</v>
      </c>
      <c r="E199" s="39">
        <f>(2.335)*10.764</f>
        <v>25.133939999999999</v>
      </c>
      <c r="F199" s="39">
        <f t="shared" ref="F199:F200" si="18">D199+E199</f>
        <v>721.98453600000005</v>
      </c>
      <c r="G199" s="39">
        <v>0</v>
      </c>
      <c r="H199" s="39">
        <f t="shared" ref="H199:H200" si="19">F199*(($H$174)+1)+(IF(G199&lt;101,G199,IF(G199&lt;201,G199/2,IF(G199&lt;=301,G199/3,G199/4))))</f>
        <v>1082.9768040000001</v>
      </c>
      <c r="I199" s="33"/>
      <c r="N199" s="33"/>
    </row>
    <row r="200" spans="1:20" s="34" customFormat="1" x14ac:dyDescent="0.3">
      <c r="A200" s="39">
        <f t="shared" si="17"/>
        <v>6</v>
      </c>
      <c r="B200" s="39" t="s">
        <v>456</v>
      </c>
      <c r="C200" s="39" t="s">
        <v>435</v>
      </c>
      <c r="D200" s="39">
        <f>(60.008)*10.764</f>
        <v>645.92611199999999</v>
      </c>
      <c r="E200" s="39">
        <f>(3.043)*10.764</f>
        <v>32.754852</v>
      </c>
      <c r="F200" s="39">
        <f t="shared" si="18"/>
        <v>678.68096400000002</v>
      </c>
      <c r="G200" s="39">
        <v>0</v>
      </c>
      <c r="H200" s="39">
        <f t="shared" si="19"/>
        <v>1018.021446</v>
      </c>
      <c r="I200" s="33"/>
      <c r="N200" s="33"/>
    </row>
    <row r="201" spans="1:20" s="34" customFormat="1" ht="33.6" customHeight="1" x14ac:dyDescent="0.3">
      <c r="A201" s="157" t="s">
        <v>447</v>
      </c>
      <c r="B201" s="158"/>
      <c r="C201" s="158"/>
      <c r="D201" s="158"/>
      <c r="E201" s="158"/>
      <c r="F201" s="158"/>
      <c r="G201" s="158"/>
      <c r="H201" s="159"/>
      <c r="I201" s="34">
        <v>6</v>
      </c>
      <c r="J201" s="33"/>
    </row>
    <row r="202" spans="1:20" s="34" customFormat="1" ht="15.75" customHeight="1" x14ac:dyDescent="0.3">
      <c r="A202" s="39">
        <v>1</v>
      </c>
      <c r="B202" s="39" t="s">
        <v>456</v>
      </c>
      <c r="C202" s="39" t="s">
        <v>435</v>
      </c>
      <c r="D202" s="39">
        <f>(59.858)*10.764</f>
        <v>644.31151199999988</v>
      </c>
      <c r="E202" s="39">
        <f>(3.043)*10.764</f>
        <v>32.754852</v>
      </c>
      <c r="F202" s="39">
        <f>D202+E202</f>
        <v>677.06636399999991</v>
      </c>
      <c r="G202" s="39">
        <v>0</v>
      </c>
      <c r="H202" s="39">
        <f>F202*(($H$174)+1)+(IF(G202&lt;101,G202,IF(G202&lt;201,G202/2,IF(G202&lt;=301,G202/3,G202/4))))</f>
        <v>1015.5995459999999</v>
      </c>
      <c r="I202" s="33"/>
      <c r="L202" s="112"/>
      <c r="M202" s="112"/>
      <c r="N202" s="33">
        <v>17500000</v>
      </c>
      <c r="O202" s="34">
        <f>N202/H202</f>
        <v>17231.201086023331</v>
      </c>
    </row>
    <row r="203" spans="1:20" s="34" customFormat="1" ht="15.75" customHeight="1" x14ac:dyDescent="0.3">
      <c r="A203" s="39">
        <f>A202+1</f>
        <v>2</v>
      </c>
      <c r="B203" s="39" t="s">
        <v>456</v>
      </c>
      <c r="C203" s="39" t="s">
        <v>435</v>
      </c>
      <c r="D203" s="39">
        <f>(64.739)*10.764</f>
        <v>696.850596</v>
      </c>
      <c r="E203" s="39">
        <f>(2.335)*10.764</f>
        <v>25.133939999999999</v>
      </c>
      <c r="F203" s="39">
        <f>D203+E203</f>
        <v>721.98453600000005</v>
      </c>
      <c r="G203" s="39">
        <v>0</v>
      </c>
      <c r="H203" s="39">
        <f>F203*(($H$174)+1)+(IF(G203&lt;101,G203,IF(G203&lt;201,G203/2,IF(G203&lt;=301,G203/3,G203/4))))</f>
        <v>1082.9768040000001</v>
      </c>
      <c r="I203" s="33"/>
      <c r="J203" s="95">
        <f>3.935*4.865+2.75*3.2+2.4*3.05+3.05*3.35+3.35*4.358+4.135*3.05+1.35*2.14+2.617*1.35+1.35*2.45+1.2*1.6+1.35*1.2+0.9*2.6+0.9*0.9</f>
        <v>89.111775000000009</v>
      </c>
      <c r="K203" s="34">
        <f>2*1.5</f>
        <v>3</v>
      </c>
      <c r="L203" s="112"/>
      <c r="M203" s="112"/>
      <c r="N203" s="33"/>
    </row>
    <row r="204" spans="1:20" s="34" customFormat="1" ht="15.75" customHeight="1" x14ac:dyDescent="0.3">
      <c r="A204" s="39">
        <f t="shared" ref="A204:A207" si="20">A203+1</f>
        <v>3</v>
      </c>
      <c r="B204" s="39" t="s">
        <v>456</v>
      </c>
      <c r="C204" s="39" t="s">
        <v>435</v>
      </c>
      <c r="D204" s="39">
        <f>(64.739)*10.764</f>
        <v>696.850596</v>
      </c>
      <c r="E204" s="39">
        <f>(2.335)*10.764</f>
        <v>25.133939999999999</v>
      </c>
      <c r="F204" s="39">
        <f>D204+E204</f>
        <v>721.98453600000005</v>
      </c>
      <c r="G204" s="39">
        <v>0</v>
      </c>
      <c r="H204" s="39">
        <f>F204*(($H$174)+1)+(IF(G204&lt;101,G204,IF(G204&lt;201,G204/2,IF(G204&lt;=301,G204/3,G204/4))))</f>
        <v>1082.9768040000001</v>
      </c>
      <c r="I204" s="33"/>
      <c r="L204" s="112"/>
      <c r="M204" s="112"/>
      <c r="N204" s="33"/>
    </row>
    <row r="205" spans="1:20" s="34" customFormat="1" ht="15.75" customHeight="1" x14ac:dyDescent="0.3">
      <c r="A205" s="39">
        <f t="shared" si="20"/>
        <v>4</v>
      </c>
      <c r="B205" s="39" t="s">
        <v>456</v>
      </c>
      <c r="C205" s="39" t="s">
        <v>435</v>
      </c>
      <c r="D205" s="39">
        <f>(64.739)*10.764</f>
        <v>696.850596</v>
      </c>
      <c r="E205" s="39">
        <f>(2.335)*10.764</f>
        <v>25.133939999999999</v>
      </c>
      <c r="F205" s="39">
        <f t="shared" ref="F205:F207" si="21">D205+E205</f>
        <v>721.98453600000005</v>
      </c>
      <c r="G205" s="39">
        <v>0</v>
      </c>
      <c r="H205" s="39">
        <f t="shared" ref="H205:H207" si="22">F205*(($H$174)+1)+(IF(G205&lt;101,G205,IF(G205&lt;201,G205/2,IF(G205&lt;=301,G205/3,G205/4))))</f>
        <v>1082.9768040000001</v>
      </c>
      <c r="I205" s="33"/>
      <c r="L205" s="112"/>
      <c r="M205" s="112"/>
      <c r="N205" s="33"/>
      <c r="T205" s="18"/>
    </row>
    <row r="206" spans="1:20" s="34" customFormat="1" ht="15.75" customHeight="1" x14ac:dyDescent="0.3">
      <c r="A206" s="39">
        <f t="shared" si="20"/>
        <v>5</v>
      </c>
      <c r="B206" s="39" t="s">
        <v>456</v>
      </c>
      <c r="C206" s="39" t="s">
        <v>435</v>
      </c>
      <c r="D206" s="39">
        <f>(64.739)*10.764</f>
        <v>696.850596</v>
      </c>
      <c r="E206" s="39">
        <f>(2.335)*10.764</f>
        <v>25.133939999999999</v>
      </c>
      <c r="F206" s="39">
        <f t="shared" si="21"/>
        <v>721.98453600000005</v>
      </c>
      <c r="G206" s="39">
        <v>0</v>
      </c>
      <c r="H206" s="39">
        <f t="shared" si="22"/>
        <v>1082.9768040000001</v>
      </c>
      <c r="I206" s="33"/>
      <c r="L206" s="112"/>
      <c r="M206" s="112"/>
      <c r="N206" s="33"/>
      <c r="T206" s="18"/>
    </row>
    <row r="207" spans="1:20" s="34" customFormat="1" ht="40.799999999999997" customHeight="1" x14ac:dyDescent="0.3">
      <c r="A207" s="39">
        <f t="shared" si="20"/>
        <v>6</v>
      </c>
      <c r="B207" s="39" t="s">
        <v>446</v>
      </c>
      <c r="C207" s="39" t="s">
        <v>458</v>
      </c>
      <c r="D207" s="39">
        <f>(27.027)*10.764</f>
        <v>290.91862800000001</v>
      </c>
      <c r="E207" s="39">
        <v>0</v>
      </c>
      <c r="F207" s="39">
        <f t="shared" si="21"/>
        <v>290.91862800000001</v>
      </c>
      <c r="G207" s="39">
        <v>0</v>
      </c>
      <c r="H207" s="39">
        <f t="shared" si="22"/>
        <v>436.37794200000002</v>
      </c>
      <c r="I207" s="33"/>
      <c r="L207" s="112"/>
      <c r="M207" s="112"/>
      <c r="N207" s="33"/>
      <c r="T207" s="18"/>
    </row>
    <row r="208" spans="1:20" s="34" customFormat="1" ht="15.75" customHeight="1" x14ac:dyDescent="0.3">
      <c r="A208" s="100" t="s">
        <v>425</v>
      </c>
      <c r="B208" s="102"/>
      <c r="C208" s="100" t="s">
        <v>426</v>
      </c>
      <c r="D208" s="101"/>
      <c r="E208" s="101"/>
      <c r="F208" s="101"/>
      <c r="G208" s="101"/>
      <c r="H208" s="102"/>
      <c r="I208" s="33"/>
      <c r="L208" s="112"/>
      <c r="M208" s="112"/>
      <c r="N208" s="33"/>
      <c r="T208" s="18"/>
    </row>
    <row r="209" spans="1:20" s="34" customFormat="1" x14ac:dyDescent="0.3">
      <c r="A209" s="171" t="s">
        <v>437</v>
      </c>
      <c r="B209" s="171"/>
      <c r="C209" s="171"/>
      <c r="D209" s="171"/>
      <c r="E209" s="171"/>
      <c r="F209" s="171"/>
      <c r="G209" s="171"/>
      <c r="H209" s="171"/>
      <c r="I209" s="33">
        <v>1</v>
      </c>
      <c r="L209" s="112"/>
      <c r="M209" s="112"/>
    </row>
    <row r="210" spans="1:20" s="34" customFormat="1" x14ac:dyDescent="0.3">
      <c r="A210" s="99" t="s">
        <v>425</v>
      </c>
      <c r="B210" s="99"/>
      <c r="C210" s="100" t="s">
        <v>301</v>
      </c>
      <c r="D210" s="101"/>
      <c r="E210" s="101"/>
      <c r="F210" s="101"/>
      <c r="G210" s="101"/>
      <c r="H210" s="102"/>
      <c r="I210" s="33"/>
      <c r="N210" s="33"/>
    </row>
    <row r="211" spans="1:20" s="34" customFormat="1" x14ac:dyDescent="0.3">
      <c r="A211" s="39">
        <v>2</v>
      </c>
      <c r="B211" s="39" t="s">
        <v>456</v>
      </c>
      <c r="C211" s="39" t="s">
        <v>435</v>
      </c>
      <c r="D211" s="39">
        <f>(64.739)*10.764</f>
        <v>696.850596</v>
      </c>
      <c r="E211" s="39">
        <f>(2.335)*10.764</f>
        <v>25.133939999999999</v>
      </c>
      <c r="F211" s="39">
        <f>D211+E211</f>
        <v>721.98453600000005</v>
      </c>
      <c r="G211" s="39">
        <v>0</v>
      </c>
      <c r="H211" s="39">
        <f>F211*(($H$174)+1)+(IF(G211&lt;101,G211,IF(G211&lt;201,G211/2,IF(G211&lt;=301,G211/3,G211/4))))</f>
        <v>1082.9768040000001</v>
      </c>
      <c r="I211" s="33"/>
      <c r="N211" s="33"/>
    </row>
    <row r="212" spans="1:20" s="34" customFormat="1" x14ac:dyDescent="0.3">
      <c r="A212" s="39">
        <f>A211+1</f>
        <v>3</v>
      </c>
      <c r="B212" s="39" t="s">
        <v>456</v>
      </c>
      <c r="C212" s="39" t="s">
        <v>435</v>
      </c>
      <c r="D212" s="39">
        <f>(64.739)*10.764</f>
        <v>696.850596</v>
      </c>
      <c r="E212" s="39">
        <f>(2.335)*10.764</f>
        <v>25.133939999999999</v>
      </c>
      <c r="F212" s="39">
        <f>D212+E212</f>
        <v>721.98453600000005</v>
      </c>
      <c r="G212" s="39">
        <v>0</v>
      </c>
      <c r="H212" s="39">
        <f>F212*(($H$174)+1)+(IF(G212&lt;101,G212,IF(G212&lt;201,G212/2,IF(G212&lt;=301,G212/3,G212/4))))</f>
        <v>1082.9768040000001</v>
      </c>
      <c r="I212" s="33"/>
      <c r="N212" s="33"/>
    </row>
    <row r="213" spans="1:20" s="34" customFormat="1" x14ac:dyDescent="0.3">
      <c r="A213" s="39">
        <f t="shared" ref="A213:A214" si="23">A212+1</f>
        <v>4</v>
      </c>
      <c r="B213" s="39" t="s">
        <v>456</v>
      </c>
      <c r="C213" s="39" t="s">
        <v>435</v>
      </c>
      <c r="D213" s="39">
        <f>(64.739)*10.764</f>
        <v>696.850596</v>
      </c>
      <c r="E213" s="39">
        <f>(2.335)*10.764</f>
        <v>25.133939999999999</v>
      </c>
      <c r="F213" s="39">
        <f>D213+E213</f>
        <v>721.98453600000005</v>
      </c>
      <c r="G213" s="39">
        <v>0</v>
      </c>
      <c r="H213" s="39">
        <f>F213*(($H$174)+1)+(IF(G213&lt;101,G213,IF(G213&lt;201,G213/2,IF(G213&lt;=301,G213/3,G213/4))))</f>
        <v>1082.9768040000001</v>
      </c>
      <c r="I213" s="33"/>
      <c r="N213" s="33"/>
    </row>
    <row r="214" spans="1:20" s="34" customFormat="1" x14ac:dyDescent="0.3">
      <c r="A214" s="39">
        <f t="shared" si="23"/>
        <v>5</v>
      </c>
      <c r="B214" s="39" t="s">
        <v>456</v>
      </c>
      <c r="C214" s="39" t="s">
        <v>435</v>
      </c>
      <c r="D214" s="39">
        <f>(64.739)*10.764</f>
        <v>696.850596</v>
      </c>
      <c r="E214" s="39">
        <f>(2.335)*10.764</f>
        <v>25.133939999999999</v>
      </c>
      <c r="F214" s="39">
        <f t="shared" ref="F214" si="24">D214+E214</f>
        <v>721.98453600000005</v>
      </c>
      <c r="G214" s="39">
        <v>0</v>
      </c>
      <c r="H214" s="39">
        <f>F214*(($H$174)+1)+(IF(G214&lt;101,G214,IF(G214&lt;201,G214/2,IF(G214&lt;=301,G214/3,G214/4))))</f>
        <v>1082.9768040000001</v>
      </c>
      <c r="I214" s="33"/>
      <c r="N214" s="33"/>
    </row>
    <row r="215" spans="1:20" s="34" customFormat="1" x14ac:dyDescent="0.3">
      <c r="A215" s="99" t="s">
        <v>425</v>
      </c>
      <c r="B215" s="99"/>
      <c r="C215" s="100" t="s">
        <v>301</v>
      </c>
      <c r="D215" s="101"/>
      <c r="E215" s="101"/>
      <c r="F215" s="101"/>
      <c r="G215" s="101"/>
      <c r="H215" s="102"/>
      <c r="I215" s="33"/>
      <c r="N215" s="33"/>
    </row>
    <row r="216" spans="1:20" s="32" customFormat="1" x14ac:dyDescent="0.3">
      <c r="A216" s="120" t="s">
        <v>64</v>
      </c>
      <c r="B216" s="120"/>
      <c r="C216" s="120"/>
      <c r="D216" s="120"/>
      <c r="E216" s="120"/>
      <c r="F216" s="120"/>
      <c r="G216" s="120"/>
      <c r="H216" s="120"/>
      <c r="T216" s="34"/>
    </row>
    <row r="217" spans="1:20" s="32" customFormat="1" x14ac:dyDescent="0.3">
      <c r="A217" s="41">
        <v>1</v>
      </c>
      <c r="B217" s="160" t="s">
        <v>438</v>
      </c>
      <c r="C217" s="161"/>
      <c r="D217" s="161"/>
      <c r="E217" s="161"/>
      <c r="F217" s="161"/>
      <c r="G217" s="161"/>
      <c r="H217" s="162"/>
      <c r="T217" s="34"/>
    </row>
    <row r="218" spans="1:20" s="32" customFormat="1" x14ac:dyDescent="0.3">
      <c r="A218" s="41">
        <f>A217+1</f>
        <v>2</v>
      </c>
      <c r="B218" s="160" t="str">
        <f>(IF(H173="Saleable area Loading :","We have considered Saleable area of Flats as per our Calculation.","We considered Saleable area of Flat as per Builder area Sheet."))</f>
        <v>We have considered Saleable area of Flats as per our Calculation.</v>
      </c>
      <c r="C218" s="161"/>
      <c r="D218" s="161"/>
      <c r="E218" s="161"/>
      <c r="F218" s="161"/>
      <c r="G218" s="161"/>
      <c r="H218" s="162"/>
      <c r="T218" s="34"/>
    </row>
    <row r="219" spans="1:20" s="32" customFormat="1" x14ac:dyDescent="0.3">
      <c r="A219" s="41">
        <f t="shared" ref="A219:A230" si="25">A218+1</f>
        <v>3</v>
      </c>
      <c r="B219" s="160" t="str">
        <f>(IF(H148="Saleable area Loading :","We have considered Saleable area of Commercial as per our Calculation.","We considered Saleable area of Commercial as per Builder area Sheet."))</f>
        <v>We have considered Saleable area of Commercial as per our Calculation.</v>
      </c>
      <c r="C219" s="161"/>
      <c r="D219" s="161"/>
      <c r="E219" s="161"/>
      <c r="F219" s="161"/>
      <c r="G219" s="161"/>
      <c r="H219" s="162"/>
      <c r="T219" s="34"/>
    </row>
    <row r="220" spans="1:20" s="32" customFormat="1" x14ac:dyDescent="0.3">
      <c r="A220" s="41">
        <f t="shared" si="25"/>
        <v>4</v>
      </c>
      <c r="B220" s="96" t="s">
        <v>118</v>
      </c>
      <c r="C220" s="97"/>
      <c r="D220" s="97"/>
      <c r="E220" s="97"/>
      <c r="F220" s="97"/>
      <c r="G220" s="97"/>
      <c r="H220" s="98"/>
      <c r="T220" s="34"/>
    </row>
    <row r="221" spans="1:20" s="32" customFormat="1" x14ac:dyDescent="0.3">
      <c r="A221" s="41">
        <f t="shared" si="25"/>
        <v>5</v>
      </c>
      <c r="B221" s="160" t="s">
        <v>439</v>
      </c>
      <c r="C221" s="161"/>
      <c r="D221" s="161"/>
      <c r="E221" s="161"/>
      <c r="F221" s="161"/>
      <c r="G221" s="161"/>
      <c r="H221" s="162"/>
      <c r="T221" s="34"/>
    </row>
    <row r="222" spans="1:20" s="32" customFormat="1" x14ac:dyDescent="0.3">
      <c r="A222" s="41">
        <f t="shared" si="25"/>
        <v>6</v>
      </c>
      <c r="B222" s="96" t="s">
        <v>148</v>
      </c>
      <c r="C222" s="97"/>
      <c r="D222" s="97"/>
      <c r="E222" s="97"/>
      <c r="F222" s="97"/>
      <c r="G222" s="97"/>
      <c r="H222" s="98"/>
    </row>
    <row r="223" spans="1:20" s="32" customFormat="1" x14ac:dyDescent="0.3">
      <c r="A223" s="41">
        <f t="shared" si="25"/>
        <v>7</v>
      </c>
      <c r="B223" s="96" t="s">
        <v>119</v>
      </c>
      <c r="C223" s="97"/>
      <c r="D223" s="97"/>
      <c r="E223" s="97"/>
      <c r="F223" s="97"/>
      <c r="G223" s="97"/>
      <c r="H223" s="98"/>
    </row>
    <row r="224" spans="1:20" s="32" customFormat="1" ht="34.5" customHeight="1" x14ac:dyDescent="0.3">
      <c r="A224" s="41">
        <f t="shared" si="25"/>
        <v>8</v>
      </c>
      <c r="B224" s="160" t="s">
        <v>149</v>
      </c>
      <c r="C224" s="161"/>
      <c r="D224" s="161"/>
      <c r="E224" s="161"/>
      <c r="F224" s="161"/>
      <c r="G224" s="161"/>
      <c r="H224" s="162"/>
    </row>
    <row r="225" spans="1:20" s="32" customFormat="1" x14ac:dyDescent="0.3">
      <c r="A225" s="41">
        <f t="shared" si="25"/>
        <v>9</v>
      </c>
      <c r="B225" s="96" t="s">
        <v>120</v>
      </c>
      <c r="C225" s="97"/>
      <c r="D225" s="97"/>
      <c r="E225" s="97"/>
      <c r="F225" s="97"/>
      <c r="G225" s="97"/>
      <c r="H225" s="98"/>
    </row>
    <row r="226" spans="1:20" s="32" customFormat="1" ht="32.25" hidden="1" customHeight="1" x14ac:dyDescent="0.3">
      <c r="A226" s="41">
        <f t="shared" si="25"/>
        <v>10</v>
      </c>
      <c r="B226" s="109" t="s">
        <v>173</v>
      </c>
      <c r="C226" s="110"/>
      <c r="D226" s="110"/>
      <c r="E226" s="110"/>
      <c r="F226" s="110"/>
      <c r="G226" s="110"/>
      <c r="H226" s="111"/>
    </row>
    <row r="227" spans="1:20" s="32" customFormat="1" ht="38.25" hidden="1" customHeight="1" x14ac:dyDescent="0.3">
      <c r="A227" s="41">
        <f t="shared" si="25"/>
        <v>11</v>
      </c>
      <c r="B227" s="109" t="s">
        <v>344</v>
      </c>
      <c r="C227" s="110"/>
      <c r="D227" s="110"/>
      <c r="E227" s="110"/>
      <c r="F227" s="110"/>
      <c r="G227" s="110"/>
      <c r="H227" s="111"/>
    </row>
    <row r="228" spans="1:20" s="32" customFormat="1" hidden="1" x14ac:dyDescent="0.3">
      <c r="A228" s="41">
        <f t="shared" si="25"/>
        <v>12</v>
      </c>
      <c r="B228" s="109" t="s">
        <v>346</v>
      </c>
      <c r="C228" s="110"/>
      <c r="D228" s="110"/>
      <c r="E228" s="110"/>
      <c r="F228" s="110"/>
      <c r="G228" s="110"/>
      <c r="H228" s="111"/>
    </row>
    <row r="229" spans="1:20" s="32" customFormat="1" hidden="1" x14ac:dyDescent="0.3">
      <c r="A229" s="41">
        <f t="shared" si="25"/>
        <v>13</v>
      </c>
      <c r="B229" s="109" t="str">
        <f ca="1">IF(G52&gt;EDATE(E3,-48),"NO REMARK FOR CC","REMARK FOR CC")</f>
        <v>NO REMARK FOR CC</v>
      </c>
      <c r="C229" s="110"/>
      <c r="D229" s="110"/>
      <c r="E229" s="110"/>
      <c r="F229" s="110"/>
      <c r="G229" s="110"/>
      <c r="H229" s="111"/>
    </row>
    <row r="230" spans="1:20" s="32" customFormat="1" ht="81.75" hidden="1" customHeight="1" x14ac:dyDescent="0.3">
      <c r="A230" s="41">
        <f t="shared" si="25"/>
        <v>14</v>
      </c>
      <c r="B230" s="109" t="s">
        <v>347</v>
      </c>
      <c r="C230" s="110"/>
      <c r="D230" s="110"/>
      <c r="E230" s="110"/>
      <c r="F230" s="110"/>
      <c r="G230" s="110"/>
      <c r="H230" s="111"/>
    </row>
    <row r="231" spans="1:20" s="32" customFormat="1" ht="36.6" customHeight="1" x14ac:dyDescent="0.3">
      <c r="A231" s="41">
        <f>A225+1</f>
        <v>10</v>
      </c>
      <c r="B231" s="96" t="s">
        <v>460</v>
      </c>
      <c r="C231" s="97"/>
      <c r="D231" s="97"/>
      <c r="E231" s="97"/>
      <c r="F231" s="97"/>
      <c r="G231" s="97"/>
      <c r="H231" s="98"/>
    </row>
    <row r="232" spans="1:20" x14ac:dyDescent="0.3">
      <c r="A232" s="176" t="s">
        <v>57</v>
      </c>
      <c r="B232" s="176"/>
      <c r="C232" s="176"/>
      <c r="D232" s="176"/>
      <c r="E232" s="176"/>
      <c r="F232" s="176"/>
      <c r="G232" s="176"/>
      <c r="H232" s="176"/>
      <c r="T232" s="32"/>
    </row>
    <row r="233" spans="1:20" x14ac:dyDescent="0.3">
      <c r="A233" s="134" t="s">
        <v>58</v>
      </c>
      <c r="B233" s="134"/>
      <c r="C233" s="134"/>
      <c r="D233" s="134"/>
      <c r="E233" s="134"/>
      <c r="F233" s="134"/>
      <c r="G233" s="134"/>
      <c r="H233" s="134"/>
      <c r="T233" s="32"/>
    </row>
    <row r="234" spans="1:20" ht="15.75" customHeight="1" x14ac:dyDescent="0.3">
      <c r="A234" s="155" t="s">
        <v>59</v>
      </c>
      <c r="B234" s="155"/>
      <c r="C234" s="155"/>
      <c r="D234" s="155"/>
      <c r="E234" s="155"/>
      <c r="F234" s="155"/>
      <c r="G234" s="155"/>
      <c r="H234" s="155"/>
      <c r="T234" s="32"/>
    </row>
    <row r="235" spans="1:20" x14ac:dyDescent="0.3">
      <c r="A235" s="134" t="s">
        <v>60</v>
      </c>
      <c r="B235" s="134"/>
      <c r="C235" s="134"/>
      <c r="D235" s="134"/>
      <c r="E235" s="134"/>
      <c r="F235" s="134"/>
      <c r="G235" s="134"/>
      <c r="H235" s="134"/>
      <c r="T235" s="32"/>
    </row>
    <row r="236" spans="1:20" x14ac:dyDescent="0.3">
      <c r="A236" s="134" t="s">
        <v>61</v>
      </c>
      <c r="B236" s="134"/>
      <c r="C236" s="134"/>
      <c r="D236" s="134"/>
      <c r="E236" s="134"/>
      <c r="F236" s="134"/>
      <c r="G236" s="134"/>
      <c r="H236" s="134"/>
      <c r="T236" s="32"/>
    </row>
    <row r="237" spans="1:20" x14ac:dyDescent="0.3">
      <c r="A237" s="134" t="s">
        <v>121</v>
      </c>
      <c r="B237" s="134"/>
      <c r="C237" s="134"/>
      <c r="D237" s="134"/>
      <c r="E237" s="134"/>
      <c r="F237" s="134"/>
      <c r="G237" s="134"/>
      <c r="H237" s="134"/>
      <c r="T237" s="32"/>
    </row>
    <row r="238" spans="1:20" ht="33.9" customHeight="1" x14ac:dyDescent="0.3">
      <c r="A238" s="121" t="s">
        <v>122</v>
      </c>
      <c r="B238" s="121"/>
      <c r="C238" s="121"/>
      <c r="D238" s="121"/>
      <c r="E238" s="121"/>
      <c r="F238" s="121"/>
      <c r="G238" s="121"/>
      <c r="H238" s="121"/>
    </row>
    <row r="239" spans="1:20" x14ac:dyDescent="0.3">
      <c r="A239" s="173" t="s">
        <v>73</v>
      </c>
      <c r="B239" s="173"/>
      <c r="C239" s="173" t="s">
        <v>441</v>
      </c>
      <c r="D239" s="173"/>
      <c r="E239" s="173" t="s">
        <v>102</v>
      </c>
      <c r="F239" s="173"/>
      <c r="G239" s="173" t="s">
        <v>440</v>
      </c>
      <c r="H239" s="173"/>
    </row>
    <row r="240" spans="1:20" x14ac:dyDescent="0.3">
      <c r="A240" s="172" t="s">
        <v>75</v>
      </c>
      <c r="B240" s="172"/>
      <c r="C240" s="172"/>
      <c r="D240" s="172"/>
      <c r="E240" s="172"/>
      <c r="F240" s="172"/>
      <c r="G240" s="172"/>
      <c r="H240" s="172"/>
    </row>
    <row r="241" spans="1:8" x14ac:dyDescent="0.3">
      <c r="A241" s="172"/>
      <c r="B241" s="172"/>
      <c r="C241" s="172"/>
      <c r="D241" s="172"/>
      <c r="E241" s="172"/>
      <c r="F241" s="172"/>
      <c r="G241" s="172"/>
      <c r="H241" s="172"/>
    </row>
    <row r="242" spans="1:8" x14ac:dyDescent="0.3">
      <c r="A242" s="172"/>
      <c r="B242" s="172"/>
      <c r="C242" s="172"/>
      <c r="D242" s="172"/>
      <c r="E242" s="172"/>
      <c r="F242" s="172"/>
      <c r="G242" s="172"/>
      <c r="H242" s="172"/>
    </row>
    <row r="243" spans="1:8" x14ac:dyDescent="0.3">
      <c r="A243" s="172"/>
      <c r="B243" s="172"/>
      <c r="C243" s="172"/>
      <c r="D243" s="172"/>
      <c r="E243" s="172"/>
      <c r="F243" s="172"/>
      <c r="G243" s="172"/>
      <c r="H243" s="172"/>
    </row>
    <row r="244" spans="1:8" x14ac:dyDescent="0.3">
      <c r="A244" s="35" t="s">
        <v>62</v>
      </c>
      <c r="B244" s="36"/>
      <c r="C244" s="36"/>
      <c r="D244" s="35" t="str">
        <f>E9</f>
        <v>Neelkanth Palm President</v>
      </c>
      <c r="F244" s="36"/>
      <c r="G244" s="36"/>
      <c r="H244" s="36"/>
    </row>
    <row r="245" spans="1:8" x14ac:dyDescent="0.3">
      <c r="A245" s="36"/>
      <c r="B245" s="36"/>
      <c r="C245" s="36"/>
      <c r="D245" s="36"/>
      <c r="E245" s="36"/>
      <c r="F245" s="36"/>
      <c r="G245" s="36"/>
      <c r="H245" s="36"/>
    </row>
    <row r="246" spans="1:8" x14ac:dyDescent="0.3">
      <c r="A246" s="36"/>
      <c r="B246" s="36"/>
      <c r="C246" s="36"/>
      <c r="D246" s="36"/>
      <c r="E246" s="36"/>
      <c r="F246" s="36"/>
      <c r="G246" s="36"/>
      <c r="H246" s="36"/>
    </row>
    <row r="247" spans="1:8" ht="15" customHeight="1" x14ac:dyDescent="0.3"/>
    <row r="285" spans="1:1" x14ac:dyDescent="0.3">
      <c r="A285" s="38" t="s">
        <v>453</v>
      </c>
    </row>
    <row r="327" spans="1:1" x14ac:dyDescent="0.3">
      <c r="A327" s="38" t="s">
        <v>159</v>
      </c>
    </row>
    <row r="369" spans="1:1" x14ac:dyDescent="0.3">
      <c r="A369" s="38" t="s">
        <v>63</v>
      </c>
    </row>
  </sheetData>
  <mergeCells count="409">
    <mergeCell ref="L208:M208"/>
    <mergeCell ref="L204:M204"/>
    <mergeCell ref="L205:M205"/>
    <mergeCell ref="A194:H194"/>
    <mergeCell ref="L194:M194"/>
    <mergeCell ref="A193:H193"/>
    <mergeCell ref="A201:H201"/>
    <mergeCell ref="L202:M202"/>
    <mergeCell ref="L203:M203"/>
    <mergeCell ref="L207:M207"/>
    <mergeCell ref="L185:M185"/>
    <mergeCell ref="C185:H185"/>
    <mergeCell ref="A189:H189"/>
    <mergeCell ref="A192:H192"/>
    <mergeCell ref="A190:H190"/>
    <mergeCell ref="A191:H191"/>
    <mergeCell ref="L188:M188"/>
    <mergeCell ref="L184:M184"/>
    <mergeCell ref="L206:M206"/>
    <mergeCell ref="L163:M163"/>
    <mergeCell ref="A164:H164"/>
    <mergeCell ref="A170:B170"/>
    <mergeCell ref="L170:M170"/>
    <mergeCell ref="A171:B171"/>
    <mergeCell ref="L171:M171"/>
    <mergeCell ref="A165:H165"/>
    <mergeCell ref="A166:B166"/>
    <mergeCell ref="L166:M166"/>
    <mergeCell ref="A167:B167"/>
    <mergeCell ref="L167:M167"/>
    <mergeCell ref="A168:B168"/>
    <mergeCell ref="L168:M168"/>
    <mergeCell ref="A169:B169"/>
    <mergeCell ref="L169:M169"/>
    <mergeCell ref="L157:M157"/>
    <mergeCell ref="A158:B158"/>
    <mergeCell ref="L158:M158"/>
    <mergeCell ref="A159:B159"/>
    <mergeCell ref="L159:M159"/>
    <mergeCell ref="A160:B160"/>
    <mergeCell ref="L160:M160"/>
    <mergeCell ref="L161:M161"/>
    <mergeCell ref="A162:B162"/>
    <mergeCell ref="L162:M162"/>
    <mergeCell ref="C107:H107"/>
    <mergeCell ref="A108:B108"/>
    <mergeCell ref="E108:F108"/>
    <mergeCell ref="G108:H108"/>
    <mergeCell ref="A109:B109"/>
    <mergeCell ref="E109:F118"/>
    <mergeCell ref="G109:H118"/>
    <mergeCell ref="A110:B110"/>
    <mergeCell ref="A111:B111"/>
    <mergeCell ref="A112:B112"/>
    <mergeCell ref="A114:B114"/>
    <mergeCell ref="L186:M186"/>
    <mergeCell ref="L187:M187"/>
    <mergeCell ref="A113:B113"/>
    <mergeCell ref="A116:B116"/>
    <mergeCell ref="A115:B115"/>
    <mergeCell ref="A117:B117"/>
    <mergeCell ref="A124:E124"/>
    <mergeCell ref="A143:B143"/>
    <mergeCell ref="E143:F143"/>
    <mergeCell ref="A129:E129"/>
    <mergeCell ref="G143:H143"/>
    <mergeCell ref="C135:D135"/>
    <mergeCell ref="E135:F135"/>
    <mergeCell ref="G135:H135"/>
    <mergeCell ref="A136:B136"/>
    <mergeCell ref="C136:D136"/>
    <mergeCell ref="E136:F136"/>
    <mergeCell ref="G136:H136"/>
    <mergeCell ref="C140:D140"/>
    <mergeCell ref="E140:F140"/>
    <mergeCell ref="A118:B118"/>
    <mergeCell ref="L178:M178"/>
    <mergeCell ref="F123:H123"/>
    <mergeCell ref="L156:M156"/>
    <mergeCell ref="A40:B40"/>
    <mergeCell ref="C40:H40"/>
    <mergeCell ref="F148:F149"/>
    <mergeCell ref="C134:D134"/>
    <mergeCell ref="E134:F134"/>
    <mergeCell ref="B148:B149"/>
    <mergeCell ref="A148:A149"/>
    <mergeCell ref="C173:C174"/>
    <mergeCell ref="G173:G174"/>
    <mergeCell ref="A83:B83"/>
    <mergeCell ref="E81:F90"/>
    <mergeCell ref="G81:H90"/>
    <mergeCell ref="A100:B100"/>
    <mergeCell ref="G94:H94"/>
    <mergeCell ref="A102:B102"/>
    <mergeCell ref="C148:C149"/>
    <mergeCell ref="B173:B174"/>
    <mergeCell ref="A94:B94"/>
    <mergeCell ref="E94:F94"/>
    <mergeCell ref="E95:F104"/>
    <mergeCell ref="A105:B105"/>
    <mergeCell ref="C105:H105"/>
    <mergeCell ref="A107:B107"/>
    <mergeCell ref="C54:H54"/>
    <mergeCell ref="A38:H38"/>
    <mergeCell ref="L155:M155"/>
    <mergeCell ref="L154:M154"/>
    <mergeCell ref="L153:M153"/>
    <mergeCell ref="L152:M152"/>
    <mergeCell ref="A88:B88"/>
    <mergeCell ref="C139:D139"/>
    <mergeCell ref="E139:F139"/>
    <mergeCell ref="G139:H139"/>
    <mergeCell ref="A120:E120"/>
    <mergeCell ref="A91:B91"/>
    <mergeCell ref="C91:H91"/>
    <mergeCell ref="A151:H151"/>
    <mergeCell ref="E148:E149"/>
    <mergeCell ref="A95:B95"/>
    <mergeCell ref="C93:H93"/>
    <mergeCell ref="A96:B96"/>
    <mergeCell ref="A97:B97"/>
    <mergeCell ref="G95:H104"/>
    <mergeCell ref="A98:B98"/>
    <mergeCell ref="F121:H121"/>
    <mergeCell ref="A121:E121"/>
    <mergeCell ref="E145:F145"/>
    <mergeCell ref="A93:B93"/>
    <mergeCell ref="A64:C64"/>
    <mergeCell ref="A70:C70"/>
    <mergeCell ref="A71:C71"/>
    <mergeCell ref="D70:H70"/>
    <mergeCell ref="F37:H37"/>
    <mergeCell ref="C51:E51"/>
    <mergeCell ref="C50:E50"/>
    <mergeCell ref="G50:H50"/>
    <mergeCell ref="A51:B51"/>
    <mergeCell ref="G57:H57"/>
    <mergeCell ref="G59:H59"/>
    <mergeCell ref="G51:H51"/>
    <mergeCell ref="A39:B39"/>
    <mergeCell ref="C39:H39"/>
    <mergeCell ref="C56:H56"/>
    <mergeCell ref="A52:B54"/>
    <mergeCell ref="C55:E55"/>
    <mergeCell ref="C52:E53"/>
    <mergeCell ref="A65:C65"/>
    <mergeCell ref="C57:E57"/>
    <mergeCell ref="G55:H55"/>
    <mergeCell ref="A57:B58"/>
    <mergeCell ref="G60:H60"/>
    <mergeCell ref="E42:H42"/>
    <mergeCell ref="A41:H41"/>
    <mergeCell ref="A80:B80"/>
    <mergeCell ref="A46:D46"/>
    <mergeCell ref="A47:D47"/>
    <mergeCell ref="D71:H71"/>
    <mergeCell ref="A44:D44"/>
    <mergeCell ref="E44:H44"/>
    <mergeCell ref="E45:H45"/>
    <mergeCell ref="E46:H46"/>
    <mergeCell ref="E47:H47"/>
    <mergeCell ref="C58:H58"/>
    <mergeCell ref="A48:H48"/>
    <mergeCell ref="D66:H66"/>
    <mergeCell ref="A66:C66"/>
    <mergeCell ref="A45:D45"/>
    <mergeCell ref="A49:B49"/>
    <mergeCell ref="C49:H49"/>
    <mergeCell ref="A67:C69"/>
    <mergeCell ref="D67:H67"/>
    <mergeCell ref="D68:H68"/>
    <mergeCell ref="G53:H53"/>
    <mergeCell ref="G52:H52"/>
    <mergeCell ref="A63:H63"/>
    <mergeCell ref="A79:B79"/>
    <mergeCell ref="A77:B77"/>
    <mergeCell ref="C77:H77"/>
    <mergeCell ref="A72:C72"/>
    <mergeCell ref="D72:H72"/>
    <mergeCell ref="C79:H79"/>
    <mergeCell ref="A73:C73"/>
    <mergeCell ref="D73:H73"/>
    <mergeCell ref="A76:C76"/>
    <mergeCell ref="D76:H76"/>
    <mergeCell ref="A75:C75"/>
    <mergeCell ref="A59:B61"/>
    <mergeCell ref="C61:H61"/>
    <mergeCell ref="C59:E60"/>
    <mergeCell ref="E43:H43"/>
    <mergeCell ref="A43:D43"/>
    <mergeCell ref="A36:B36"/>
    <mergeCell ref="C36:E36"/>
    <mergeCell ref="A31:D31"/>
    <mergeCell ref="E31:H31"/>
    <mergeCell ref="A32:D32"/>
    <mergeCell ref="E32:H32"/>
    <mergeCell ref="C33:E33"/>
    <mergeCell ref="F36:H36"/>
    <mergeCell ref="F33:H33"/>
    <mergeCell ref="A34:B34"/>
    <mergeCell ref="A33:B33"/>
    <mergeCell ref="C34:E34"/>
    <mergeCell ref="A35:B35"/>
    <mergeCell ref="C35:E35"/>
    <mergeCell ref="F34:H34"/>
    <mergeCell ref="F35:H35"/>
    <mergeCell ref="A37:B37"/>
    <mergeCell ref="C37:E37"/>
    <mergeCell ref="A42:D42"/>
    <mergeCell ref="A25:D25"/>
    <mergeCell ref="E25:H25"/>
    <mergeCell ref="A30:D30"/>
    <mergeCell ref="E30:H30"/>
    <mergeCell ref="A27:D27"/>
    <mergeCell ref="E20:F20"/>
    <mergeCell ref="G20:H20"/>
    <mergeCell ref="A21:B21"/>
    <mergeCell ref="C21:D21"/>
    <mergeCell ref="E21:F21"/>
    <mergeCell ref="G21:H21"/>
    <mergeCell ref="A22:B22"/>
    <mergeCell ref="C22:D22"/>
    <mergeCell ref="E22:F22"/>
    <mergeCell ref="G22:H22"/>
    <mergeCell ref="E23:H24"/>
    <mergeCell ref="E27:H27"/>
    <mergeCell ref="A29:D29"/>
    <mergeCell ref="E29:H29"/>
    <mergeCell ref="A26:D26"/>
    <mergeCell ref="E26:H26"/>
    <mergeCell ref="A28:D28"/>
    <mergeCell ref="E28:H28"/>
    <mergeCell ref="E14:H14"/>
    <mergeCell ref="A15:D15"/>
    <mergeCell ref="A11:D11"/>
    <mergeCell ref="E11:H11"/>
    <mergeCell ref="A23:D24"/>
    <mergeCell ref="A12:D12"/>
    <mergeCell ref="E12:H12"/>
    <mergeCell ref="A17:B17"/>
    <mergeCell ref="A14:D14"/>
    <mergeCell ref="A19:B19"/>
    <mergeCell ref="C19:D19"/>
    <mergeCell ref="E19:F19"/>
    <mergeCell ref="G19:H19"/>
    <mergeCell ref="A20:B20"/>
    <mergeCell ref="C20:D20"/>
    <mergeCell ref="E15:H15"/>
    <mergeCell ref="A16:B16"/>
    <mergeCell ref="C16:H16"/>
    <mergeCell ref="C17:H17"/>
    <mergeCell ref="A18:B18"/>
    <mergeCell ref="C18:H18"/>
    <mergeCell ref="A13:D13"/>
    <mergeCell ref="E13:H13"/>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240:H243"/>
    <mergeCell ref="A239:B239"/>
    <mergeCell ref="E239:F239"/>
    <mergeCell ref="C239:D239"/>
    <mergeCell ref="G239:H239"/>
    <mergeCell ref="A132:H132"/>
    <mergeCell ref="A130:E130"/>
    <mergeCell ref="F130:H130"/>
    <mergeCell ref="A131:E131"/>
    <mergeCell ref="F131:H131"/>
    <mergeCell ref="A178:H178"/>
    <mergeCell ref="A134:B134"/>
    <mergeCell ref="A235:H235"/>
    <mergeCell ref="A137:H137"/>
    <mergeCell ref="A238:H238"/>
    <mergeCell ref="A236:H236"/>
    <mergeCell ref="A232:H232"/>
    <mergeCell ref="G138:H138"/>
    <mergeCell ref="B222:H222"/>
    <mergeCell ref="C145:D145"/>
    <mergeCell ref="B223:H223"/>
    <mergeCell ref="A152:B152"/>
    <mergeCell ref="B227:H227"/>
    <mergeCell ref="B225:H225"/>
    <mergeCell ref="F124:H124"/>
    <mergeCell ref="A155:B155"/>
    <mergeCell ref="A154:B154"/>
    <mergeCell ref="F125:H125"/>
    <mergeCell ref="A127:E127"/>
    <mergeCell ref="B219:H219"/>
    <mergeCell ref="A150:H150"/>
    <mergeCell ref="A156:B156"/>
    <mergeCell ref="A161:B161"/>
    <mergeCell ref="A175:H175"/>
    <mergeCell ref="C208:H208"/>
    <mergeCell ref="A209:H209"/>
    <mergeCell ref="G145:H145"/>
    <mergeCell ref="A157:B157"/>
    <mergeCell ref="A163:B163"/>
    <mergeCell ref="A176:H176"/>
    <mergeCell ref="A177:H177"/>
    <mergeCell ref="A185:B185"/>
    <mergeCell ref="A208:B208"/>
    <mergeCell ref="A237:H237"/>
    <mergeCell ref="A234:H234"/>
    <mergeCell ref="A138:B138"/>
    <mergeCell ref="D173:D174"/>
    <mergeCell ref="E173:E174"/>
    <mergeCell ref="A99:B99"/>
    <mergeCell ref="A101:B101"/>
    <mergeCell ref="F120:H120"/>
    <mergeCell ref="G134:H134"/>
    <mergeCell ref="A104:B104"/>
    <mergeCell ref="F126:H126"/>
    <mergeCell ref="C133:D133"/>
    <mergeCell ref="C143:D143"/>
    <mergeCell ref="A183:H183"/>
    <mergeCell ref="B221:H221"/>
    <mergeCell ref="B229:H229"/>
    <mergeCell ref="B228:H228"/>
    <mergeCell ref="F122:H122"/>
    <mergeCell ref="A126:E126"/>
    <mergeCell ref="D148:D149"/>
    <mergeCell ref="G140:H140"/>
    <mergeCell ref="B226:H226"/>
    <mergeCell ref="A145:B145"/>
    <mergeCell ref="A103:B103"/>
    <mergeCell ref="A233:H233"/>
    <mergeCell ref="A125:E125"/>
    <mergeCell ref="A87:B87"/>
    <mergeCell ref="I15:P15"/>
    <mergeCell ref="F129:H129"/>
    <mergeCell ref="F127:H127"/>
    <mergeCell ref="A147:H147"/>
    <mergeCell ref="G133:H133"/>
    <mergeCell ref="A128:E128"/>
    <mergeCell ref="A153:B153"/>
    <mergeCell ref="A62:B62"/>
    <mergeCell ref="C62:E62"/>
    <mergeCell ref="D64:H64"/>
    <mergeCell ref="F128:H128"/>
    <mergeCell ref="E133:F133"/>
    <mergeCell ref="A133:B133"/>
    <mergeCell ref="A135:B135"/>
    <mergeCell ref="C138:D138"/>
    <mergeCell ref="D74:H74"/>
    <mergeCell ref="D65:H65"/>
    <mergeCell ref="G62:H62"/>
    <mergeCell ref="A55:B56"/>
    <mergeCell ref="A172:H172"/>
    <mergeCell ref="A122:E122"/>
    <mergeCell ref="L209:M209"/>
    <mergeCell ref="A210:B210"/>
    <mergeCell ref="A86:B86"/>
    <mergeCell ref="A50:B50"/>
    <mergeCell ref="D69:H69"/>
    <mergeCell ref="A216:H216"/>
    <mergeCell ref="A74:C74"/>
    <mergeCell ref="D75:H75"/>
    <mergeCell ref="A81:B81"/>
    <mergeCell ref="G80:H80"/>
    <mergeCell ref="A89:B89"/>
    <mergeCell ref="A90:B90"/>
    <mergeCell ref="A85:B85"/>
    <mergeCell ref="A84:B84"/>
    <mergeCell ref="E80:F80"/>
    <mergeCell ref="A82:B82"/>
    <mergeCell ref="E138:F138"/>
    <mergeCell ref="A146:H146"/>
    <mergeCell ref="A173:A174"/>
    <mergeCell ref="F173:F174"/>
    <mergeCell ref="A119:E119"/>
    <mergeCell ref="A123:E123"/>
    <mergeCell ref="G148:G149"/>
    <mergeCell ref="F119:H119"/>
    <mergeCell ref="B231:H231"/>
    <mergeCell ref="A215:B215"/>
    <mergeCell ref="C210:H210"/>
    <mergeCell ref="C215:H215"/>
    <mergeCell ref="A139:A140"/>
    <mergeCell ref="A141:A142"/>
    <mergeCell ref="C141:D141"/>
    <mergeCell ref="E141:F141"/>
    <mergeCell ref="G141:H141"/>
    <mergeCell ref="C142:D142"/>
    <mergeCell ref="E142:F142"/>
    <mergeCell ref="G142:H142"/>
    <mergeCell ref="A144:B144"/>
    <mergeCell ref="C144:D144"/>
    <mergeCell ref="E144:F144"/>
    <mergeCell ref="G144:H144"/>
    <mergeCell ref="B230:H230"/>
    <mergeCell ref="B224:H224"/>
    <mergeCell ref="B217:H217"/>
    <mergeCell ref="B218:H218"/>
    <mergeCell ref="B220:H220"/>
  </mergeCells>
  <dataValidations count="18">
    <dataValidation type="list" allowBlank="1" showInputMessage="1" showErrorMessage="1" sqref="E5:H5" xr:uid="{00000000-0002-0000-0000-000000000000}">
      <formula1>OFFSET($L$3,1,MATCH($E4,$L$3:$P$3,0)-1,10,1)</formula1>
    </dataValidation>
    <dataValidation type="list" allowBlank="1" showInputMessage="1" showErrorMessage="1" sqref="A17:B17" xr:uid="{00000000-0002-0000-0000-000001000000}">
      <formula1>"CTS No,Survey No,Plot No,Gut No,FP No,"</formula1>
    </dataValidation>
    <dataValidation type="list" allowBlank="1" showInputMessage="1" showErrorMessage="1" sqref="G20:H20" xr:uid="{00000000-0002-0000-0000-000002000000}">
      <formula1>$S$13:$W$13</formula1>
    </dataValidation>
    <dataValidation type="list" allowBlank="1" showInputMessage="1" showErrorMessage="1" sqref="E148:E149" xr:uid="{00000000-0002-0000-0000-000003000000}">
      <formula1>"Attached Loft area,Attached Otla area,Attached Mezzanine area"</formula1>
    </dataValidation>
    <dataValidation type="list" allowBlank="1" showInputMessage="1" showErrorMessage="1" sqref="G239:H239" xr:uid="{00000000-0002-0000-0000-000004000000}">
      <formula1>"Kunal Kadam,Pranita Mhatre,Shruti Fule,Pooja Kawale,Gaurav Panchal,Shruti Tathare, Dipti Gothawade,Saurav Panse, Sachin Sawant"</formula1>
    </dataValidation>
    <dataValidation type="list" allowBlank="1" showInputMessage="1" showErrorMessage="1" sqref="F119:H119" xr:uid="{00000000-0002-0000-0000-000005000000}">
      <formula1>"On Saleable Area,On Builtup Area,On Carpet Area,On Plot Area"</formula1>
    </dataValidation>
    <dataValidation type="list" allowBlank="1" showInputMessage="1" showErrorMessage="1" sqref="F130:H130" xr:uid="{00000000-0002-0000-0000-000006000000}">
      <formula1>OFFSET($S$119,1,MATCH($G20,$S$119:$W$119,0)-1,15,1)</formula1>
    </dataValidation>
    <dataValidation type="list" allowBlank="1" showInputMessage="1" showErrorMessage="1" sqref="B148:B149" xr:uid="{00000000-0002-0000-0000-000007000000}">
      <formula1>"Shop No. (Sale Plan),Sale / Rehab,Sale / Mhada"</formula1>
    </dataValidation>
    <dataValidation type="list" allowBlank="1" showInputMessage="1" showErrorMessage="1" sqref="B173:B174" xr:uid="{00000000-0002-0000-0000-000008000000}">
      <formula1>"Flat No. (Sale Plan),Sale / Rehab,Sale / Mhada"</formula1>
    </dataValidation>
    <dataValidation type="list" allowBlank="1" showInputMessage="1" showErrorMessage="1" sqref="C21:D21" xr:uid="{00000000-0002-0000-0000-000009000000}">
      <formula1>OFFSET($S$13,1,MATCH($G20,$S$13:$W$13,0)-1,15,1)</formula1>
    </dataValidation>
    <dataValidation type="list" allowBlank="1" showInputMessage="1" showErrorMessage="1" sqref="Y13" xr:uid="{00000000-0002-0000-0000-00000A000000}">
      <formula1>$D$5:$H$5</formula1>
    </dataValidation>
    <dataValidation type="list" allowBlank="1" showInputMessage="1" showErrorMessage="1" sqref="E173:E174" xr:uid="{00000000-0002-0000-0000-00000B000000}">
      <formula1>"Fungible area,Balcony Area,Chajja Area,Cornice Area,AP Area,WS Area"</formula1>
    </dataValidation>
    <dataValidation type="list" allowBlank="1" showInputMessage="1" showErrorMessage="1" sqref="H149 H174" xr:uid="{00000000-0002-0000-0000-00000C000000}">
      <formula1>".45,.50,.55,.60"</formula1>
    </dataValidation>
    <dataValidation type="list" allowBlank="1" showInputMessage="1" showErrorMessage="1" sqref="E4:H4" xr:uid="{00000000-0002-0000-0000-00000D000000}">
      <formula1>$L$3:$P$3</formula1>
    </dataValidation>
    <dataValidation type="list" allowBlank="1" showInputMessage="1" showErrorMessage="1" sqref="C49:H49" xr:uid="{00000000-0002-0000-0000-00000E000000}">
      <formula1>OFFSET($S$49,1,MATCH($G20,$S$49:$W$49,0)-1,15,1)</formula1>
    </dataValidation>
    <dataValidation type="list" allowBlank="1" showInputMessage="1" showErrorMessage="1" sqref="H148 H173" xr:uid="{00000000-0002-0000-0000-00000F000000}">
      <formula1>"Saleable area Loading :,Builder Saleable Area"</formula1>
    </dataValidation>
    <dataValidation type="list" allowBlank="1" showInputMessage="1" showErrorMessage="1" sqref="D148:D149" xr:uid="{00000000-0002-0000-0000-000010000000}">
      <formula1>"Carpet area,RERA Carpet area"</formula1>
    </dataValidation>
    <dataValidation type="list" allowBlank="1" showInputMessage="1" showErrorMessage="1" sqref="D173:D174" xr:uid="{00000000-0002-0000-0000-000011000000}">
      <formula1>"Carpet Area,Carpet + Encl Balcony Area,RERA Carpet area"</formula1>
    </dataValidation>
  </dataValidations>
  <hyperlinks>
    <hyperlink ref="C40" r:id="rId1" xr:uid="{9440217B-C163-4DFC-B50E-80DAC1826213}"/>
  </hyperlinks>
  <printOptions horizontalCentered="1"/>
  <pageMargins left="0.39370078740157483" right="0.39370078740157483" top="0.82677165354330717" bottom="0.78740157480314965" header="0.15748031496062992" footer="0.19685039370078741"/>
  <pageSetup paperSize="2" orientation="portrait" r:id="rId2"/>
  <headerFooter>
    <oddHeader>&amp;C&amp;G</oddHeader>
    <oddFooter>&amp;L&amp;"Times New Roman,Bold"&amp;12Ref No: &amp;F&amp;C&amp;G&amp;R&amp;"Times New Roman,Bold"&amp;12&amp;P</oddFooter>
  </headerFooter>
  <rowBreaks count="6" manualBreakCount="6">
    <brk id="76" max="16383" man="1"/>
    <brk id="131" max="7" man="1"/>
    <brk id="243" max="16383" man="1"/>
    <brk id="284" max="16383" man="1"/>
    <brk id="326" max="16383" man="1"/>
    <brk id="368"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zoomScale="85" zoomScaleNormal="85" workbookViewId="0">
      <selection activeCell="K3" sqref="K3"/>
    </sheetView>
  </sheetViews>
  <sheetFormatPr defaultColWidth="8.6640625" defaultRowHeight="14.4" x14ac:dyDescent="0.3"/>
  <cols>
    <col min="1" max="1" width="8.6640625" style="1"/>
    <col min="2" max="2" width="22.109375" style="1" customWidth="1"/>
    <col min="3" max="3" width="37" style="1" customWidth="1"/>
    <col min="4" max="5" width="11.44140625" style="1" customWidth="1"/>
    <col min="6" max="6" width="14" style="1" customWidth="1"/>
    <col min="7" max="7" width="20" style="1" customWidth="1"/>
    <col min="8" max="8" width="16.44140625" style="1" customWidth="1"/>
    <col min="9" max="16384" width="8.6640625" style="1"/>
  </cols>
  <sheetData>
    <row r="1" spans="1:9" ht="15" customHeight="1" x14ac:dyDescent="0.3"/>
    <row r="2" spans="1:9" ht="15" customHeight="1" x14ac:dyDescent="0.3">
      <c r="A2" s="2"/>
      <c r="B2" s="2"/>
      <c r="C2" s="2"/>
      <c r="D2" s="2"/>
      <c r="E2" s="2"/>
      <c r="F2" s="2"/>
      <c r="G2" s="2"/>
      <c r="H2" s="2"/>
    </row>
    <row r="3" spans="1:9" ht="15.75" customHeight="1" x14ac:dyDescent="0.3">
      <c r="A3" s="2"/>
      <c r="B3" s="254" t="s">
        <v>103</v>
      </c>
      <c r="C3" s="254"/>
      <c r="D3" s="254"/>
      <c r="E3" s="254"/>
      <c r="F3" s="254"/>
      <c r="G3" s="254"/>
      <c r="H3" s="254"/>
    </row>
    <row r="4" spans="1:9" x14ac:dyDescent="0.3">
      <c r="A4" s="2"/>
      <c r="B4" s="3" t="s">
        <v>104</v>
      </c>
      <c r="C4" s="3" t="s">
        <v>105</v>
      </c>
      <c r="D4" s="3" t="s">
        <v>65</v>
      </c>
      <c r="E4" s="3" t="s">
        <v>106</v>
      </c>
      <c r="F4" s="3" t="s">
        <v>112</v>
      </c>
      <c r="G4" s="3" t="s">
        <v>113</v>
      </c>
      <c r="H4" s="3" t="s">
        <v>107</v>
      </c>
    </row>
    <row r="5" spans="1:9" ht="15" customHeight="1" x14ac:dyDescent="0.3">
      <c r="A5" s="2"/>
      <c r="B5" s="5" t="s">
        <v>108</v>
      </c>
      <c r="C5" s="6"/>
      <c r="D5" s="5"/>
      <c r="E5" s="5"/>
      <c r="F5" s="7">
        <f>E5*1.6</f>
        <v>0</v>
      </c>
      <c r="G5" s="7" t="e">
        <f>H5/F5</f>
        <v>#DIV/0!</v>
      </c>
      <c r="H5" s="8"/>
    </row>
    <row r="6" spans="1:9" x14ac:dyDescent="0.3">
      <c r="A6" s="2"/>
      <c r="B6" s="5" t="s">
        <v>108</v>
      </c>
      <c r="C6" s="9"/>
      <c r="D6" s="5"/>
      <c r="E6" s="5"/>
      <c r="F6" s="7">
        <f t="shared" ref="F6:F11" si="0">E6*1.6</f>
        <v>0</v>
      </c>
      <c r="G6" s="7" t="e">
        <f t="shared" ref="G6:G11" si="1">H6/F6</f>
        <v>#DIV/0!</v>
      </c>
      <c r="H6" s="8"/>
    </row>
    <row r="7" spans="1:9" ht="15" customHeight="1" x14ac:dyDescent="0.3">
      <c r="A7" s="2"/>
      <c r="B7" s="5" t="s">
        <v>108</v>
      </c>
      <c r="C7" s="6"/>
      <c r="D7" s="5"/>
      <c r="E7" s="5"/>
      <c r="F7" s="7">
        <f t="shared" si="0"/>
        <v>0</v>
      </c>
      <c r="G7" s="7" t="e">
        <f t="shared" si="1"/>
        <v>#DIV/0!</v>
      </c>
      <c r="H7" s="8"/>
    </row>
    <row r="8" spans="1:9" x14ac:dyDescent="0.3">
      <c r="A8" s="2"/>
      <c r="B8" s="5" t="s">
        <v>108</v>
      </c>
      <c r="C8" s="9"/>
      <c r="D8" s="5"/>
      <c r="E8" s="5"/>
      <c r="F8" s="7">
        <f t="shared" si="0"/>
        <v>0</v>
      </c>
      <c r="G8" s="7" t="e">
        <f t="shared" si="1"/>
        <v>#DIV/0!</v>
      </c>
      <c r="H8" s="8"/>
    </row>
    <row r="9" spans="1:9" ht="15" customHeight="1" x14ac:dyDescent="0.3">
      <c r="A9" s="2"/>
      <c r="B9" s="5" t="s">
        <v>108</v>
      </c>
      <c r="C9" s="9"/>
      <c r="D9" s="5"/>
      <c r="E9" s="5"/>
      <c r="F9" s="7">
        <f t="shared" si="0"/>
        <v>0</v>
      </c>
      <c r="G9" s="7" t="e">
        <f t="shared" si="1"/>
        <v>#DIV/0!</v>
      </c>
      <c r="H9" s="8"/>
    </row>
    <row r="10" spans="1:9" ht="15" customHeight="1" x14ac:dyDescent="0.3">
      <c r="A10" s="2"/>
      <c r="B10" s="5" t="s">
        <v>109</v>
      </c>
      <c r="C10" s="6"/>
      <c r="D10" s="5"/>
      <c r="E10" s="5"/>
      <c r="F10" s="7">
        <f t="shared" si="0"/>
        <v>0</v>
      </c>
      <c r="G10" s="7" t="e">
        <f t="shared" si="1"/>
        <v>#DIV/0!</v>
      </c>
      <c r="H10" s="8"/>
    </row>
    <row r="11" spans="1:9" ht="15" customHeight="1" x14ac:dyDescent="0.3">
      <c r="A11" s="2"/>
      <c r="B11" s="5" t="s">
        <v>109</v>
      </c>
      <c r="C11" s="6"/>
      <c r="D11" s="5"/>
      <c r="E11" s="5"/>
      <c r="F11" s="7">
        <f t="shared" si="0"/>
        <v>0</v>
      </c>
      <c r="G11" s="7" t="e">
        <f t="shared" si="1"/>
        <v>#DIV/0!</v>
      </c>
      <c r="H11" s="8"/>
    </row>
    <row r="12" spans="1:9" ht="15" customHeight="1" x14ac:dyDescent="0.3">
      <c r="A12" s="2"/>
      <c r="B12" s="10" t="s">
        <v>110</v>
      </c>
      <c r="C12" s="5"/>
      <c r="D12" s="5"/>
      <c r="E12" s="5"/>
      <c r="F12" s="5"/>
      <c r="G12" s="11" t="e">
        <f>AVERAGE(G5:G11)</f>
        <v>#DIV/0!</v>
      </c>
      <c r="H12" s="5"/>
    </row>
    <row r="13" spans="1:9" ht="15" customHeight="1" x14ac:dyDescent="0.3">
      <c r="B13" s="10" t="s">
        <v>111</v>
      </c>
      <c r="C13" s="5"/>
      <c r="D13" s="5"/>
      <c r="E13" s="5"/>
      <c r="F13" s="12"/>
      <c r="G13" s="10"/>
      <c r="H13" s="10"/>
      <c r="I13" s="4"/>
    </row>
    <row r="14" spans="1:9" ht="15" customHeight="1" x14ac:dyDescent="0.3"/>
    <row r="15" spans="1:9" ht="15" customHeight="1" x14ac:dyDescent="0.3"/>
    <row r="16" spans="1:9" ht="15" customHeight="1" x14ac:dyDescent="0.3"/>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K69"/>
  <sheetViews>
    <sheetView topLeftCell="A55" zoomScale="130" zoomScaleNormal="130" workbookViewId="0">
      <selection activeCell="C43" sqref="C43:D69"/>
    </sheetView>
  </sheetViews>
  <sheetFormatPr defaultRowHeight="14.4" x14ac:dyDescent="0.3"/>
  <cols>
    <col min="4" max="4" width="13.88671875" bestFit="1" customWidth="1"/>
    <col min="5" max="5" width="10.44140625" bestFit="1" customWidth="1"/>
    <col min="6" max="6" width="12.44140625" bestFit="1" customWidth="1"/>
    <col min="7" max="7" width="18.109375" customWidth="1"/>
    <col min="8" max="8" width="10.5546875" bestFit="1" customWidth="1"/>
  </cols>
  <sheetData>
    <row r="3" spans="2:11" x14ac:dyDescent="0.3">
      <c r="J3">
        <v>1</v>
      </c>
      <c r="K3">
        <v>2</v>
      </c>
    </row>
    <row r="4" spans="2:11" x14ac:dyDescent="0.3">
      <c r="B4" s="47"/>
      <c r="C4" s="47" t="s">
        <v>11</v>
      </c>
      <c r="D4" s="48" t="s">
        <v>174</v>
      </c>
      <c r="E4" s="48" t="s">
        <v>184</v>
      </c>
      <c r="F4" s="48" t="s">
        <v>168</v>
      </c>
      <c r="G4" s="48" t="s">
        <v>189</v>
      </c>
      <c r="H4" s="48" t="s">
        <v>207</v>
      </c>
      <c r="J4" t="s">
        <v>189</v>
      </c>
      <c r="K4" t="s">
        <v>205</v>
      </c>
    </row>
    <row r="5" spans="2:11" x14ac:dyDescent="0.3">
      <c r="B5" s="47"/>
      <c r="C5" s="47"/>
      <c r="D5" s="48" t="s">
        <v>175</v>
      </c>
      <c r="E5" s="48" t="s">
        <v>182</v>
      </c>
      <c r="F5" s="48" t="s">
        <v>204</v>
      </c>
      <c r="G5" s="48" t="s">
        <v>190</v>
      </c>
      <c r="H5" s="48" t="s">
        <v>208</v>
      </c>
    </row>
    <row r="6" spans="2:11" x14ac:dyDescent="0.3">
      <c r="B6" s="47"/>
      <c r="C6" s="47"/>
      <c r="D6" s="48" t="s">
        <v>176</v>
      </c>
      <c r="E6" s="48" t="s">
        <v>183</v>
      </c>
      <c r="F6" s="48" t="s">
        <v>205</v>
      </c>
      <c r="G6" s="48" t="s">
        <v>191</v>
      </c>
      <c r="H6" s="48" t="s">
        <v>221</v>
      </c>
    </row>
    <row r="7" spans="2:11" x14ac:dyDescent="0.3">
      <c r="B7" s="47"/>
      <c r="C7" s="47"/>
      <c r="D7" s="48" t="s">
        <v>177</v>
      </c>
      <c r="E7" s="48" t="s">
        <v>185</v>
      </c>
      <c r="F7" s="48" t="s">
        <v>206</v>
      </c>
      <c r="G7" s="48" t="s">
        <v>192</v>
      </c>
      <c r="H7" s="48" t="s">
        <v>209</v>
      </c>
    </row>
    <row r="8" spans="2:11" x14ac:dyDescent="0.3">
      <c r="B8" s="47"/>
      <c r="C8" s="47"/>
      <c r="D8" s="48" t="s">
        <v>178</v>
      </c>
      <c r="E8" s="48" t="s">
        <v>186</v>
      </c>
      <c r="F8" s="48"/>
      <c r="G8" s="48" t="s">
        <v>193</v>
      </c>
      <c r="H8" s="48" t="s">
        <v>210</v>
      </c>
    </row>
    <row r="9" spans="2:11" x14ac:dyDescent="0.3">
      <c r="B9" s="47"/>
      <c r="C9" s="47"/>
      <c r="D9" s="48" t="s">
        <v>179</v>
      </c>
      <c r="E9" s="48" t="s">
        <v>184</v>
      </c>
      <c r="F9" s="48"/>
      <c r="G9" s="48" t="s">
        <v>194</v>
      </c>
      <c r="H9" s="48" t="s">
        <v>211</v>
      </c>
    </row>
    <row r="10" spans="2:11" x14ac:dyDescent="0.3">
      <c r="B10" s="47"/>
      <c r="C10" s="47"/>
      <c r="D10" s="48" t="s">
        <v>180</v>
      </c>
      <c r="E10" s="48" t="s">
        <v>187</v>
      </c>
      <c r="F10" s="48"/>
      <c r="G10" s="48" t="s">
        <v>195</v>
      </c>
      <c r="H10" s="48" t="s">
        <v>212</v>
      </c>
    </row>
    <row r="11" spans="2:11" x14ac:dyDescent="0.3">
      <c r="B11" s="47"/>
      <c r="C11" s="47"/>
      <c r="D11" s="48" t="s">
        <v>181</v>
      </c>
      <c r="E11" s="48" t="s">
        <v>188</v>
      </c>
      <c r="F11" s="48"/>
      <c r="G11" s="48" t="s">
        <v>196</v>
      </c>
      <c r="H11" s="48" t="s">
        <v>213</v>
      </c>
    </row>
    <row r="12" spans="2:11" x14ac:dyDescent="0.3">
      <c r="B12" s="47"/>
      <c r="C12" s="47"/>
      <c r="D12" s="48"/>
      <c r="E12" s="48"/>
      <c r="F12" s="48"/>
      <c r="G12" s="48" t="s">
        <v>197</v>
      </c>
      <c r="H12" s="48" t="s">
        <v>214</v>
      </c>
    </row>
    <row r="13" spans="2:11" x14ac:dyDescent="0.3">
      <c r="B13" s="47"/>
      <c r="C13" s="47"/>
      <c r="D13" s="48"/>
      <c r="E13" s="48"/>
      <c r="F13" s="48"/>
      <c r="G13" s="48" t="s">
        <v>198</v>
      </c>
      <c r="H13" s="48" t="s">
        <v>215</v>
      </c>
    </row>
    <row r="14" spans="2:11" x14ac:dyDescent="0.3">
      <c r="B14" s="47"/>
      <c r="C14" s="47"/>
      <c r="D14" s="48"/>
      <c r="E14" s="48"/>
      <c r="F14" s="48"/>
      <c r="G14" s="48" t="s">
        <v>199</v>
      </c>
      <c r="H14" s="48" t="s">
        <v>216</v>
      </c>
    </row>
    <row r="15" spans="2:11" x14ac:dyDescent="0.3">
      <c r="B15" s="47"/>
      <c r="C15" s="47"/>
      <c r="D15" s="48"/>
      <c r="E15" s="48"/>
      <c r="F15" s="48"/>
      <c r="G15" s="48" t="s">
        <v>200</v>
      </c>
      <c r="H15" s="48" t="s">
        <v>217</v>
      </c>
    </row>
    <row r="16" spans="2:11" x14ac:dyDescent="0.3">
      <c r="B16" s="47"/>
      <c r="C16" s="47"/>
      <c r="D16" s="48"/>
      <c r="E16" s="48"/>
      <c r="F16" s="48"/>
      <c r="G16" s="48" t="s">
        <v>201</v>
      </c>
      <c r="H16" s="48" t="s">
        <v>218</v>
      </c>
    </row>
    <row r="17" spans="2:8" x14ac:dyDescent="0.3">
      <c r="B17" s="47"/>
      <c r="C17" s="47"/>
      <c r="D17" s="48"/>
      <c r="E17" s="48"/>
      <c r="F17" s="48"/>
      <c r="G17" s="48" t="s">
        <v>202</v>
      </c>
      <c r="H17" s="48" t="s">
        <v>219</v>
      </c>
    </row>
    <row r="18" spans="2:8" x14ac:dyDescent="0.3">
      <c r="B18" s="47"/>
      <c r="C18" s="47"/>
      <c r="D18" s="48"/>
      <c r="E18" s="48"/>
      <c r="F18" s="48"/>
      <c r="G18" s="48" t="s">
        <v>203</v>
      </c>
      <c r="H18" s="48" t="s">
        <v>220</v>
      </c>
    </row>
    <row r="24" spans="2:8" x14ac:dyDescent="0.3">
      <c r="C24" t="s">
        <v>165</v>
      </c>
    </row>
    <row r="25" spans="2:8" x14ac:dyDescent="0.3">
      <c r="C25" t="s">
        <v>222</v>
      </c>
    </row>
    <row r="26" spans="2:8" x14ac:dyDescent="0.3">
      <c r="C26" t="s">
        <v>223</v>
      </c>
    </row>
    <row r="27" spans="2:8" x14ac:dyDescent="0.3">
      <c r="C27" t="s">
        <v>224</v>
      </c>
    </row>
    <row r="28" spans="2:8" x14ac:dyDescent="0.3">
      <c r="C28" t="s">
        <v>225</v>
      </c>
    </row>
    <row r="29" spans="2:8" x14ac:dyDescent="0.3">
      <c r="C29" t="s">
        <v>226</v>
      </c>
    </row>
    <row r="30" spans="2:8" x14ac:dyDescent="0.3">
      <c r="C30" t="s">
        <v>165</v>
      </c>
    </row>
    <row r="33" spans="3:11" x14ac:dyDescent="0.3">
      <c r="J33">
        <v>1</v>
      </c>
      <c r="K33">
        <v>2</v>
      </c>
    </row>
    <row r="34" spans="3:11" x14ac:dyDescent="0.3">
      <c r="C34" s="49" t="s">
        <v>231</v>
      </c>
      <c r="D34" s="48" t="s">
        <v>229</v>
      </c>
      <c r="E34" s="48" t="s">
        <v>234</v>
      </c>
      <c r="F34" s="48" t="s">
        <v>232</v>
      </c>
      <c r="G34" s="48" t="s">
        <v>233</v>
      </c>
      <c r="H34" s="48" t="s">
        <v>235</v>
      </c>
      <c r="J34" t="s">
        <v>189</v>
      </c>
      <c r="K34" t="s">
        <v>205</v>
      </c>
    </row>
    <row r="35" spans="3:11" x14ac:dyDescent="0.3">
      <c r="C35" s="47" t="s">
        <v>230</v>
      </c>
      <c r="D35" s="48" t="s">
        <v>166</v>
      </c>
      <c r="E35" s="48" t="s">
        <v>239</v>
      </c>
      <c r="F35" s="48" t="s">
        <v>241</v>
      </c>
      <c r="G35" s="48" t="s">
        <v>243</v>
      </c>
      <c r="H35" s="48"/>
    </row>
    <row r="36" spans="3:11" x14ac:dyDescent="0.3">
      <c r="C36" s="47"/>
      <c r="D36" s="48" t="s">
        <v>236</v>
      </c>
      <c r="E36" s="48" t="s">
        <v>240</v>
      </c>
      <c r="F36" s="48" t="s">
        <v>242</v>
      </c>
      <c r="G36" s="48" t="s">
        <v>244</v>
      </c>
      <c r="H36" s="48"/>
    </row>
    <row r="37" spans="3:11" x14ac:dyDescent="0.3">
      <c r="C37" s="47"/>
      <c r="D37" s="48" t="s">
        <v>237</v>
      </c>
      <c r="E37" s="48"/>
      <c r="F37" s="48"/>
      <c r="G37" s="48" t="s">
        <v>245</v>
      </c>
      <c r="H37" s="48"/>
    </row>
    <row r="38" spans="3:11" x14ac:dyDescent="0.3">
      <c r="C38" s="47"/>
      <c r="D38" s="48" t="s">
        <v>238</v>
      </c>
      <c r="E38" s="48"/>
      <c r="F38" s="48"/>
      <c r="G38" s="48" t="s">
        <v>245</v>
      </c>
      <c r="H38" s="48"/>
    </row>
    <row r="39" spans="3:11" x14ac:dyDescent="0.3">
      <c r="C39" s="47"/>
      <c r="D39" s="48"/>
      <c r="E39" s="48"/>
      <c r="F39" s="48"/>
      <c r="G39" s="48" t="s">
        <v>246</v>
      </c>
      <c r="H39" s="48"/>
    </row>
    <row r="40" spans="3:11" x14ac:dyDescent="0.3">
      <c r="C40" s="47"/>
      <c r="D40" s="48"/>
      <c r="E40" s="48"/>
      <c r="F40" s="48"/>
      <c r="G40" s="48" t="s">
        <v>247</v>
      </c>
      <c r="H40" s="48"/>
    </row>
    <row r="41" spans="3:11" x14ac:dyDescent="0.3">
      <c r="C41" s="47"/>
      <c r="D41" s="48"/>
      <c r="E41" s="48"/>
      <c r="F41" s="48"/>
      <c r="G41" s="48"/>
      <c r="H41" s="48"/>
    </row>
    <row r="43" spans="3:11" x14ac:dyDescent="0.3">
      <c r="C43" t="s">
        <v>248</v>
      </c>
    </row>
    <row r="44" spans="3:11" x14ac:dyDescent="0.3">
      <c r="C44" t="s">
        <v>168</v>
      </c>
      <c r="D44" t="s">
        <v>249</v>
      </c>
    </row>
    <row r="45" spans="3:11" x14ac:dyDescent="0.3">
      <c r="D45" t="s">
        <v>250</v>
      </c>
    </row>
    <row r="46" spans="3:11" x14ac:dyDescent="0.3">
      <c r="D46" t="s">
        <v>251</v>
      </c>
    </row>
    <row r="47" spans="3:11" x14ac:dyDescent="0.3">
      <c r="D47" t="s">
        <v>252</v>
      </c>
    </row>
    <row r="48" spans="3:11" x14ac:dyDescent="0.3">
      <c r="D48" t="s">
        <v>253</v>
      </c>
    </row>
    <row r="49" spans="3:4" x14ac:dyDescent="0.3">
      <c r="C49" t="s">
        <v>174</v>
      </c>
      <c r="D49" t="s">
        <v>254</v>
      </c>
    </row>
    <row r="50" spans="3:4" x14ac:dyDescent="0.3">
      <c r="D50" t="s">
        <v>255</v>
      </c>
    </row>
    <row r="51" spans="3:4" x14ac:dyDescent="0.3">
      <c r="D51" t="s">
        <v>256</v>
      </c>
    </row>
    <row r="52" spans="3:4" x14ac:dyDescent="0.3">
      <c r="D52" t="s">
        <v>259</v>
      </c>
    </row>
    <row r="53" spans="3:4" x14ac:dyDescent="0.3">
      <c r="D53" t="s">
        <v>257</v>
      </c>
    </row>
    <row r="54" spans="3:4" x14ac:dyDescent="0.3">
      <c r="D54" t="s">
        <v>258</v>
      </c>
    </row>
    <row r="55" spans="3:4" x14ac:dyDescent="0.3">
      <c r="D55" t="s">
        <v>260</v>
      </c>
    </row>
    <row r="56" spans="3:4" x14ac:dyDescent="0.3">
      <c r="D56" t="s">
        <v>261</v>
      </c>
    </row>
    <row r="57" spans="3:4" x14ac:dyDescent="0.3">
      <c r="D57" t="s">
        <v>262</v>
      </c>
    </row>
    <row r="58" spans="3:4" x14ac:dyDescent="0.3">
      <c r="D58" t="s">
        <v>264</v>
      </c>
    </row>
    <row r="59" spans="3:4" x14ac:dyDescent="0.3">
      <c r="D59" t="s">
        <v>273</v>
      </c>
    </row>
    <row r="60" spans="3:4" x14ac:dyDescent="0.3">
      <c r="C60" t="s">
        <v>189</v>
      </c>
      <c r="D60" t="s">
        <v>265</v>
      </c>
    </row>
    <row r="61" spans="3:4" x14ac:dyDescent="0.3">
      <c r="D61" t="s">
        <v>263</v>
      </c>
    </row>
    <row r="62" spans="3:4" x14ac:dyDescent="0.3">
      <c r="D62" t="s">
        <v>253</v>
      </c>
    </row>
    <row r="63" spans="3:4" x14ac:dyDescent="0.3">
      <c r="D63" t="s">
        <v>266</v>
      </c>
    </row>
    <row r="64" spans="3:4" x14ac:dyDescent="0.3">
      <c r="D64" t="s">
        <v>267</v>
      </c>
    </row>
    <row r="65" spans="3:4" x14ac:dyDescent="0.3">
      <c r="D65" t="s">
        <v>268</v>
      </c>
    </row>
    <row r="66" spans="3:4" x14ac:dyDescent="0.3">
      <c r="D66" t="s">
        <v>269</v>
      </c>
    </row>
    <row r="67" spans="3:4" x14ac:dyDescent="0.3">
      <c r="C67" t="s">
        <v>184</v>
      </c>
      <c r="D67" t="s">
        <v>270</v>
      </c>
    </row>
    <row r="68" spans="3:4" x14ac:dyDescent="0.3">
      <c r="D68" t="s">
        <v>271</v>
      </c>
    </row>
    <row r="69" spans="3:4" x14ac:dyDescent="0.3">
      <c r="D69" t="s">
        <v>272</v>
      </c>
    </row>
  </sheetData>
  <dataValidations count="2">
    <dataValidation type="list" allowBlank="1" showInputMessage="1" showErrorMessage="1" sqref="J4 J34" xr:uid="{00000000-0002-0000-0200-000000000000}">
      <formula1>$D$4:$H$4</formula1>
    </dataValidation>
    <dataValidation type="list" allowBlank="1" showInputMessage="1" showErrorMessage="1" sqref="K4 K34" xr:uid="{00000000-0002-0000-0200-000001000000}">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F55"/>
  <sheetViews>
    <sheetView topLeftCell="A43" zoomScaleNormal="100" workbookViewId="0">
      <selection activeCell="C57" sqref="C57"/>
    </sheetView>
  </sheetViews>
  <sheetFormatPr defaultRowHeight="14.4" x14ac:dyDescent="0.3"/>
  <cols>
    <col min="2" max="2" width="3" bestFit="1" customWidth="1"/>
    <col min="3" max="3" width="155.33203125" customWidth="1"/>
  </cols>
  <sheetData>
    <row r="2" spans="2:3" ht="15" customHeight="1" x14ac:dyDescent="0.3">
      <c r="B2" s="50">
        <v>1</v>
      </c>
      <c r="C2" s="52" t="s">
        <v>278</v>
      </c>
    </row>
    <row r="3" spans="2:3" x14ac:dyDescent="0.3">
      <c r="B3" s="50">
        <v>2</v>
      </c>
      <c r="C3" s="51" t="s">
        <v>279</v>
      </c>
    </row>
    <row r="4" spans="2:3" x14ac:dyDescent="0.3">
      <c r="B4" s="50">
        <v>3</v>
      </c>
      <c r="C4" s="50" t="s">
        <v>280</v>
      </c>
    </row>
    <row r="5" spans="2:3" x14ac:dyDescent="0.3">
      <c r="B5" s="50">
        <v>4</v>
      </c>
      <c r="C5" s="51" t="s">
        <v>281</v>
      </c>
    </row>
    <row r="6" spans="2:3" x14ac:dyDescent="0.3">
      <c r="B6" s="50">
        <v>5</v>
      </c>
      <c r="C6" s="50" t="s">
        <v>282</v>
      </c>
    </row>
    <row r="7" spans="2:3" x14ac:dyDescent="0.3">
      <c r="B7" s="50">
        <v>6</v>
      </c>
      <c r="C7" s="51" t="s">
        <v>283</v>
      </c>
    </row>
    <row r="8" spans="2:3" ht="72" x14ac:dyDescent="0.3">
      <c r="B8" s="50">
        <v>7</v>
      </c>
      <c r="C8" s="51" t="s">
        <v>284</v>
      </c>
    </row>
    <row r="9" spans="2:3" x14ac:dyDescent="0.3">
      <c r="B9" s="50">
        <v>8</v>
      </c>
      <c r="C9" s="50" t="s">
        <v>285</v>
      </c>
    </row>
    <row r="10" spans="2:3" x14ac:dyDescent="0.3">
      <c r="B10" s="50">
        <v>9</v>
      </c>
      <c r="C10" s="50" t="s">
        <v>286</v>
      </c>
    </row>
    <row r="11" spans="2:3" x14ac:dyDescent="0.3">
      <c r="B11" s="50">
        <v>10</v>
      </c>
      <c r="C11" s="50" t="s">
        <v>287</v>
      </c>
    </row>
    <row r="12" spans="2:3" x14ac:dyDescent="0.3">
      <c r="B12" s="50">
        <v>11</v>
      </c>
      <c r="C12" s="50" t="s">
        <v>288</v>
      </c>
    </row>
    <row r="13" spans="2:3" x14ac:dyDescent="0.3">
      <c r="B13" s="50">
        <v>12</v>
      </c>
      <c r="C13" s="50" t="s">
        <v>289</v>
      </c>
    </row>
    <row r="14" spans="2:3" x14ac:dyDescent="0.3">
      <c r="B14" s="50">
        <v>13</v>
      </c>
      <c r="C14" s="50" t="s">
        <v>290</v>
      </c>
    </row>
    <row r="15" spans="2:3" x14ac:dyDescent="0.3">
      <c r="B15" s="50">
        <v>14</v>
      </c>
      <c r="C15" s="50" t="s">
        <v>280</v>
      </c>
    </row>
    <row r="16" spans="2:3" x14ac:dyDescent="0.3">
      <c r="B16" s="50">
        <v>15</v>
      </c>
      <c r="C16" s="50" t="s">
        <v>292</v>
      </c>
    </row>
    <row r="17" spans="2:3" x14ac:dyDescent="0.3">
      <c r="B17" s="68">
        <v>16</v>
      </c>
      <c r="C17" s="55" t="s">
        <v>293</v>
      </c>
    </row>
    <row r="18" spans="2:3" x14ac:dyDescent="0.3">
      <c r="B18" s="54">
        <v>17</v>
      </c>
      <c r="C18" s="55" t="s">
        <v>294</v>
      </c>
    </row>
    <row r="19" spans="2:3" x14ac:dyDescent="0.3">
      <c r="B19" s="53">
        <v>18</v>
      </c>
      <c r="C19" s="50" t="s">
        <v>295</v>
      </c>
    </row>
    <row r="20" spans="2:3" x14ac:dyDescent="0.3">
      <c r="B20" s="54">
        <v>19</v>
      </c>
      <c r="C20" s="50" t="s">
        <v>331</v>
      </c>
    </row>
    <row r="21" spans="2:3" x14ac:dyDescent="0.3">
      <c r="B21" s="50">
        <v>20</v>
      </c>
      <c r="C21" s="50" t="s">
        <v>296</v>
      </c>
    </row>
    <row r="22" spans="2:3" x14ac:dyDescent="0.3">
      <c r="B22" s="54">
        <v>21</v>
      </c>
      <c r="C22" s="50" t="s">
        <v>295</v>
      </c>
    </row>
    <row r="23" spans="2:3" s="63" customFormat="1" ht="29.25" customHeight="1" x14ac:dyDescent="0.3">
      <c r="B23" s="62">
        <v>22</v>
      </c>
      <c r="C23" s="52" t="s">
        <v>323</v>
      </c>
    </row>
    <row r="24" spans="2:3" s="63" customFormat="1" ht="30.75" customHeight="1" x14ac:dyDescent="0.3">
      <c r="B24" s="64">
        <v>23</v>
      </c>
      <c r="C24" s="52" t="s">
        <v>324</v>
      </c>
    </row>
    <row r="25" spans="2:3" x14ac:dyDescent="0.3">
      <c r="B25" s="50">
        <v>24</v>
      </c>
      <c r="C25" s="50" t="s">
        <v>327</v>
      </c>
    </row>
    <row r="26" spans="2:3" x14ac:dyDescent="0.3">
      <c r="B26" s="54">
        <v>25</v>
      </c>
      <c r="C26" s="50" t="s">
        <v>325</v>
      </c>
    </row>
    <row r="27" spans="2:3" x14ac:dyDescent="0.3">
      <c r="B27" s="64">
        <v>26</v>
      </c>
      <c r="C27" s="50" t="s">
        <v>326</v>
      </c>
    </row>
    <row r="28" spans="2:3" x14ac:dyDescent="0.3">
      <c r="B28" s="54">
        <v>27</v>
      </c>
      <c r="C28" s="50" t="s">
        <v>328</v>
      </c>
    </row>
    <row r="29" spans="2:3" ht="43.2" x14ac:dyDescent="0.3">
      <c r="B29" s="67">
        <v>28</v>
      </c>
      <c r="C29" s="51" t="s">
        <v>329</v>
      </c>
    </row>
    <row r="30" spans="2:3" x14ac:dyDescent="0.3">
      <c r="B30" s="64">
        <v>29</v>
      </c>
      <c r="C30" s="50" t="s">
        <v>330</v>
      </c>
    </row>
    <row r="31" spans="2:3" ht="28.8" x14ac:dyDescent="0.3">
      <c r="B31" s="64">
        <v>30</v>
      </c>
      <c r="C31" s="51" t="s">
        <v>332</v>
      </c>
    </row>
    <row r="32" spans="2:3" x14ac:dyDescent="0.3">
      <c r="B32" s="64">
        <v>31</v>
      </c>
      <c r="C32" s="50" t="s">
        <v>333</v>
      </c>
    </row>
    <row r="33" spans="2:4" x14ac:dyDescent="0.3">
      <c r="B33" s="64">
        <v>32</v>
      </c>
      <c r="C33" s="50" t="s">
        <v>334</v>
      </c>
    </row>
    <row r="34" spans="2:4" ht="36.75" customHeight="1" x14ac:dyDescent="0.3">
      <c r="B34" s="64">
        <v>33</v>
      </c>
      <c r="C34" s="55" t="s">
        <v>335</v>
      </c>
    </row>
    <row r="35" spans="2:4" x14ac:dyDescent="0.3">
      <c r="B35" s="62">
        <v>34</v>
      </c>
      <c r="C35" s="50" t="s">
        <v>343</v>
      </c>
    </row>
    <row r="36" spans="2:4" ht="57.6" x14ac:dyDescent="0.3">
      <c r="B36" s="62">
        <v>35</v>
      </c>
      <c r="C36" s="51" t="s">
        <v>347</v>
      </c>
    </row>
    <row r="37" spans="2:4" x14ac:dyDescent="0.3">
      <c r="B37" s="50">
        <v>36</v>
      </c>
      <c r="C37" s="51" t="s">
        <v>358</v>
      </c>
    </row>
    <row r="38" spans="2:4" x14ac:dyDescent="0.3">
      <c r="B38" s="50">
        <f t="shared" ref="B38:B44" si="0">B37+1</f>
        <v>37</v>
      </c>
      <c r="C38" s="50" t="s">
        <v>354</v>
      </c>
    </row>
    <row r="39" spans="2:4" x14ac:dyDescent="0.3">
      <c r="B39" s="50">
        <f t="shared" si="0"/>
        <v>38</v>
      </c>
      <c r="C39" s="50" t="s">
        <v>355</v>
      </c>
    </row>
    <row r="40" spans="2:4" x14ac:dyDescent="0.3">
      <c r="B40" s="50">
        <f t="shared" si="0"/>
        <v>39</v>
      </c>
      <c r="C40" s="50" t="s">
        <v>356</v>
      </c>
    </row>
    <row r="41" spans="2:4" x14ac:dyDescent="0.3">
      <c r="B41" s="50">
        <f t="shared" si="0"/>
        <v>40</v>
      </c>
      <c r="C41" s="50" t="s">
        <v>357</v>
      </c>
    </row>
    <row r="42" spans="2:4" ht="29.4" thickBot="1" x14ac:dyDescent="0.35">
      <c r="B42" s="71">
        <f t="shared" si="0"/>
        <v>41</v>
      </c>
      <c r="C42" s="72" t="s">
        <v>359</v>
      </c>
    </row>
    <row r="43" spans="2:4" ht="28.8" x14ac:dyDescent="0.3">
      <c r="B43" s="75">
        <f t="shared" si="0"/>
        <v>42</v>
      </c>
      <c r="C43" s="80" t="s">
        <v>364</v>
      </c>
      <c r="D43" t="s">
        <v>365</v>
      </c>
    </row>
    <row r="44" spans="2:4" ht="15" thickBot="1" x14ac:dyDescent="0.35">
      <c r="B44" s="77">
        <f t="shared" si="0"/>
        <v>43</v>
      </c>
      <c r="C44" s="79" t="s">
        <v>360</v>
      </c>
    </row>
    <row r="45" spans="2:4" ht="15" thickBot="1" x14ac:dyDescent="0.35">
      <c r="B45" s="73">
        <f t="shared" ref="B45:B54" si="1">B44+1</f>
        <v>44</v>
      </c>
      <c r="C45" s="74" t="s">
        <v>361</v>
      </c>
    </row>
    <row r="46" spans="2:4" ht="28.8" x14ac:dyDescent="0.3">
      <c r="B46" s="75">
        <f t="shared" si="1"/>
        <v>45</v>
      </c>
      <c r="C46" s="76" t="s">
        <v>362</v>
      </c>
    </row>
    <row r="47" spans="2:4" ht="15" thickBot="1" x14ac:dyDescent="0.35">
      <c r="B47" s="77">
        <f t="shared" si="1"/>
        <v>46</v>
      </c>
      <c r="C47" s="78" t="s">
        <v>363</v>
      </c>
    </row>
    <row r="48" spans="2:4" x14ac:dyDescent="0.3">
      <c r="B48" s="81">
        <f t="shared" si="1"/>
        <v>47</v>
      </c>
      <c r="C48" s="82" t="s">
        <v>366</v>
      </c>
    </row>
    <row r="49" spans="2:6" x14ac:dyDescent="0.3">
      <c r="B49" s="81">
        <f t="shared" si="1"/>
        <v>48</v>
      </c>
      <c r="C49" s="82" t="s">
        <v>367</v>
      </c>
    </row>
    <row r="50" spans="2:6" x14ac:dyDescent="0.3">
      <c r="B50" s="81">
        <f t="shared" si="1"/>
        <v>49</v>
      </c>
      <c r="C50" s="82" t="s">
        <v>369</v>
      </c>
      <c r="D50" t="s">
        <v>368</v>
      </c>
    </row>
    <row r="51" spans="2:6" ht="28.8" x14ac:dyDescent="0.3">
      <c r="B51" s="83">
        <f t="shared" si="1"/>
        <v>50</v>
      </c>
      <c r="C51" s="84" t="s">
        <v>370</v>
      </c>
    </row>
    <row r="52" spans="2:6" x14ac:dyDescent="0.3">
      <c r="B52" s="83">
        <f t="shared" si="1"/>
        <v>51</v>
      </c>
      <c r="C52" s="85" t="s">
        <v>373</v>
      </c>
      <c r="D52" t="s">
        <v>374</v>
      </c>
    </row>
    <row r="53" spans="2:6" x14ac:dyDescent="0.3">
      <c r="B53" s="83">
        <f t="shared" si="1"/>
        <v>52</v>
      </c>
      <c r="C53" s="85" t="s">
        <v>376</v>
      </c>
      <c r="D53" t="s">
        <v>377</v>
      </c>
    </row>
    <row r="54" spans="2:6" ht="28.8" x14ac:dyDescent="0.3">
      <c r="B54" s="83">
        <f t="shared" si="1"/>
        <v>53</v>
      </c>
      <c r="C54" s="55" t="s">
        <v>381</v>
      </c>
      <c r="D54" t="s">
        <v>380</v>
      </c>
    </row>
    <row r="55" spans="2:6" ht="28.8" x14ac:dyDescent="0.3">
      <c r="B55">
        <v>54</v>
      </c>
      <c r="C55" s="87" t="s">
        <v>382</v>
      </c>
      <c r="D55" s="255" t="s">
        <v>383</v>
      </c>
      <c r="E55" s="256"/>
      <c r="F55" s="256"/>
    </row>
  </sheetData>
  <mergeCells count="1">
    <mergeCell ref="D55:F55"/>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L44"/>
  <sheetViews>
    <sheetView workbookViewId="0">
      <selection sqref="A1:XFD1048576"/>
    </sheetView>
  </sheetViews>
  <sheetFormatPr defaultColWidth="9.109375" defaultRowHeight="14.4" x14ac:dyDescent="0.3"/>
  <cols>
    <col min="1" max="1" width="9.109375" style="47"/>
    <col min="2" max="2" width="12.33203125" style="47" customWidth="1"/>
    <col min="3" max="16384" width="9.109375" style="47"/>
  </cols>
  <sheetData>
    <row r="2" spans="1:12" x14ac:dyDescent="0.3">
      <c r="B2" s="56" t="s">
        <v>297</v>
      </c>
      <c r="C2" s="257"/>
      <c r="D2" s="257"/>
    </row>
    <row r="3" spans="1:12" x14ac:dyDescent="0.3">
      <c r="D3" s="57"/>
      <c r="E3" s="57"/>
      <c r="F3" s="57"/>
      <c r="G3" s="57"/>
      <c r="H3" s="57"/>
      <c r="I3" s="57"/>
    </row>
    <row r="4" spans="1:12" x14ac:dyDescent="0.3">
      <c r="A4" s="56" t="s">
        <v>65</v>
      </c>
      <c r="B4" s="58" t="s">
        <v>298</v>
      </c>
      <c r="C4" s="258" t="s">
        <v>299</v>
      </c>
      <c r="D4" s="258"/>
      <c r="E4" s="258"/>
      <c r="F4" s="58"/>
      <c r="G4" s="259" t="s">
        <v>300</v>
      </c>
      <c r="H4" s="259"/>
      <c r="I4" s="259"/>
      <c r="J4" s="260" t="s">
        <v>301</v>
      </c>
      <c r="K4" s="260"/>
      <c r="L4" s="260"/>
    </row>
    <row r="5" spans="1:12" x14ac:dyDescent="0.3">
      <c r="A5" s="56"/>
      <c r="B5" s="58"/>
      <c r="C5" s="58" t="s">
        <v>302</v>
      </c>
      <c r="D5" s="58" t="s">
        <v>303</v>
      </c>
      <c r="E5" s="58" t="s">
        <v>304</v>
      </c>
      <c r="F5" s="58"/>
      <c r="G5" s="58" t="s">
        <v>302</v>
      </c>
      <c r="H5" s="58" t="s">
        <v>303</v>
      </c>
      <c r="I5" s="58" t="s">
        <v>304</v>
      </c>
      <c r="J5" s="58" t="s">
        <v>302</v>
      </c>
      <c r="K5" s="58" t="s">
        <v>303</v>
      </c>
      <c r="L5" s="58" t="s">
        <v>304</v>
      </c>
    </row>
    <row r="6" spans="1:12" x14ac:dyDescent="0.3">
      <c r="B6" s="48" t="s">
        <v>305</v>
      </c>
      <c r="C6" s="48"/>
      <c r="D6" s="48"/>
      <c r="E6" s="48">
        <f>C6*D6</f>
        <v>0</v>
      </c>
      <c r="F6" s="48" t="s">
        <v>322</v>
      </c>
      <c r="G6" s="48"/>
      <c r="H6" s="48"/>
      <c r="I6" s="48">
        <f>G6*H6</f>
        <v>0</v>
      </c>
      <c r="J6" s="48"/>
      <c r="K6" s="48"/>
      <c r="L6" s="48">
        <f>J6*K6</f>
        <v>0</v>
      </c>
    </row>
    <row r="7" spans="1:12" x14ac:dyDescent="0.3">
      <c r="B7" s="48"/>
      <c r="C7" s="48"/>
      <c r="D7" s="48"/>
      <c r="E7" s="48">
        <f t="shared" ref="E7:E41" si="0">C7*D7</f>
        <v>0</v>
      </c>
      <c r="F7" s="48" t="s">
        <v>322</v>
      </c>
      <c r="G7" s="48"/>
      <c r="H7" s="48"/>
      <c r="I7" s="48">
        <f t="shared" ref="I7:I35" si="1">G7*H7</f>
        <v>0</v>
      </c>
      <c r="J7" s="48"/>
      <c r="K7" s="48"/>
      <c r="L7" s="48">
        <f t="shared" ref="L7:L35" si="2">J7*K7</f>
        <v>0</v>
      </c>
    </row>
    <row r="8" spans="1:12" x14ac:dyDescent="0.3">
      <c r="B8" s="48"/>
      <c r="C8" s="48"/>
      <c r="D8" s="48"/>
      <c r="E8" s="48">
        <f t="shared" si="0"/>
        <v>0</v>
      </c>
      <c r="F8" s="48"/>
      <c r="G8" s="48"/>
      <c r="H8" s="48"/>
      <c r="I8" s="48">
        <f t="shared" si="1"/>
        <v>0</v>
      </c>
      <c r="J8" s="48"/>
      <c r="K8" s="48"/>
      <c r="L8" s="48">
        <f t="shared" si="2"/>
        <v>0</v>
      </c>
    </row>
    <row r="9" spans="1:12" x14ac:dyDescent="0.3">
      <c r="B9" s="48"/>
      <c r="C9" s="48"/>
      <c r="D9" s="48"/>
      <c r="E9" s="48">
        <f t="shared" si="0"/>
        <v>0</v>
      </c>
      <c r="F9" s="48" t="s">
        <v>306</v>
      </c>
      <c r="G9" s="48"/>
      <c r="H9" s="48"/>
      <c r="I9" s="48">
        <f t="shared" si="1"/>
        <v>0</v>
      </c>
      <c r="J9" s="48"/>
      <c r="K9" s="48"/>
      <c r="L9" s="48">
        <f t="shared" si="2"/>
        <v>0</v>
      </c>
    </row>
    <row r="10" spans="1:12" x14ac:dyDescent="0.3">
      <c r="B10" s="48" t="s">
        <v>307</v>
      </c>
      <c r="C10" s="48"/>
      <c r="D10" s="48"/>
      <c r="E10" s="48">
        <f t="shared" si="0"/>
        <v>0</v>
      </c>
      <c r="F10" s="48" t="s">
        <v>306</v>
      </c>
      <c r="G10" s="48"/>
      <c r="H10" s="48"/>
      <c r="I10" s="48">
        <f t="shared" si="1"/>
        <v>0</v>
      </c>
      <c r="J10" s="48"/>
      <c r="K10" s="48"/>
      <c r="L10" s="48">
        <f t="shared" si="2"/>
        <v>0</v>
      </c>
    </row>
    <row r="11" spans="1:12" x14ac:dyDescent="0.3">
      <c r="B11" s="48"/>
      <c r="C11" s="48"/>
      <c r="D11" s="48"/>
      <c r="E11" s="48">
        <f t="shared" si="0"/>
        <v>0</v>
      </c>
      <c r="F11" s="48" t="s">
        <v>308</v>
      </c>
      <c r="G11" s="48"/>
      <c r="H11" s="48"/>
      <c r="I11" s="48">
        <f t="shared" si="1"/>
        <v>0</v>
      </c>
      <c r="J11" s="48"/>
      <c r="K11" s="48"/>
      <c r="L11" s="48">
        <f t="shared" si="2"/>
        <v>0</v>
      </c>
    </row>
    <row r="12" spans="1:12" x14ac:dyDescent="0.3">
      <c r="B12" s="48"/>
      <c r="C12" s="48"/>
      <c r="D12" s="48"/>
      <c r="E12" s="48">
        <f t="shared" si="0"/>
        <v>0</v>
      </c>
      <c r="F12" s="48"/>
      <c r="G12" s="48"/>
      <c r="H12" s="48"/>
      <c r="I12" s="48">
        <f t="shared" si="1"/>
        <v>0</v>
      </c>
      <c r="J12" s="48"/>
      <c r="K12" s="48"/>
      <c r="L12" s="48">
        <f t="shared" si="2"/>
        <v>0</v>
      </c>
    </row>
    <row r="13" spans="1:12" x14ac:dyDescent="0.3">
      <c r="B13" s="48"/>
      <c r="C13" s="48"/>
      <c r="D13" s="48"/>
      <c r="E13" s="48">
        <f t="shared" si="0"/>
        <v>0</v>
      </c>
      <c r="F13" s="48"/>
      <c r="G13" s="48"/>
      <c r="H13" s="48"/>
      <c r="I13" s="48">
        <f t="shared" si="1"/>
        <v>0</v>
      </c>
      <c r="J13" s="48"/>
      <c r="K13" s="48"/>
      <c r="L13" s="48">
        <f t="shared" si="2"/>
        <v>0</v>
      </c>
    </row>
    <row r="14" spans="1:12" x14ac:dyDescent="0.3">
      <c r="B14" s="48" t="s">
        <v>309</v>
      </c>
      <c r="C14" s="48"/>
      <c r="D14" s="48"/>
      <c r="E14" s="48">
        <f t="shared" si="0"/>
        <v>0</v>
      </c>
      <c r="F14" s="48" t="s">
        <v>306</v>
      </c>
      <c r="G14" s="48"/>
      <c r="H14" s="48"/>
      <c r="I14" s="48">
        <f t="shared" si="1"/>
        <v>0</v>
      </c>
      <c r="J14" s="48"/>
      <c r="K14" s="48"/>
      <c r="L14" s="48">
        <f t="shared" si="2"/>
        <v>0</v>
      </c>
    </row>
    <row r="15" spans="1:12" x14ac:dyDescent="0.3">
      <c r="B15" s="48"/>
      <c r="C15" s="48"/>
      <c r="D15" s="48"/>
      <c r="E15" s="48">
        <f t="shared" si="0"/>
        <v>0</v>
      </c>
      <c r="F15" s="48" t="s">
        <v>308</v>
      </c>
      <c r="G15" s="48"/>
      <c r="H15" s="48"/>
      <c r="I15" s="48">
        <f t="shared" si="1"/>
        <v>0</v>
      </c>
      <c r="J15" s="48"/>
      <c r="K15" s="48"/>
      <c r="L15" s="48">
        <f t="shared" si="2"/>
        <v>0</v>
      </c>
    </row>
    <row r="16" spans="1:12" x14ac:dyDescent="0.3">
      <c r="B16" s="48"/>
      <c r="C16" s="48"/>
      <c r="D16" s="48"/>
      <c r="E16" s="48">
        <f t="shared" si="0"/>
        <v>0</v>
      </c>
      <c r="F16" s="48"/>
      <c r="G16" s="48"/>
      <c r="H16" s="48"/>
      <c r="I16" s="48">
        <f t="shared" si="1"/>
        <v>0</v>
      </c>
      <c r="J16" s="48"/>
      <c r="K16" s="48"/>
      <c r="L16" s="48">
        <f t="shared" si="2"/>
        <v>0</v>
      </c>
    </row>
    <row r="17" spans="2:12" x14ac:dyDescent="0.3">
      <c r="B17" s="48"/>
      <c r="C17" s="48"/>
      <c r="D17" s="48"/>
      <c r="E17" s="48">
        <f t="shared" si="0"/>
        <v>0</v>
      </c>
      <c r="F17" s="48"/>
      <c r="G17" s="48"/>
      <c r="H17" s="48"/>
      <c r="I17" s="48">
        <f t="shared" si="1"/>
        <v>0</v>
      </c>
      <c r="J17" s="48"/>
      <c r="K17" s="48"/>
      <c r="L17" s="48">
        <f t="shared" si="2"/>
        <v>0</v>
      </c>
    </row>
    <row r="18" spans="2:12" x14ac:dyDescent="0.3">
      <c r="B18" s="48" t="s">
        <v>310</v>
      </c>
      <c r="C18" s="48"/>
      <c r="D18" s="48"/>
      <c r="E18" s="48">
        <f t="shared" si="0"/>
        <v>0</v>
      </c>
      <c r="F18" s="48" t="s">
        <v>306</v>
      </c>
      <c r="G18" s="48"/>
      <c r="H18" s="48"/>
      <c r="I18" s="48">
        <f t="shared" si="1"/>
        <v>0</v>
      </c>
      <c r="J18" s="48"/>
      <c r="K18" s="48"/>
      <c r="L18" s="48">
        <f t="shared" si="2"/>
        <v>0</v>
      </c>
    </row>
    <row r="19" spans="2:12" x14ac:dyDescent="0.3">
      <c r="B19" s="48"/>
      <c r="C19" s="48"/>
      <c r="D19" s="48"/>
      <c r="E19" s="48">
        <f t="shared" si="0"/>
        <v>0</v>
      </c>
      <c r="F19" s="48" t="s">
        <v>308</v>
      </c>
      <c r="G19" s="48"/>
      <c r="H19" s="48"/>
      <c r="I19" s="48">
        <f t="shared" si="1"/>
        <v>0</v>
      </c>
      <c r="J19" s="48"/>
      <c r="K19" s="48"/>
      <c r="L19" s="48">
        <f t="shared" si="2"/>
        <v>0</v>
      </c>
    </row>
    <row r="20" spans="2:12" x14ac:dyDescent="0.3">
      <c r="B20" s="48"/>
      <c r="C20" s="48"/>
      <c r="D20" s="48"/>
      <c r="E20" s="48">
        <f t="shared" si="0"/>
        <v>0</v>
      </c>
      <c r="F20" s="48"/>
      <c r="G20" s="48"/>
      <c r="H20" s="48"/>
      <c r="I20" s="48">
        <f t="shared" si="1"/>
        <v>0</v>
      </c>
      <c r="J20" s="48"/>
      <c r="K20" s="48"/>
      <c r="L20" s="48">
        <f t="shared" si="2"/>
        <v>0</v>
      </c>
    </row>
    <row r="21" spans="2:12" x14ac:dyDescent="0.3">
      <c r="B21" s="48" t="s">
        <v>311</v>
      </c>
      <c r="C21" s="48"/>
      <c r="D21" s="48"/>
      <c r="E21" s="48">
        <f t="shared" si="0"/>
        <v>0</v>
      </c>
      <c r="F21" s="48" t="s">
        <v>306</v>
      </c>
      <c r="G21" s="48"/>
      <c r="H21" s="48"/>
      <c r="I21" s="48">
        <f t="shared" si="1"/>
        <v>0</v>
      </c>
      <c r="J21" s="48"/>
      <c r="K21" s="48"/>
      <c r="L21" s="48">
        <f t="shared" si="2"/>
        <v>0</v>
      </c>
    </row>
    <row r="22" spans="2:12" x14ac:dyDescent="0.3">
      <c r="B22" s="48"/>
      <c r="C22" s="48"/>
      <c r="D22" s="48"/>
      <c r="E22" s="48">
        <f t="shared" si="0"/>
        <v>0</v>
      </c>
      <c r="F22" s="48" t="s">
        <v>308</v>
      </c>
      <c r="G22" s="48"/>
      <c r="H22" s="48"/>
      <c r="I22" s="48">
        <f t="shared" si="1"/>
        <v>0</v>
      </c>
      <c r="J22" s="48"/>
      <c r="K22" s="48"/>
      <c r="L22" s="48">
        <f t="shared" si="2"/>
        <v>0</v>
      </c>
    </row>
    <row r="23" spans="2:12" x14ac:dyDescent="0.3">
      <c r="B23" s="48"/>
      <c r="C23" s="48"/>
      <c r="D23" s="48"/>
      <c r="E23" s="48">
        <f t="shared" si="0"/>
        <v>0</v>
      </c>
      <c r="F23" s="48"/>
      <c r="G23" s="48"/>
      <c r="H23" s="48"/>
      <c r="I23" s="48">
        <f t="shared" si="1"/>
        <v>0</v>
      </c>
      <c r="J23" s="48"/>
      <c r="K23" s="48"/>
      <c r="L23" s="48">
        <f t="shared" si="2"/>
        <v>0</v>
      </c>
    </row>
    <row r="24" spans="2:12" x14ac:dyDescent="0.3">
      <c r="B24" s="48" t="s">
        <v>312</v>
      </c>
      <c r="C24" s="48"/>
      <c r="D24" s="48"/>
      <c r="E24" s="48">
        <f t="shared" si="0"/>
        <v>0</v>
      </c>
      <c r="F24" s="48" t="s">
        <v>313</v>
      </c>
      <c r="G24" s="48"/>
      <c r="H24" s="48"/>
      <c r="I24" s="48">
        <f t="shared" si="1"/>
        <v>0</v>
      </c>
      <c r="J24" s="48"/>
      <c r="K24" s="48"/>
      <c r="L24" s="48">
        <f t="shared" si="2"/>
        <v>0</v>
      </c>
    </row>
    <row r="25" spans="2:12" x14ac:dyDescent="0.3">
      <c r="B25" s="48"/>
      <c r="C25" s="48"/>
      <c r="D25" s="48"/>
      <c r="E25" s="48">
        <f>C25*D25</f>
        <v>0</v>
      </c>
      <c r="F25" s="48" t="s">
        <v>313</v>
      </c>
      <c r="G25" s="48"/>
      <c r="H25" s="48"/>
      <c r="I25" s="48">
        <f>G25*H25</f>
        <v>0</v>
      </c>
      <c r="J25" s="48"/>
      <c r="K25" s="48"/>
      <c r="L25" s="48">
        <f>J25*K25</f>
        <v>0</v>
      </c>
    </row>
    <row r="26" spans="2:12" x14ac:dyDescent="0.3">
      <c r="B26" s="48"/>
      <c r="C26" s="48"/>
      <c r="D26" s="48"/>
      <c r="E26" s="48">
        <f>C26*D26</f>
        <v>0</v>
      </c>
      <c r="F26" s="48" t="s">
        <v>313</v>
      </c>
      <c r="G26" s="48"/>
      <c r="H26" s="48"/>
      <c r="I26" s="48">
        <f>G26*H26</f>
        <v>0</v>
      </c>
      <c r="J26" s="48"/>
      <c r="K26" s="48"/>
      <c r="L26" s="48">
        <f>J26*K26</f>
        <v>0</v>
      </c>
    </row>
    <row r="27" spans="2:12" x14ac:dyDescent="0.3">
      <c r="B27" s="48"/>
      <c r="C27" s="48"/>
      <c r="D27" s="48"/>
      <c r="E27" s="48">
        <f>C27*D27</f>
        <v>0</v>
      </c>
      <c r="F27" s="48" t="s">
        <v>313</v>
      </c>
      <c r="G27" s="48"/>
      <c r="H27" s="48"/>
      <c r="I27" s="48">
        <f>G27*H27</f>
        <v>0</v>
      </c>
      <c r="J27" s="48"/>
      <c r="K27" s="48"/>
      <c r="L27" s="48">
        <f>J27*K27</f>
        <v>0</v>
      </c>
    </row>
    <row r="28" spans="2:12" x14ac:dyDescent="0.3">
      <c r="B28" s="48" t="s">
        <v>314</v>
      </c>
      <c r="C28" s="48"/>
      <c r="D28" s="48"/>
      <c r="E28" s="48">
        <f t="shared" si="0"/>
        <v>0</v>
      </c>
      <c r="F28" s="48" t="s">
        <v>313</v>
      </c>
      <c r="G28" s="48"/>
      <c r="H28" s="48"/>
      <c r="I28" s="48">
        <f t="shared" si="1"/>
        <v>0</v>
      </c>
      <c r="J28" s="48"/>
      <c r="K28" s="48"/>
      <c r="L28" s="48">
        <f t="shared" si="2"/>
        <v>0</v>
      </c>
    </row>
    <row r="29" spans="2:12" x14ac:dyDescent="0.3">
      <c r="B29" s="48" t="s">
        <v>315</v>
      </c>
      <c r="C29" s="48"/>
      <c r="D29" s="48"/>
      <c r="E29" s="48">
        <f t="shared" si="0"/>
        <v>0</v>
      </c>
      <c r="F29" s="48" t="s">
        <v>313</v>
      </c>
      <c r="G29" s="48"/>
      <c r="H29" s="48"/>
      <c r="I29" s="48">
        <f t="shared" si="1"/>
        <v>0</v>
      </c>
      <c r="J29" s="48"/>
      <c r="K29" s="48"/>
      <c r="L29" s="48">
        <f t="shared" si="2"/>
        <v>0</v>
      </c>
    </row>
    <row r="30" spans="2:12" x14ac:dyDescent="0.3">
      <c r="B30" s="48" t="s">
        <v>319</v>
      </c>
      <c r="C30" s="48"/>
      <c r="D30" s="48"/>
      <c r="E30" s="48">
        <f t="shared" si="0"/>
        <v>0</v>
      </c>
      <c r="F30" s="48"/>
      <c r="G30" s="48"/>
      <c r="H30" s="48"/>
      <c r="I30" s="48">
        <f t="shared" si="1"/>
        <v>0</v>
      </c>
      <c r="J30" s="48"/>
      <c r="K30" s="48"/>
      <c r="L30" s="48">
        <f t="shared" si="2"/>
        <v>0</v>
      </c>
    </row>
    <row r="31" spans="2:12" x14ac:dyDescent="0.3">
      <c r="B31" s="48"/>
      <c r="C31" s="48"/>
      <c r="D31" s="48"/>
      <c r="E31" s="48">
        <f>C31*D31</f>
        <v>0</v>
      </c>
      <c r="F31" s="48"/>
      <c r="G31" s="48"/>
      <c r="H31" s="48"/>
      <c r="I31" s="48">
        <f>G31*H31</f>
        <v>0</v>
      </c>
      <c r="J31" s="48"/>
      <c r="K31" s="48"/>
      <c r="L31" s="48">
        <f>J31*K31</f>
        <v>0</v>
      </c>
    </row>
    <row r="32" spans="2:12" x14ac:dyDescent="0.3">
      <c r="B32" s="48"/>
      <c r="C32" s="48"/>
      <c r="D32" s="48"/>
      <c r="E32" s="48">
        <f>C32*D32</f>
        <v>0</v>
      </c>
      <c r="F32" s="48"/>
      <c r="G32" s="48"/>
      <c r="H32" s="48"/>
      <c r="I32" s="48">
        <f>G32*H32</f>
        <v>0</v>
      </c>
      <c r="J32" s="48"/>
      <c r="K32" s="48"/>
      <c r="L32" s="48">
        <f>J32*K32</f>
        <v>0</v>
      </c>
    </row>
    <row r="33" spans="2:12" x14ac:dyDescent="0.3">
      <c r="B33" s="48" t="s">
        <v>316</v>
      </c>
      <c r="C33" s="48"/>
      <c r="D33" s="48"/>
      <c r="E33" s="48">
        <f t="shared" si="0"/>
        <v>0</v>
      </c>
      <c r="F33" s="48"/>
      <c r="G33" s="48"/>
      <c r="H33" s="48"/>
      <c r="I33" s="48">
        <f t="shared" si="1"/>
        <v>0</v>
      </c>
      <c r="J33" s="48"/>
      <c r="K33" s="48"/>
      <c r="L33" s="48">
        <f t="shared" si="2"/>
        <v>0</v>
      </c>
    </row>
    <row r="34" spans="2:12" x14ac:dyDescent="0.3">
      <c r="B34" s="48" t="s">
        <v>320</v>
      </c>
      <c r="C34" s="48"/>
      <c r="D34" s="48"/>
      <c r="E34" s="48">
        <f t="shared" si="0"/>
        <v>0</v>
      </c>
      <c r="F34" s="48"/>
      <c r="G34" s="48"/>
      <c r="H34" s="48"/>
      <c r="I34" s="48">
        <f t="shared" si="1"/>
        <v>0</v>
      </c>
      <c r="J34" s="48"/>
      <c r="K34" s="48"/>
      <c r="L34" s="48">
        <f t="shared" si="2"/>
        <v>0</v>
      </c>
    </row>
    <row r="35" spans="2:12" x14ac:dyDescent="0.3">
      <c r="B35" s="48" t="s">
        <v>317</v>
      </c>
      <c r="C35" s="48"/>
      <c r="D35" s="48"/>
      <c r="E35" s="48">
        <f t="shared" si="0"/>
        <v>0</v>
      </c>
      <c r="F35" s="48"/>
      <c r="G35" s="48"/>
      <c r="H35" s="48"/>
      <c r="I35" s="48">
        <f t="shared" si="1"/>
        <v>0</v>
      </c>
      <c r="J35" s="48"/>
      <c r="K35" s="48"/>
      <c r="L35" s="48">
        <f t="shared" si="2"/>
        <v>0</v>
      </c>
    </row>
    <row r="36" spans="2:12" x14ac:dyDescent="0.3">
      <c r="B36" s="48" t="s">
        <v>318</v>
      </c>
      <c r="C36" s="48"/>
      <c r="D36" s="48"/>
      <c r="E36" s="48">
        <f t="shared" si="0"/>
        <v>0</v>
      </c>
      <c r="F36" s="48"/>
      <c r="G36" s="48"/>
      <c r="H36" s="48"/>
      <c r="I36" s="48">
        <f t="shared" ref="I36:I41" si="3">G36*H36</f>
        <v>0</v>
      </c>
      <c r="J36" s="48"/>
      <c r="K36" s="48"/>
      <c r="L36" s="48">
        <f t="shared" ref="L36:L41" si="4">J36*K36</f>
        <v>0</v>
      </c>
    </row>
    <row r="37" spans="2:12" x14ac:dyDescent="0.3">
      <c r="B37" s="48"/>
      <c r="C37" s="48"/>
      <c r="D37" s="48"/>
      <c r="E37" s="48">
        <f>C37*D37</f>
        <v>0</v>
      </c>
      <c r="F37" s="48"/>
      <c r="G37" s="48"/>
      <c r="H37" s="48"/>
      <c r="I37" s="48">
        <f t="shared" si="3"/>
        <v>0</v>
      </c>
      <c r="J37" s="48"/>
      <c r="K37" s="48"/>
      <c r="L37" s="48">
        <f t="shared" si="4"/>
        <v>0</v>
      </c>
    </row>
    <row r="38" spans="2:12" x14ac:dyDescent="0.3">
      <c r="B38" s="48" t="s">
        <v>321</v>
      </c>
      <c r="C38" s="48"/>
      <c r="D38" s="48"/>
      <c r="E38" s="48">
        <f>C38*D38</f>
        <v>0</v>
      </c>
      <c r="F38" s="48"/>
      <c r="G38" s="48"/>
      <c r="H38" s="48"/>
      <c r="I38" s="48">
        <f t="shared" si="3"/>
        <v>0</v>
      </c>
      <c r="J38" s="48"/>
      <c r="K38" s="48"/>
      <c r="L38" s="48">
        <f t="shared" si="4"/>
        <v>0</v>
      </c>
    </row>
    <row r="39" spans="2:12" x14ac:dyDescent="0.3">
      <c r="B39" s="48"/>
      <c r="C39" s="48"/>
      <c r="D39" s="48"/>
      <c r="E39" s="48">
        <f t="shared" si="0"/>
        <v>0</v>
      </c>
      <c r="F39" s="48"/>
      <c r="G39" s="48"/>
      <c r="H39" s="48"/>
      <c r="I39" s="48">
        <f t="shared" si="3"/>
        <v>0</v>
      </c>
      <c r="J39" s="48"/>
      <c r="K39" s="48"/>
      <c r="L39" s="48">
        <f t="shared" si="4"/>
        <v>0</v>
      </c>
    </row>
    <row r="40" spans="2:12" x14ac:dyDescent="0.3">
      <c r="B40" s="48"/>
      <c r="C40" s="48"/>
      <c r="D40" s="48"/>
      <c r="E40" s="48">
        <f t="shared" si="0"/>
        <v>0</v>
      </c>
      <c r="F40" s="48"/>
      <c r="G40" s="48"/>
      <c r="H40" s="48"/>
      <c r="I40" s="48">
        <f t="shared" si="3"/>
        <v>0</v>
      </c>
      <c r="J40" s="48"/>
      <c r="K40" s="48"/>
      <c r="L40" s="48">
        <f t="shared" si="4"/>
        <v>0</v>
      </c>
    </row>
    <row r="41" spans="2:12" x14ac:dyDescent="0.3">
      <c r="B41" s="48"/>
      <c r="C41" s="48"/>
      <c r="D41" s="48"/>
      <c r="E41" s="48">
        <f t="shared" si="0"/>
        <v>0</v>
      </c>
      <c r="F41" s="48"/>
      <c r="G41" s="48"/>
      <c r="H41" s="48"/>
      <c r="I41" s="48">
        <f t="shared" si="3"/>
        <v>0</v>
      </c>
      <c r="J41" s="48"/>
      <c r="K41" s="48"/>
      <c r="L41" s="48">
        <f t="shared" si="4"/>
        <v>0</v>
      </c>
    </row>
    <row r="42" spans="2:12" x14ac:dyDescent="0.3">
      <c r="B42" s="48" t="s">
        <v>145</v>
      </c>
      <c r="C42" s="48"/>
      <c r="D42" s="48">
        <f>E42*10.764</f>
        <v>0</v>
      </c>
      <c r="E42" s="61">
        <f>SUM(E6:E41)</f>
        <v>0</v>
      </c>
      <c r="F42" s="48"/>
      <c r="G42" s="48"/>
      <c r="H42" s="48">
        <f>I42*10.764</f>
        <v>0</v>
      </c>
      <c r="I42" s="60">
        <f>SUM(I6:I41)</f>
        <v>0</v>
      </c>
      <c r="J42" s="48"/>
      <c r="K42" s="48">
        <f>L42*10.764</f>
        <v>0</v>
      </c>
      <c r="L42" s="59">
        <f>SUM(L6:L41)</f>
        <v>0</v>
      </c>
    </row>
    <row r="44" spans="2:12" x14ac:dyDescent="0.3">
      <c r="D44" s="47">
        <f>D42+H42</f>
        <v>0</v>
      </c>
      <c r="E44" s="47">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USER</cp:lastModifiedBy>
  <cp:lastPrinted>2025-09-19T07:08:00Z</cp:lastPrinted>
  <dcterms:created xsi:type="dcterms:W3CDTF">2019-07-16T09:29:46Z</dcterms:created>
  <dcterms:modified xsi:type="dcterms:W3CDTF">2025-09-19T07:11:04Z</dcterms:modified>
</cp:coreProperties>
</file>