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23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1" i="1" l="1"/>
  <c r="C67" i="1"/>
  <c r="J92" i="1"/>
  <c r="J91" i="1"/>
  <c r="J90" i="1"/>
  <c r="J89" i="1"/>
  <c r="J78" i="1"/>
  <c r="J77" i="1"/>
  <c r="J76" i="1"/>
  <c r="J75" i="1"/>
  <c r="H82" i="1"/>
  <c r="H68" i="1"/>
  <c r="J87" i="1" l="1"/>
  <c r="J88" i="1" s="1"/>
  <c r="J93" i="1" s="1"/>
  <c r="J94" i="1" s="1"/>
  <c r="C86" i="1" s="1"/>
  <c r="D93" i="1"/>
  <c r="D91" i="1"/>
  <c r="D89" i="1"/>
  <c r="D87" i="1"/>
  <c r="J85" i="1"/>
  <c r="J81" i="1"/>
  <c r="J83" i="1" s="1"/>
  <c r="J86" i="1"/>
  <c r="C85" i="1" s="1"/>
  <c r="J84" i="1"/>
  <c r="D94" i="1"/>
  <c r="D92" i="1"/>
  <c r="D90" i="1"/>
  <c r="D88" i="1"/>
  <c r="J73" i="1"/>
  <c r="J74" i="1" s="1"/>
  <c r="J79" i="1" s="1"/>
  <c r="J80" i="1" s="1"/>
  <c r="C72" i="1" s="1"/>
  <c r="D79" i="1"/>
  <c r="D77" i="1"/>
  <c r="D75" i="1"/>
  <c r="D73" i="1"/>
  <c r="J71" i="1"/>
  <c r="J67" i="1"/>
  <c r="J69" i="1" s="1"/>
  <c r="J72" i="1"/>
  <c r="C71" i="1" s="1"/>
  <c r="J70" i="1"/>
  <c r="D80" i="1"/>
  <c r="D78" i="1"/>
  <c r="D76" i="1"/>
  <c r="D74" i="1"/>
  <c r="B220" i="1"/>
  <c r="E85" i="1" l="1"/>
  <c r="D86" i="1"/>
  <c r="G85" i="1"/>
  <c r="D85" i="1"/>
  <c r="E71" i="1"/>
  <c r="D72" i="1"/>
  <c r="G71" i="1"/>
  <c r="D65" i="1" s="1"/>
  <c r="D71" i="1"/>
  <c r="J68" i="1" s="1"/>
  <c r="D217" i="1"/>
  <c r="F217" i="1" s="1"/>
  <c r="D216" i="1"/>
  <c r="F216" i="1" s="1"/>
  <c r="D215" i="1"/>
  <c r="F215" i="1" s="1"/>
  <c r="D214" i="1"/>
  <c r="F214" i="1" s="1"/>
  <c r="D213" i="1"/>
  <c r="F213" i="1" s="1"/>
  <c r="D212" i="1"/>
  <c r="F212" i="1" s="1"/>
  <c r="D211" i="1"/>
  <c r="F211" i="1" s="1"/>
  <c r="A211" i="1"/>
  <c r="A212" i="1" s="1"/>
  <c r="A213" i="1" s="1"/>
  <c r="A214" i="1" s="1"/>
  <c r="A215" i="1" s="1"/>
  <c r="A216" i="1" s="1"/>
  <c r="A217" i="1" s="1"/>
  <c r="G210" i="1"/>
  <c r="D189" i="1"/>
  <c r="F189" i="1" s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A182" i="1"/>
  <c r="A183" i="1" s="1"/>
  <c r="A184" i="1" s="1"/>
  <c r="A185" i="1" s="1"/>
  <c r="A186" i="1" s="1"/>
  <c r="A187" i="1" s="1"/>
  <c r="A188" i="1" s="1"/>
  <c r="A189" i="1" s="1"/>
  <c r="G181" i="1"/>
  <c r="D181" i="1"/>
  <c r="F181" i="1" s="1"/>
  <c r="D206" i="1"/>
  <c r="F206" i="1" s="1"/>
  <c r="D205" i="1"/>
  <c r="F205" i="1" s="1"/>
  <c r="D208" i="1"/>
  <c r="F208" i="1" s="1"/>
  <c r="D207" i="1"/>
  <c r="F207" i="1" s="1"/>
  <c r="D204" i="1"/>
  <c r="F204" i="1" s="1"/>
  <c r="D203" i="1"/>
  <c r="F203" i="1" s="1"/>
  <c r="D202" i="1"/>
  <c r="F202" i="1" s="1"/>
  <c r="D201" i="1"/>
  <c r="F201" i="1" s="1"/>
  <c r="A202" i="1"/>
  <c r="A203" i="1" s="1"/>
  <c r="A204" i="1" s="1"/>
  <c r="A205" i="1" s="1"/>
  <c r="A206" i="1" s="1"/>
  <c r="A207" i="1" s="1"/>
  <c r="A208" i="1" s="1"/>
  <c r="G201" i="1"/>
  <c r="D179" i="1"/>
  <c r="F179" i="1" s="1"/>
  <c r="D178" i="1"/>
  <c r="F178" i="1" s="1"/>
  <c r="D177" i="1"/>
  <c r="F177" i="1" s="1"/>
  <c r="D176" i="1"/>
  <c r="F176" i="1" s="1"/>
  <c r="D175" i="1"/>
  <c r="F175" i="1" s="1"/>
  <c r="D174" i="1"/>
  <c r="F174" i="1" s="1"/>
  <c r="L112" i="1" s="1"/>
  <c r="D173" i="1"/>
  <c r="F173" i="1" s="1"/>
  <c r="D172" i="1"/>
  <c r="F172" i="1" s="1"/>
  <c r="D171" i="1"/>
  <c r="F171" i="1" s="1"/>
  <c r="A172" i="1"/>
  <c r="A173" i="1" s="1"/>
  <c r="A174" i="1" s="1"/>
  <c r="A175" i="1" s="1"/>
  <c r="A176" i="1" s="1"/>
  <c r="A177" i="1" s="1"/>
  <c r="A178" i="1" s="1"/>
  <c r="A179" i="1" s="1"/>
  <c r="G171" i="1"/>
  <c r="D199" i="1"/>
  <c r="F199" i="1" s="1"/>
  <c r="D198" i="1"/>
  <c r="F198" i="1" s="1"/>
  <c r="E195" i="1"/>
  <c r="D195" i="1"/>
  <c r="E194" i="1"/>
  <c r="D194" i="1"/>
  <c r="D193" i="1"/>
  <c r="F193" i="1" s="1"/>
  <c r="D192" i="1"/>
  <c r="F192" i="1" s="1"/>
  <c r="I192" i="1" s="1"/>
  <c r="D197" i="1"/>
  <c r="F197" i="1" s="1"/>
  <c r="D196" i="1"/>
  <c r="F196" i="1" s="1"/>
  <c r="A193" i="1"/>
  <c r="A194" i="1" s="1"/>
  <c r="A195" i="1" s="1"/>
  <c r="A196" i="1" s="1"/>
  <c r="A197" i="1" s="1"/>
  <c r="A198" i="1" s="1"/>
  <c r="A199" i="1" s="1"/>
  <c r="G192" i="1"/>
  <c r="D169" i="1"/>
  <c r="F169" i="1" s="1"/>
  <c r="D168" i="1"/>
  <c r="F168" i="1" s="1"/>
  <c r="D167" i="1"/>
  <c r="F167" i="1" s="1"/>
  <c r="D166" i="1"/>
  <c r="F166" i="1" s="1"/>
  <c r="D165" i="1"/>
  <c r="F165" i="1" s="1"/>
  <c r="E164" i="1"/>
  <c r="D164" i="1"/>
  <c r="D163" i="1"/>
  <c r="F163" i="1" s="1"/>
  <c r="E162" i="1"/>
  <c r="E161" i="1"/>
  <c r="D162" i="1"/>
  <c r="D161" i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I145" i="1"/>
  <c r="G145" i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3" i="1"/>
  <c r="F133" i="1" s="1"/>
  <c r="D132" i="1"/>
  <c r="D131" i="1"/>
  <c r="F131" i="1" s="1"/>
  <c r="I131" i="1"/>
  <c r="G118" i="1" l="1"/>
  <c r="F164" i="1"/>
  <c r="F132" i="1"/>
  <c r="K132" i="1"/>
  <c r="F194" i="1"/>
  <c r="I82" i="1"/>
  <c r="I83" i="1" s="1"/>
  <c r="J82" i="1"/>
  <c r="I68" i="1"/>
  <c r="C122" i="1"/>
  <c r="C117" i="1"/>
  <c r="F162" i="1"/>
  <c r="E117" i="1"/>
  <c r="E118" i="1"/>
  <c r="E122" i="1"/>
  <c r="F195" i="1"/>
  <c r="G123" i="1" s="1"/>
  <c r="E123" i="1"/>
  <c r="C123" i="1"/>
  <c r="C118" i="1"/>
  <c r="C119" i="1" s="1"/>
  <c r="F161" i="1"/>
  <c r="G117" i="1"/>
  <c r="C124" i="1" l="1"/>
  <c r="G119" i="1"/>
  <c r="G122" i="1"/>
  <c r="G124" i="1" s="1"/>
  <c r="I69" i="1"/>
  <c r="I67" i="1" s="1"/>
  <c r="C69" i="1" s="1"/>
  <c r="I81" i="1"/>
  <c r="C83" i="1" s="1"/>
  <c r="E124" i="1"/>
  <c r="E119" i="1"/>
  <c r="B221" i="1" l="1"/>
  <c r="C13" i="1" l="1"/>
  <c r="E28" i="1" l="1"/>
  <c r="A162" i="1" l="1"/>
  <c r="A163" i="1" s="1"/>
  <c r="A164" i="1" s="1"/>
  <c r="A165" i="1" s="1"/>
  <c r="A166" i="1" s="1"/>
  <c r="A167" i="1" s="1"/>
  <c r="A168" i="1" s="1"/>
  <c r="A169" i="1" s="1"/>
  <c r="G161" i="1"/>
  <c r="F114" i="1" l="1"/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243" i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G131" i="1"/>
  <c r="J106" i="1"/>
  <c r="J105" i="1"/>
  <c r="J104" i="1"/>
  <c r="J103" i="1"/>
  <c r="C95" i="1"/>
  <c r="D54" i="1"/>
  <c r="C48" i="1"/>
  <c r="E41" i="1"/>
  <c r="E42" i="1" s="1"/>
  <c r="E25" i="1"/>
  <c r="E23" i="1"/>
  <c r="E7" i="1"/>
  <c r="E3" i="1"/>
  <c r="H96" i="1"/>
  <c r="D61" i="1" l="1"/>
  <c r="C101" i="1"/>
  <c r="J95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D101" i="1" l="1"/>
  <c r="J97" i="1"/>
  <c r="D99" i="1"/>
  <c r="J96" i="1" s="1"/>
  <c r="E99" i="1"/>
  <c r="D100" i="1"/>
  <c r="G99" i="1"/>
  <c r="I96" i="1" l="1"/>
  <c r="F66" i="1" l="1"/>
  <c r="I97" i="1"/>
  <c r="I95" i="1" s="1"/>
  <c r="C97" i="1" s="1"/>
  <c r="D66" i="1" l="1"/>
</calcChain>
</file>

<file path=xl/sharedStrings.xml><?xml version="1.0" encoding="utf-8"?>
<sst xmlns="http://schemas.openxmlformats.org/spreadsheetml/2006/main" count="412" uniqueCount="214">
  <si>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</si>
  <si>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</si>
  <si>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</si>
  <si>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</si>
  <si>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</si>
  <si>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</si>
  <si>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</si>
  <si>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</si>
  <si>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</si>
  <si>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</si>
  <si>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</si>
  <si>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</si>
  <si>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</si>
  <si>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</si>
  <si>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</si>
  <si>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</si>
  <si>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</si>
  <si>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</si>
  <si>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</si>
  <si>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</si>
  <si>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</si>
  <si>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</si>
  <si>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</si>
  <si>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</si>
  <si>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</si>
  <si>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</si>
  <si>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</si>
  <si>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</si>
  <si>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</si>
  <si>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</si>
  <si>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</si>
  <si>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</si>
  <si>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</si>
  <si>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</si>
  <si>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</si>
  <si>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</si>
  <si>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</si>
  <si>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</si>
  <si>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</si>
  <si>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</si>
  <si>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</si>
  <si>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</si>
  <si>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</si>
  <si>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</si>
  <si>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</si>
  <si>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</si>
  <si>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</si>
  <si>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</si>
  <si>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</si>
  <si>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</si>
  <si>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</si>
  <si>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</si>
  <si>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</si>
  <si>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</si>
  <si>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</si>
  <si>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</si>
  <si>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</si>
  <si>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</si>
  <si>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</si>
  <si>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</si>
  <si>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</si>
  <si>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</si>
  <si>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</si>
  <si>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</si>
  <si>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</si>
  <si>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</si>
  <si>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</si>
  <si>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</si>
  <si>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</si>
  <si>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</si>
  <si>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</si>
  <si>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</si>
  <si>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</si>
  <si>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</si>
  <si>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</si>
  <si>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</si>
  <si>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</si>
  <si>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</si>
  <si>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</si>
  <si>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</si>
  <si>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</si>
  <si>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</si>
  <si>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</si>
  <si>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</si>
  <si>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</si>
  <si>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</si>
  <si>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</si>
  <si>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</si>
  <si>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</si>
  <si>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</si>
  <si>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</si>
  <si>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</si>
  <si>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</si>
  <si>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</si>
  <si>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</si>
  <si>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</si>
  <si>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</si>
  <si>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</si>
  <si>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</si>
  <si>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</si>
  <si>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</si>
  <si>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</si>
  <si>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</si>
  <si>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</si>
  <si>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</si>
  <si>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</si>
  <si>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</si>
  <si>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</si>
  <si>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</si>
  <si>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</si>
  <si>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</si>
  <si>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</si>
  <si>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</si>
  <si>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</si>
  <si>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</si>
  <si>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</si>
  <si>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</si>
  <si>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</si>
  <si>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</si>
  <si>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</si>
  <si>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</si>
  <si>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</si>
  <si>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</si>
  <si>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</si>
  <si>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</si>
  <si>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</si>
  <si>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</si>
  <si>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</si>
  <si>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</si>
  <si>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</si>
  <si>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</si>
  <si>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</si>
  <si>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</si>
  <si>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</si>
  <si>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</si>
  <si>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</si>
  <si>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</si>
  <si>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</si>
  <si>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</si>
  <si>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</si>
  <si>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</si>
  <si>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</si>
  <si>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</si>
  <si>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</si>
  <si>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</si>
  <si>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</si>
  <si>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</si>
  <si>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</si>
  <si>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</si>
  <si>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</si>
  <si>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</si>
  <si>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</si>
  <si>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</si>
  <si>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</si>
  <si>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</si>
  <si>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</si>
  <si>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</si>
  <si>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On Saleable Area</t>
  </si>
  <si>
    <t>Location Link</t>
  </si>
  <si>
    <t>Locality</t>
  </si>
  <si>
    <t>Village</t>
  </si>
  <si>
    <t xml:space="preserve">O. Certificate No.: 
Approved upto : </t>
  </si>
  <si>
    <t>Balaji Tulips</t>
  </si>
  <si>
    <t>M/s. Balaji Homes</t>
  </si>
  <si>
    <t>P52000045608</t>
  </si>
  <si>
    <t>Rees</t>
  </si>
  <si>
    <t>Mohopada</t>
  </si>
  <si>
    <t>Raigad</t>
  </si>
  <si>
    <t>Khalapur</t>
  </si>
  <si>
    <t>Internal Rd</t>
  </si>
  <si>
    <t>Heramb Gurukrupa Complex</t>
  </si>
  <si>
    <t>172/6</t>
  </si>
  <si>
    <t>5.8KM from Rasayani Railway Station</t>
  </si>
  <si>
    <t>Open Plot</t>
  </si>
  <si>
    <t>https://goo.gl/maps/KvmbkbhJ8xceivAQ8</t>
  </si>
  <si>
    <t>MSRDC</t>
  </si>
  <si>
    <t>MSRDC/SPA/Rees/Khalapur/BP-320/CC/2021/1444</t>
  </si>
  <si>
    <t xml:space="preserve">Commencement-CC No
Valid Up to: </t>
  </si>
  <si>
    <t>As per RERA - 30/11/2025</t>
  </si>
  <si>
    <t xml:space="preserve">A Wing = G + 1st to 8th Floor
B Wing = G + 1st to 8th Floor
</t>
  </si>
  <si>
    <t>A &amp; B Wing = G + 1st to 8th Floor</t>
  </si>
  <si>
    <t>A Wing</t>
  </si>
  <si>
    <t>Ground Floor For Commercial &amp; Parking</t>
  </si>
  <si>
    <t>Shop</t>
  </si>
  <si>
    <t>B Wing</t>
  </si>
  <si>
    <t>1st Floor For Residential</t>
  </si>
  <si>
    <t>2BHK</t>
  </si>
  <si>
    <t>1BHK</t>
  </si>
  <si>
    <t xml:space="preserve">2nd, 3rd, 4th, 5th, 6th &amp; 7th Floor </t>
  </si>
  <si>
    <t>8th Floor (Part Refuge Area)</t>
  </si>
  <si>
    <t>We considered Gross carpet area = Net carpet + Enclose &amp; Open balcony + Chajja Area.</t>
  </si>
  <si>
    <t>Fire Refuge Area</t>
  </si>
  <si>
    <t>Flats -134, Shops -23.</t>
  </si>
  <si>
    <t>B Wing = G + 1st to 10th Floor</t>
  </si>
  <si>
    <t>A &amp; B Wing</t>
  </si>
  <si>
    <t>Gut No</t>
  </si>
  <si>
    <t>02 Buildings</t>
  </si>
  <si>
    <t>Approved Plans, CC, Builder Saleable Area, Cost Sheet.</t>
  </si>
  <si>
    <t xml:space="preserve">1.Vitrified tiles flooring 2. Granite Kitchen Platform  3. Decorative Enternace  etc. 
</t>
  </si>
  <si>
    <t>1Office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</si>
  <si>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PNB Navimumbai</t>
  </si>
  <si>
    <t>Development Charges Per Sq. Ft.</t>
  </si>
  <si>
    <t>Ext. Plaster</t>
  </si>
  <si>
    <t>Electrification</t>
  </si>
  <si>
    <t>18.8915937, 73.1949126</t>
  </si>
  <si>
    <t>Latitude, Longitude</t>
  </si>
  <si>
    <t>We have updated approved plan (on 11/03/2023)</t>
  </si>
  <si>
    <t xml:space="preserve">Layout </t>
  </si>
  <si>
    <t>Construction work is in process at the time of Visit (labour found).</t>
  </si>
  <si>
    <t>On Site, we meet Mr. Ajit : 8446797559.</t>
  </si>
  <si>
    <t>Pooja</t>
  </si>
  <si>
    <t>Nitesh patil</t>
  </si>
  <si>
    <t>Construction work goes beyond CC. Please provide latest CC &amp; approved floor plans for Wing A.</t>
  </si>
  <si>
    <t>A Wing = G + 1st to 11th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</si>
</sst>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24" fillId="2" borderId="15" xfId="0" applyFont="1" applyFill="1" applyBorder="1"/>
    <xf numFmtId="0" fontId="25" fillId="0" borderId="9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8" xfId="1" applyNumberFormat="1" applyFont="1" applyBorder="1" applyAlignment="1" applyProtection="1">
      <alignment horizontal="center" vertical="center" wrapText="1"/>
      <protection locked="0"/>
    </xf>
    <xf numFmtId="168" fontId="6" fillId="0" borderId="21" xfId="1" applyNumberFormat="1" applyFont="1" applyBorder="1" applyAlignment="1" applyProtection="1">
      <alignment horizontal="center" vertical="center" wrapText="1"/>
      <protection locked="0"/>
    </xf>
    <xf numFmtId="168" fontId="6" fillId="0" borderId="9" xfId="1" applyNumberFormat="1" applyFont="1" applyBorder="1" applyAlignment="1" applyProtection="1">
      <alignment horizontal="center" vertical="center" wrapText="1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8" fillId="0" borderId="32" xfId="1" applyFont="1" applyBorder="1" applyAlignment="1" applyProtection="1">
      <alignment horizontal="left" vertical="top" wrapText="1"/>
      <protection locked="0"/>
    </xf>
    <xf numFmtId="0" fontId="8" fillId="0" borderId="2" xfId="1" applyFont="1" applyBorder="1" applyAlignment="1" applyProtection="1">
      <alignment horizontal="left" vertical="top" wrapText="1"/>
      <protection locked="0"/>
    </xf>
    <xf numFmtId="0" fontId="8" fillId="0" borderId="33" xfId="1" applyFont="1" applyBorder="1" applyAlignment="1" applyProtection="1">
      <alignment horizontal="left"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323</xdr:row>
      <xdr:rowOff>19050</xdr:rowOff>
    </xdr:from>
    <xdr:to>
      <xdr:col>7</xdr:col>
      <xdr:colOff>268348</xdr:colOff>
      <xdr:row>341</xdr:row>
      <xdr:rowOff>18600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59693175"/>
          <a:ext cx="584999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533400</xdr:colOff>
      <xdr:row>342</xdr:row>
      <xdr:rowOff>31451</xdr:rowOff>
    </xdr:from>
    <xdr:to>
      <xdr:col>7</xdr:col>
      <xdr:colOff>230112</xdr:colOff>
      <xdr:row>360</xdr:row>
      <xdr:rowOff>31001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63506051"/>
          <a:ext cx="581176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762000</xdr:colOff>
      <xdr:row>288</xdr:row>
      <xdr:rowOff>67235</xdr:rowOff>
    </xdr:from>
    <xdr:to>
      <xdr:col>5</xdr:col>
      <xdr:colOff>717366</xdr:colOff>
      <xdr:row>309</xdr:row>
      <xdr:rowOff>162617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56701764"/>
          <a:ext cx="3328337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465984</xdr:colOff>
      <xdr:row>291</xdr:row>
      <xdr:rowOff>19107</xdr:rowOff>
    </xdr:from>
    <xdr:to>
      <xdr:col>5</xdr:col>
      <xdr:colOff>217763</xdr:colOff>
      <xdr:row>296</xdr:row>
      <xdr:rowOff>63000</xdr:rowOff>
    </xdr:to>
    <xdr:sp macro="" textlink="">
      <xdr:nvSpPr>
        <xdr:cNvPr id="26" name="Rectangle 25"/>
        <xdr:cNvSpPr/>
      </xdr:nvSpPr>
      <xdr:spPr>
        <a:xfrm>
          <a:off x="2023602" y="57247548"/>
          <a:ext cx="2329132" cy="1052423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2</xdr:col>
      <xdr:colOff>570694</xdr:colOff>
      <xdr:row>297</xdr:row>
      <xdr:rowOff>33825</xdr:rowOff>
    </xdr:from>
    <xdr:to>
      <xdr:col>5</xdr:col>
      <xdr:colOff>113052</xdr:colOff>
      <xdr:row>306</xdr:row>
      <xdr:rowOff>47272</xdr:rowOff>
    </xdr:to>
    <xdr:sp macro="" textlink="">
      <xdr:nvSpPr>
        <xdr:cNvPr id="27" name="Rectangle 26"/>
        <xdr:cNvSpPr/>
      </xdr:nvSpPr>
      <xdr:spPr>
        <a:xfrm>
          <a:off x="2128312" y="58472501"/>
          <a:ext cx="2119711" cy="1828800"/>
        </a:xfrm>
        <a:prstGeom prst="rect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2</xdr:col>
      <xdr:colOff>702090</xdr:colOff>
      <xdr:row>303</xdr:row>
      <xdr:rowOff>162965</xdr:rowOff>
    </xdr:from>
    <xdr:to>
      <xdr:col>3</xdr:col>
      <xdr:colOff>778902</xdr:colOff>
      <xdr:row>305</xdr:row>
      <xdr:rowOff>128885</xdr:rowOff>
    </xdr:to>
    <xdr:sp macro="" textlink="">
      <xdr:nvSpPr>
        <xdr:cNvPr id="28" name="Rectangle 27"/>
        <xdr:cNvSpPr/>
      </xdr:nvSpPr>
      <xdr:spPr>
        <a:xfrm>
          <a:off x="2259708" y="59811877"/>
          <a:ext cx="928459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A Wing </a:t>
          </a:r>
        </a:p>
      </xdr:txBody>
    </xdr:sp>
    <xdr:clientData/>
  </xdr:twoCellAnchor>
  <xdr:twoCellAnchor>
    <xdr:from>
      <xdr:col>3</xdr:col>
      <xdr:colOff>167283</xdr:colOff>
      <xdr:row>289</xdr:row>
      <xdr:rowOff>41981</xdr:rowOff>
    </xdr:from>
    <xdr:to>
      <xdr:col>4</xdr:col>
      <xdr:colOff>144830</xdr:colOff>
      <xdr:row>291</xdr:row>
      <xdr:rowOff>19107</xdr:rowOff>
    </xdr:to>
    <xdr:sp macro="" textlink="">
      <xdr:nvSpPr>
        <xdr:cNvPr id="38" name="Rectangle 37"/>
        <xdr:cNvSpPr/>
      </xdr:nvSpPr>
      <xdr:spPr>
        <a:xfrm>
          <a:off x="2576548" y="56878216"/>
          <a:ext cx="918841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B Wing </a:t>
          </a:r>
        </a:p>
      </xdr:txBody>
    </xdr:sp>
    <xdr:clientData/>
  </xdr:twoCellAnchor>
  <xdr:twoCellAnchor>
    <xdr:from>
      <xdr:col>9</xdr:col>
      <xdr:colOff>0</xdr:colOff>
      <xdr:row>255</xdr:row>
      <xdr:rowOff>146050</xdr:rowOff>
    </xdr:from>
    <xdr:to>
      <xdr:col>9</xdr:col>
      <xdr:colOff>787400</xdr:colOff>
      <xdr:row>257</xdr:row>
      <xdr:rowOff>63846</xdr:rowOff>
    </xdr:to>
    <xdr:sp macro="" textlink="">
      <xdr:nvSpPr>
        <xdr:cNvPr id="20" name="Rectangle 19"/>
        <xdr:cNvSpPr/>
      </xdr:nvSpPr>
      <xdr:spPr>
        <a:xfrm>
          <a:off x="8064500" y="49491900"/>
          <a:ext cx="787400" cy="31149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 Wing </a:t>
          </a:r>
        </a:p>
      </xdr:txBody>
    </xdr:sp>
    <xdr:clientData/>
  </xdr:twoCellAnchor>
  <xdr:twoCellAnchor>
    <xdr:from>
      <xdr:col>12</xdr:col>
      <xdr:colOff>764531</xdr:colOff>
      <xdr:row>253</xdr:row>
      <xdr:rowOff>0</xdr:rowOff>
    </xdr:from>
    <xdr:to>
      <xdr:col>13</xdr:col>
      <xdr:colOff>726431</xdr:colOff>
      <xdr:row>254</xdr:row>
      <xdr:rowOff>114646</xdr:rowOff>
    </xdr:to>
    <xdr:sp macro="" textlink="">
      <xdr:nvSpPr>
        <xdr:cNvPr id="21" name="Rectangle 20"/>
        <xdr:cNvSpPr/>
      </xdr:nvSpPr>
      <xdr:spPr>
        <a:xfrm>
          <a:off x="11102331" y="48952150"/>
          <a:ext cx="787400" cy="31149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 Wing </a:t>
          </a:r>
        </a:p>
      </xdr:txBody>
    </xdr:sp>
    <xdr:clientData/>
  </xdr:twoCellAnchor>
  <xdr:twoCellAnchor>
    <xdr:from>
      <xdr:col>0</xdr:col>
      <xdr:colOff>69850</xdr:colOff>
      <xdr:row>243</xdr:row>
      <xdr:rowOff>101600</xdr:rowOff>
    </xdr:from>
    <xdr:to>
      <xdr:col>7</xdr:col>
      <xdr:colOff>809013</xdr:colOff>
      <xdr:row>283</xdr:row>
      <xdr:rowOff>161153</xdr:rowOff>
    </xdr:to>
    <xdr:grpSp>
      <xdr:nvGrpSpPr>
        <xdr:cNvPr id="4" name="Group 3"/>
        <xdr:cNvGrpSpPr/>
      </xdr:nvGrpSpPr>
      <xdr:grpSpPr>
        <a:xfrm>
          <a:off x="69850" y="47091600"/>
          <a:ext cx="6714513" cy="7927203"/>
          <a:chOff x="69850" y="47091600"/>
          <a:chExt cx="6714513" cy="7927203"/>
        </a:xfrm>
      </xdr:grpSpPr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4526" y="53398803"/>
            <a:ext cx="1213313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8621" y="47091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7362" y="51668402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78309" y="47091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26851" y="53398803"/>
            <a:ext cx="1213313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8933" y="47091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851" y="49938001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7362" y="49938001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6152" y="49938001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850" y="51668402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6152" y="51668402"/>
            <a:ext cx="2157001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8" name="Rectangle 47"/>
          <xdr:cNvSpPr/>
        </xdr:nvSpPr>
        <xdr:spPr>
          <a:xfrm>
            <a:off x="891083" y="49371250"/>
            <a:ext cx="787400" cy="311496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 </a:t>
            </a:r>
          </a:p>
        </xdr:txBody>
      </xdr:sp>
      <xdr:sp macro="" textlink="">
        <xdr:nvSpPr>
          <xdr:cNvPr id="49" name="Rectangle 48"/>
          <xdr:cNvSpPr/>
        </xdr:nvSpPr>
        <xdr:spPr>
          <a:xfrm>
            <a:off x="3150621" y="48717200"/>
            <a:ext cx="787400" cy="311496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 </a:t>
            </a:r>
          </a:p>
        </xdr:txBody>
      </xdr:sp>
      <xdr:sp macro="" textlink="">
        <xdr:nvSpPr>
          <xdr:cNvPr id="50" name="Rectangle 49"/>
          <xdr:cNvSpPr/>
        </xdr:nvSpPr>
        <xdr:spPr>
          <a:xfrm>
            <a:off x="5587959" y="49168050"/>
            <a:ext cx="787400" cy="311496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 Wing 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vmbkbhJ8xceivAQ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32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2.453125" style="40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0.54296875" style="22" customWidth="1"/>
    <col min="13" max="13" width="11.81640625" style="22" customWidth="1"/>
    <col min="14" max="14" width="12.54296875" style="22" customWidth="1"/>
    <col min="15" max="15" width="9.81640625" style="22" customWidth="1"/>
    <col min="16" max="16" width="11.7265625" style="22" customWidth="1"/>
    <col min="17" max="247" width="9.1796875" style="22"/>
    <col min="248" max="248" width="8.7265625" style="22" customWidth="1"/>
    <col min="249" max="249" width="9.81640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81640625" style="22" customWidth="1"/>
    <col min="256" max="256" width="11.1796875" style="22" customWidth="1"/>
    <col min="257" max="257" width="2.81640625" style="22" customWidth="1"/>
    <col min="258" max="258" width="3.54296875" style="22" customWidth="1"/>
    <col min="259" max="503" width="9.1796875" style="22"/>
    <col min="504" max="504" width="8.7265625" style="22" customWidth="1"/>
    <col min="505" max="505" width="9.81640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81640625" style="22" customWidth="1"/>
    <col min="512" max="512" width="11.1796875" style="22" customWidth="1"/>
    <col min="513" max="513" width="2.81640625" style="22" customWidth="1"/>
    <col min="514" max="514" width="3.54296875" style="22" customWidth="1"/>
    <col min="515" max="759" width="9.1796875" style="22"/>
    <col min="760" max="760" width="8.7265625" style="22" customWidth="1"/>
    <col min="761" max="761" width="9.81640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81640625" style="22" customWidth="1"/>
    <col min="768" max="768" width="11.1796875" style="22" customWidth="1"/>
    <col min="769" max="769" width="2.81640625" style="22" customWidth="1"/>
    <col min="770" max="770" width="3.54296875" style="22" customWidth="1"/>
    <col min="771" max="1015" width="9.1796875" style="22"/>
    <col min="1016" max="1016" width="8.7265625" style="22" customWidth="1"/>
    <col min="1017" max="1017" width="9.81640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81640625" style="22" customWidth="1"/>
    <col min="1024" max="1024" width="11.1796875" style="22" customWidth="1"/>
    <col min="1025" max="1025" width="2.81640625" style="22" customWidth="1"/>
    <col min="1026" max="1026" width="3.54296875" style="22" customWidth="1"/>
    <col min="1027" max="1271" width="9.1796875" style="22"/>
    <col min="1272" max="1272" width="8.7265625" style="22" customWidth="1"/>
    <col min="1273" max="1273" width="9.81640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81640625" style="22" customWidth="1"/>
    <col min="1280" max="1280" width="11.1796875" style="22" customWidth="1"/>
    <col min="1281" max="1281" width="2.81640625" style="22" customWidth="1"/>
    <col min="1282" max="1282" width="3.54296875" style="22" customWidth="1"/>
    <col min="1283" max="1527" width="9.1796875" style="22"/>
    <col min="1528" max="1528" width="8.7265625" style="22" customWidth="1"/>
    <col min="1529" max="1529" width="9.81640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81640625" style="22" customWidth="1"/>
    <col min="1536" max="1536" width="11.1796875" style="22" customWidth="1"/>
    <col min="1537" max="1537" width="2.81640625" style="22" customWidth="1"/>
    <col min="1538" max="1538" width="3.54296875" style="22" customWidth="1"/>
    <col min="1539" max="1783" width="9.1796875" style="22"/>
    <col min="1784" max="1784" width="8.7265625" style="22" customWidth="1"/>
    <col min="1785" max="1785" width="9.81640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81640625" style="22" customWidth="1"/>
    <col min="1792" max="1792" width="11.1796875" style="22" customWidth="1"/>
    <col min="1793" max="1793" width="2.81640625" style="22" customWidth="1"/>
    <col min="1794" max="1794" width="3.54296875" style="22" customWidth="1"/>
    <col min="1795" max="2039" width="9.1796875" style="22"/>
    <col min="2040" max="2040" width="8.7265625" style="22" customWidth="1"/>
    <col min="2041" max="2041" width="9.81640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81640625" style="22" customWidth="1"/>
    <col min="2048" max="2048" width="11.1796875" style="22" customWidth="1"/>
    <col min="2049" max="2049" width="2.81640625" style="22" customWidth="1"/>
    <col min="2050" max="2050" width="3.54296875" style="22" customWidth="1"/>
    <col min="2051" max="2295" width="9.1796875" style="22"/>
    <col min="2296" max="2296" width="8.7265625" style="22" customWidth="1"/>
    <col min="2297" max="2297" width="9.81640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81640625" style="22" customWidth="1"/>
    <col min="2304" max="2304" width="11.1796875" style="22" customWidth="1"/>
    <col min="2305" max="2305" width="2.81640625" style="22" customWidth="1"/>
    <col min="2306" max="2306" width="3.54296875" style="22" customWidth="1"/>
    <col min="2307" max="2551" width="9.1796875" style="22"/>
    <col min="2552" max="2552" width="8.7265625" style="22" customWidth="1"/>
    <col min="2553" max="2553" width="9.81640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81640625" style="22" customWidth="1"/>
    <col min="2560" max="2560" width="11.1796875" style="22" customWidth="1"/>
    <col min="2561" max="2561" width="2.81640625" style="22" customWidth="1"/>
    <col min="2562" max="2562" width="3.54296875" style="22" customWidth="1"/>
    <col min="2563" max="2807" width="9.1796875" style="22"/>
    <col min="2808" max="2808" width="8.7265625" style="22" customWidth="1"/>
    <col min="2809" max="2809" width="9.81640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81640625" style="22" customWidth="1"/>
    <col min="2816" max="2816" width="11.1796875" style="22" customWidth="1"/>
    <col min="2817" max="2817" width="2.81640625" style="22" customWidth="1"/>
    <col min="2818" max="2818" width="3.54296875" style="22" customWidth="1"/>
    <col min="2819" max="3063" width="9.1796875" style="22"/>
    <col min="3064" max="3064" width="8.7265625" style="22" customWidth="1"/>
    <col min="3065" max="3065" width="9.81640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81640625" style="22" customWidth="1"/>
    <col min="3072" max="3072" width="11.1796875" style="22" customWidth="1"/>
    <col min="3073" max="3073" width="2.81640625" style="22" customWidth="1"/>
    <col min="3074" max="3074" width="3.54296875" style="22" customWidth="1"/>
    <col min="3075" max="3319" width="9.1796875" style="22"/>
    <col min="3320" max="3320" width="8.7265625" style="22" customWidth="1"/>
    <col min="3321" max="3321" width="9.81640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81640625" style="22" customWidth="1"/>
    <col min="3328" max="3328" width="11.1796875" style="22" customWidth="1"/>
    <col min="3329" max="3329" width="2.81640625" style="22" customWidth="1"/>
    <col min="3330" max="3330" width="3.54296875" style="22" customWidth="1"/>
    <col min="3331" max="3575" width="9.1796875" style="22"/>
    <col min="3576" max="3576" width="8.7265625" style="22" customWidth="1"/>
    <col min="3577" max="3577" width="9.81640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81640625" style="22" customWidth="1"/>
    <col min="3584" max="3584" width="11.1796875" style="22" customWidth="1"/>
    <col min="3585" max="3585" width="2.81640625" style="22" customWidth="1"/>
    <col min="3586" max="3586" width="3.54296875" style="22" customWidth="1"/>
    <col min="3587" max="3831" width="9.1796875" style="22"/>
    <col min="3832" max="3832" width="8.7265625" style="22" customWidth="1"/>
    <col min="3833" max="3833" width="9.81640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81640625" style="22" customWidth="1"/>
    <col min="3840" max="3840" width="11.1796875" style="22" customWidth="1"/>
    <col min="3841" max="3841" width="2.81640625" style="22" customWidth="1"/>
    <col min="3842" max="3842" width="3.54296875" style="22" customWidth="1"/>
    <col min="3843" max="4087" width="9.1796875" style="22"/>
    <col min="4088" max="4088" width="8.7265625" style="22" customWidth="1"/>
    <col min="4089" max="4089" width="9.81640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81640625" style="22" customWidth="1"/>
    <col min="4096" max="4096" width="11.1796875" style="22" customWidth="1"/>
    <col min="4097" max="4097" width="2.81640625" style="22" customWidth="1"/>
    <col min="4098" max="4098" width="3.54296875" style="22" customWidth="1"/>
    <col min="4099" max="4343" width="9.1796875" style="22"/>
    <col min="4344" max="4344" width="8.7265625" style="22" customWidth="1"/>
    <col min="4345" max="4345" width="9.81640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81640625" style="22" customWidth="1"/>
    <col min="4352" max="4352" width="11.1796875" style="22" customWidth="1"/>
    <col min="4353" max="4353" width="2.81640625" style="22" customWidth="1"/>
    <col min="4354" max="4354" width="3.54296875" style="22" customWidth="1"/>
    <col min="4355" max="4599" width="9.1796875" style="22"/>
    <col min="4600" max="4600" width="8.7265625" style="22" customWidth="1"/>
    <col min="4601" max="4601" width="9.81640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81640625" style="22" customWidth="1"/>
    <col min="4608" max="4608" width="11.1796875" style="22" customWidth="1"/>
    <col min="4609" max="4609" width="2.81640625" style="22" customWidth="1"/>
    <col min="4610" max="4610" width="3.54296875" style="22" customWidth="1"/>
    <col min="4611" max="4855" width="9.1796875" style="22"/>
    <col min="4856" max="4856" width="8.7265625" style="22" customWidth="1"/>
    <col min="4857" max="4857" width="9.81640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81640625" style="22" customWidth="1"/>
    <col min="4864" max="4864" width="11.1796875" style="22" customWidth="1"/>
    <col min="4865" max="4865" width="2.81640625" style="22" customWidth="1"/>
    <col min="4866" max="4866" width="3.54296875" style="22" customWidth="1"/>
    <col min="4867" max="5111" width="9.1796875" style="22"/>
    <col min="5112" max="5112" width="8.7265625" style="22" customWidth="1"/>
    <col min="5113" max="5113" width="9.81640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81640625" style="22" customWidth="1"/>
    <col min="5120" max="5120" width="11.1796875" style="22" customWidth="1"/>
    <col min="5121" max="5121" width="2.81640625" style="22" customWidth="1"/>
    <col min="5122" max="5122" width="3.54296875" style="22" customWidth="1"/>
    <col min="5123" max="5367" width="9.1796875" style="22"/>
    <col min="5368" max="5368" width="8.7265625" style="22" customWidth="1"/>
    <col min="5369" max="5369" width="9.81640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81640625" style="22" customWidth="1"/>
    <col min="5376" max="5376" width="11.1796875" style="22" customWidth="1"/>
    <col min="5377" max="5377" width="2.81640625" style="22" customWidth="1"/>
    <col min="5378" max="5378" width="3.54296875" style="22" customWidth="1"/>
    <col min="5379" max="5623" width="9.1796875" style="22"/>
    <col min="5624" max="5624" width="8.7265625" style="22" customWidth="1"/>
    <col min="5625" max="5625" width="9.81640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81640625" style="22" customWidth="1"/>
    <col min="5632" max="5632" width="11.1796875" style="22" customWidth="1"/>
    <col min="5633" max="5633" width="2.81640625" style="22" customWidth="1"/>
    <col min="5634" max="5634" width="3.54296875" style="22" customWidth="1"/>
    <col min="5635" max="5879" width="9.1796875" style="22"/>
    <col min="5880" max="5880" width="8.7265625" style="22" customWidth="1"/>
    <col min="5881" max="5881" width="9.81640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81640625" style="22" customWidth="1"/>
    <col min="5888" max="5888" width="11.1796875" style="22" customWidth="1"/>
    <col min="5889" max="5889" width="2.81640625" style="22" customWidth="1"/>
    <col min="5890" max="5890" width="3.54296875" style="22" customWidth="1"/>
    <col min="5891" max="6135" width="9.1796875" style="22"/>
    <col min="6136" max="6136" width="8.7265625" style="22" customWidth="1"/>
    <col min="6137" max="6137" width="9.81640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81640625" style="22" customWidth="1"/>
    <col min="6144" max="6144" width="11.1796875" style="22" customWidth="1"/>
    <col min="6145" max="6145" width="2.81640625" style="22" customWidth="1"/>
    <col min="6146" max="6146" width="3.54296875" style="22" customWidth="1"/>
    <col min="6147" max="6391" width="9.1796875" style="22"/>
    <col min="6392" max="6392" width="8.7265625" style="22" customWidth="1"/>
    <col min="6393" max="6393" width="9.81640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81640625" style="22" customWidth="1"/>
    <col min="6400" max="6400" width="11.1796875" style="22" customWidth="1"/>
    <col min="6401" max="6401" width="2.81640625" style="22" customWidth="1"/>
    <col min="6402" max="6402" width="3.54296875" style="22" customWidth="1"/>
    <col min="6403" max="6647" width="9.1796875" style="22"/>
    <col min="6648" max="6648" width="8.7265625" style="22" customWidth="1"/>
    <col min="6649" max="6649" width="9.81640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81640625" style="22" customWidth="1"/>
    <col min="6656" max="6656" width="11.1796875" style="22" customWidth="1"/>
    <col min="6657" max="6657" width="2.81640625" style="22" customWidth="1"/>
    <col min="6658" max="6658" width="3.54296875" style="22" customWidth="1"/>
    <col min="6659" max="6903" width="9.1796875" style="22"/>
    <col min="6904" max="6904" width="8.7265625" style="22" customWidth="1"/>
    <col min="6905" max="6905" width="9.81640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81640625" style="22" customWidth="1"/>
    <col min="6912" max="6912" width="11.1796875" style="22" customWidth="1"/>
    <col min="6913" max="6913" width="2.81640625" style="22" customWidth="1"/>
    <col min="6914" max="6914" width="3.54296875" style="22" customWidth="1"/>
    <col min="6915" max="7159" width="9.1796875" style="22"/>
    <col min="7160" max="7160" width="8.7265625" style="22" customWidth="1"/>
    <col min="7161" max="7161" width="9.81640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81640625" style="22" customWidth="1"/>
    <col min="7168" max="7168" width="11.1796875" style="22" customWidth="1"/>
    <col min="7169" max="7169" width="2.81640625" style="22" customWidth="1"/>
    <col min="7170" max="7170" width="3.54296875" style="22" customWidth="1"/>
    <col min="7171" max="7415" width="9.1796875" style="22"/>
    <col min="7416" max="7416" width="8.7265625" style="22" customWidth="1"/>
    <col min="7417" max="7417" width="9.81640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81640625" style="22" customWidth="1"/>
    <col min="7424" max="7424" width="11.1796875" style="22" customWidth="1"/>
    <col min="7425" max="7425" width="2.81640625" style="22" customWidth="1"/>
    <col min="7426" max="7426" width="3.54296875" style="22" customWidth="1"/>
    <col min="7427" max="7671" width="9.1796875" style="22"/>
    <col min="7672" max="7672" width="8.7265625" style="22" customWidth="1"/>
    <col min="7673" max="7673" width="9.81640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81640625" style="22" customWidth="1"/>
    <col min="7680" max="7680" width="11.1796875" style="22" customWidth="1"/>
    <col min="7681" max="7681" width="2.81640625" style="22" customWidth="1"/>
    <col min="7682" max="7682" width="3.54296875" style="22" customWidth="1"/>
    <col min="7683" max="7927" width="9.1796875" style="22"/>
    <col min="7928" max="7928" width="8.7265625" style="22" customWidth="1"/>
    <col min="7929" max="7929" width="9.81640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81640625" style="22" customWidth="1"/>
    <col min="7936" max="7936" width="11.1796875" style="22" customWidth="1"/>
    <col min="7937" max="7937" width="2.81640625" style="22" customWidth="1"/>
    <col min="7938" max="7938" width="3.54296875" style="22" customWidth="1"/>
    <col min="7939" max="8183" width="9.1796875" style="22"/>
    <col min="8184" max="8184" width="8.7265625" style="22" customWidth="1"/>
    <col min="8185" max="8185" width="9.81640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81640625" style="22" customWidth="1"/>
    <col min="8192" max="8192" width="11.1796875" style="22" customWidth="1"/>
    <col min="8193" max="8193" width="2.81640625" style="22" customWidth="1"/>
    <col min="8194" max="8194" width="3.54296875" style="22" customWidth="1"/>
    <col min="8195" max="8439" width="9.1796875" style="22"/>
    <col min="8440" max="8440" width="8.7265625" style="22" customWidth="1"/>
    <col min="8441" max="8441" width="9.81640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81640625" style="22" customWidth="1"/>
    <col min="8448" max="8448" width="11.1796875" style="22" customWidth="1"/>
    <col min="8449" max="8449" width="2.81640625" style="22" customWidth="1"/>
    <col min="8450" max="8450" width="3.54296875" style="22" customWidth="1"/>
    <col min="8451" max="8695" width="9.1796875" style="22"/>
    <col min="8696" max="8696" width="8.7265625" style="22" customWidth="1"/>
    <col min="8697" max="8697" width="9.81640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81640625" style="22" customWidth="1"/>
    <col min="8704" max="8704" width="11.1796875" style="22" customWidth="1"/>
    <col min="8705" max="8705" width="2.81640625" style="22" customWidth="1"/>
    <col min="8706" max="8706" width="3.54296875" style="22" customWidth="1"/>
    <col min="8707" max="8951" width="9.1796875" style="22"/>
    <col min="8952" max="8952" width="8.7265625" style="22" customWidth="1"/>
    <col min="8953" max="8953" width="9.81640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81640625" style="22" customWidth="1"/>
    <col min="8960" max="8960" width="11.1796875" style="22" customWidth="1"/>
    <col min="8961" max="8961" width="2.81640625" style="22" customWidth="1"/>
    <col min="8962" max="8962" width="3.54296875" style="22" customWidth="1"/>
    <col min="8963" max="9207" width="9.1796875" style="22"/>
    <col min="9208" max="9208" width="8.7265625" style="22" customWidth="1"/>
    <col min="9209" max="9209" width="9.81640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81640625" style="22" customWidth="1"/>
    <col min="9216" max="9216" width="11.1796875" style="22" customWidth="1"/>
    <col min="9217" max="9217" width="2.81640625" style="22" customWidth="1"/>
    <col min="9218" max="9218" width="3.54296875" style="22" customWidth="1"/>
    <col min="9219" max="9463" width="9.1796875" style="22"/>
    <col min="9464" max="9464" width="8.7265625" style="22" customWidth="1"/>
    <col min="9465" max="9465" width="9.81640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81640625" style="22" customWidth="1"/>
    <col min="9472" max="9472" width="11.1796875" style="22" customWidth="1"/>
    <col min="9473" max="9473" width="2.81640625" style="22" customWidth="1"/>
    <col min="9474" max="9474" width="3.54296875" style="22" customWidth="1"/>
    <col min="9475" max="9719" width="9.1796875" style="22"/>
    <col min="9720" max="9720" width="8.7265625" style="22" customWidth="1"/>
    <col min="9721" max="9721" width="9.81640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81640625" style="22" customWidth="1"/>
    <col min="9728" max="9728" width="11.1796875" style="22" customWidth="1"/>
    <col min="9729" max="9729" width="2.81640625" style="22" customWidth="1"/>
    <col min="9730" max="9730" width="3.54296875" style="22" customWidth="1"/>
    <col min="9731" max="9975" width="9.1796875" style="22"/>
    <col min="9976" max="9976" width="8.7265625" style="22" customWidth="1"/>
    <col min="9977" max="9977" width="9.81640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81640625" style="22" customWidth="1"/>
    <col min="9984" max="9984" width="11.1796875" style="22" customWidth="1"/>
    <col min="9985" max="9985" width="2.81640625" style="22" customWidth="1"/>
    <col min="9986" max="9986" width="3.54296875" style="22" customWidth="1"/>
    <col min="9987" max="10231" width="9.1796875" style="22"/>
    <col min="10232" max="10232" width="8.7265625" style="22" customWidth="1"/>
    <col min="10233" max="10233" width="9.81640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81640625" style="22" customWidth="1"/>
    <col min="10240" max="10240" width="11.1796875" style="22" customWidth="1"/>
    <col min="10241" max="10241" width="2.81640625" style="22" customWidth="1"/>
    <col min="10242" max="10242" width="3.54296875" style="22" customWidth="1"/>
    <col min="10243" max="10487" width="9.1796875" style="22"/>
    <col min="10488" max="10488" width="8.7265625" style="22" customWidth="1"/>
    <col min="10489" max="10489" width="9.81640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81640625" style="22" customWidth="1"/>
    <col min="10496" max="10496" width="11.1796875" style="22" customWidth="1"/>
    <col min="10497" max="10497" width="2.81640625" style="22" customWidth="1"/>
    <col min="10498" max="10498" width="3.54296875" style="22" customWidth="1"/>
    <col min="10499" max="10743" width="9.1796875" style="22"/>
    <col min="10744" max="10744" width="8.7265625" style="22" customWidth="1"/>
    <col min="10745" max="10745" width="9.81640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81640625" style="22" customWidth="1"/>
    <col min="10752" max="10752" width="11.1796875" style="22" customWidth="1"/>
    <col min="10753" max="10753" width="2.81640625" style="22" customWidth="1"/>
    <col min="10754" max="10754" width="3.54296875" style="22" customWidth="1"/>
    <col min="10755" max="10999" width="9.1796875" style="22"/>
    <col min="11000" max="11000" width="8.7265625" style="22" customWidth="1"/>
    <col min="11001" max="11001" width="9.81640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81640625" style="22" customWidth="1"/>
    <col min="11008" max="11008" width="11.1796875" style="22" customWidth="1"/>
    <col min="11009" max="11009" width="2.81640625" style="22" customWidth="1"/>
    <col min="11010" max="11010" width="3.54296875" style="22" customWidth="1"/>
    <col min="11011" max="11255" width="9.1796875" style="22"/>
    <col min="11256" max="11256" width="8.7265625" style="22" customWidth="1"/>
    <col min="11257" max="11257" width="9.81640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81640625" style="22" customWidth="1"/>
    <col min="11264" max="11264" width="11.1796875" style="22" customWidth="1"/>
    <col min="11265" max="11265" width="2.81640625" style="22" customWidth="1"/>
    <col min="11266" max="11266" width="3.54296875" style="22" customWidth="1"/>
    <col min="11267" max="11511" width="9.1796875" style="22"/>
    <col min="11512" max="11512" width="8.7265625" style="22" customWidth="1"/>
    <col min="11513" max="11513" width="9.81640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81640625" style="22" customWidth="1"/>
    <col min="11520" max="11520" width="11.1796875" style="22" customWidth="1"/>
    <col min="11521" max="11521" width="2.81640625" style="22" customWidth="1"/>
    <col min="11522" max="11522" width="3.54296875" style="22" customWidth="1"/>
    <col min="11523" max="11767" width="9.1796875" style="22"/>
    <col min="11768" max="11768" width="8.7265625" style="22" customWidth="1"/>
    <col min="11769" max="11769" width="9.81640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81640625" style="22" customWidth="1"/>
    <col min="11776" max="11776" width="11.1796875" style="22" customWidth="1"/>
    <col min="11777" max="11777" width="2.81640625" style="22" customWidth="1"/>
    <col min="11778" max="11778" width="3.54296875" style="22" customWidth="1"/>
    <col min="11779" max="12023" width="9.1796875" style="22"/>
    <col min="12024" max="12024" width="8.7265625" style="22" customWidth="1"/>
    <col min="12025" max="12025" width="9.81640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81640625" style="22" customWidth="1"/>
    <col min="12032" max="12032" width="11.1796875" style="22" customWidth="1"/>
    <col min="12033" max="12033" width="2.81640625" style="22" customWidth="1"/>
    <col min="12034" max="12034" width="3.54296875" style="22" customWidth="1"/>
    <col min="12035" max="12279" width="9.1796875" style="22"/>
    <col min="12280" max="12280" width="8.7265625" style="22" customWidth="1"/>
    <col min="12281" max="12281" width="9.81640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81640625" style="22" customWidth="1"/>
    <col min="12288" max="12288" width="11.1796875" style="22" customWidth="1"/>
    <col min="12289" max="12289" width="2.81640625" style="22" customWidth="1"/>
    <col min="12290" max="12290" width="3.54296875" style="22" customWidth="1"/>
    <col min="12291" max="12535" width="9.1796875" style="22"/>
    <col min="12536" max="12536" width="8.7265625" style="22" customWidth="1"/>
    <col min="12537" max="12537" width="9.81640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81640625" style="22" customWidth="1"/>
    <col min="12544" max="12544" width="11.1796875" style="22" customWidth="1"/>
    <col min="12545" max="12545" width="2.81640625" style="22" customWidth="1"/>
    <col min="12546" max="12546" width="3.54296875" style="22" customWidth="1"/>
    <col min="12547" max="12791" width="9.1796875" style="22"/>
    <col min="12792" max="12792" width="8.7265625" style="22" customWidth="1"/>
    <col min="12793" max="12793" width="9.81640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81640625" style="22" customWidth="1"/>
    <col min="12800" max="12800" width="11.1796875" style="22" customWidth="1"/>
    <col min="12801" max="12801" width="2.81640625" style="22" customWidth="1"/>
    <col min="12802" max="12802" width="3.54296875" style="22" customWidth="1"/>
    <col min="12803" max="13047" width="9.1796875" style="22"/>
    <col min="13048" max="13048" width="8.7265625" style="22" customWidth="1"/>
    <col min="13049" max="13049" width="9.81640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81640625" style="22" customWidth="1"/>
    <col min="13056" max="13056" width="11.1796875" style="22" customWidth="1"/>
    <col min="13057" max="13057" width="2.81640625" style="22" customWidth="1"/>
    <col min="13058" max="13058" width="3.54296875" style="22" customWidth="1"/>
    <col min="13059" max="13303" width="9.1796875" style="22"/>
    <col min="13304" max="13304" width="8.7265625" style="22" customWidth="1"/>
    <col min="13305" max="13305" width="9.81640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81640625" style="22" customWidth="1"/>
    <col min="13312" max="13312" width="11.1796875" style="22" customWidth="1"/>
    <col min="13313" max="13313" width="2.81640625" style="22" customWidth="1"/>
    <col min="13314" max="13314" width="3.54296875" style="22" customWidth="1"/>
    <col min="13315" max="13559" width="9.1796875" style="22"/>
    <col min="13560" max="13560" width="8.7265625" style="22" customWidth="1"/>
    <col min="13561" max="13561" width="9.81640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81640625" style="22" customWidth="1"/>
    <col min="13568" max="13568" width="11.1796875" style="22" customWidth="1"/>
    <col min="13569" max="13569" width="2.81640625" style="22" customWidth="1"/>
    <col min="13570" max="13570" width="3.54296875" style="22" customWidth="1"/>
    <col min="13571" max="13815" width="9.1796875" style="22"/>
    <col min="13816" max="13816" width="8.7265625" style="22" customWidth="1"/>
    <col min="13817" max="13817" width="9.81640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81640625" style="22" customWidth="1"/>
    <col min="13824" max="13824" width="11.1796875" style="22" customWidth="1"/>
    <col min="13825" max="13825" width="2.81640625" style="22" customWidth="1"/>
    <col min="13826" max="13826" width="3.54296875" style="22" customWidth="1"/>
    <col min="13827" max="14071" width="9.1796875" style="22"/>
    <col min="14072" max="14072" width="8.7265625" style="22" customWidth="1"/>
    <col min="14073" max="14073" width="9.81640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81640625" style="22" customWidth="1"/>
    <col min="14080" max="14080" width="11.1796875" style="22" customWidth="1"/>
    <col min="14081" max="14081" width="2.81640625" style="22" customWidth="1"/>
    <col min="14082" max="14082" width="3.54296875" style="22" customWidth="1"/>
    <col min="14083" max="14327" width="9.1796875" style="22"/>
    <col min="14328" max="14328" width="8.7265625" style="22" customWidth="1"/>
    <col min="14329" max="14329" width="9.81640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81640625" style="22" customWidth="1"/>
    <col min="14336" max="14336" width="11.1796875" style="22" customWidth="1"/>
    <col min="14337" max="14337" width="2.81640625" style="22" customWidth="1"/>
    <col min="14338" max="14338" width="3.54296875" style="22" customWidth="1"/>
    <col min="14339" max="14583" width="9.1796875" style="22"/>
    <col min="14584" max="14584" width="8.7265625" style="22" customWidth="1"/>
    <col min="14585" max="14585" width="9.81640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81640625" style="22" customWidth="1"/>
    <col min="14592" max="14592" width="11.1796875" style="22" customWidth="1"/>
    <col min="14593" max="14593" width="2.81640625" style="22" customWidth="1"/>
    <col min="14594" max="14594" width="3.54296875" style="22" customWidth="1"/>
    <col min="14595" max="14839" width="9.1796875" style="22"/>
    <col min="14840" max="14840" width="8.7265625" style="22" customWidth="1"/>
    <col min="14841" max="14841" width="9.81640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81640625" style="22" customWidth="1"/>
    <col min="14848" max="14848" width="11.1796875" style="22" customWidth="1"/>
    <col min="14849" max="14849" width="2.81640625" style="22" customWidth="1"/>
    <col min="14850" max="14850" width="3.54296875" style="22" customWidth="1"/>
    <col min="14851" max="15095" width="9.1796875" style="22"/>
    <col min="15096" max="15096" width="8.7265625" style="22" customWidth="1"/>
    <col min="15097" max="15097" width="9.81640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81640625" style="22" customWidth="1"/>
    <col min="15104" max="15104" width="11.1796875" style="22" customWidth="1"/>
    <col min="15105" max="15105" width="2.81640625" style="22" customWidth="1"/>
    <col min="15106" max="15106" width="3.54296875" style="22" customWidth="1"/>
    <col min="15107" max="15351" width="9.1796875" style="22"/>
    <col min="15352" max="15352" width="8.7265625" style="22" customWidth="1"/>
    <col min="15353" max="15353" width="9.81640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81640625" style="22" customWidth="1"/>
    <col min="15360" max="15360" width="11.1796875" style="22" customWidth="1"/>
    <col min="15361" max="15361" width="2.81640625" style="22" customWidth="1"/>
    <col min="15362" max="15362" width="3.54296875" style="22" customWidth="1"/>
    <col min="15363" max="15607" width="9.1796875" style="22"/>
    <col min="15608" max="15608" width="8.7265625" style="22" customWidth="1"/>
    <col min="15609" max="15609" width="9.81640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81640625" style="22" customWidth="1"/>
    <col min="15616" max="15616" width="11.1796875" style="22" customWidth="1"/>
    <col min="15617" max="15617" width="2.81640625" style="22" customWidth="1"/>
    <col min="15618" max="15618" width="3.54296875" style="22" customWidth="1"/>
    <col min="15619" max="15863" width="9.1796875" style="22"/>
    <col min="15864" max="15864" width="8.7265625" style="22" customWidth="1"/>
    <col min="15865" max="15865" width="9.81640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81640625" style="22" customWidth="1"/>
    <col min="15872" max="15872" width="11.1796875" style="22" customWidth="1"/>
    <col min="15873" max="15873" width="2.81640625" style="22" customWidth="1"/>
    <col min="15874" max="15874" width="3.54296875" style="22" customWidth="1"/>
    <col min="15875" max="16119" width="9.1796875" style="22"/>
    <col min="16120" max="16120" width="8.7265625" style="22" customWidth="1"/>
    <col min="16121" max="16121" width="9.81640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81640625" style="22" customWidth="1"/>
    <col min="16128" max="16128" width="11.1796875" style="22" customWidth="1"/>
    <col min="16129" max="16129" width="2.81640625" style="22" customWidth="1"/>
    <col min="16130" max="16130" width="3.54296875" style="22" customWidth="1"/>
    <col min="16131" max="16384" width="9.1796875" style="22"/>
  </cols>
  <sheetData>
    <row r="1" spans="1:8" ht="46.5" customHeight="1" x14ac:dyDescent="0.35">
      <c r="A1" s="170" t="s">
        <v>199</v>
      </c>
      <c r="B1" s="170"/>
      <c r="C1" s="170"/>
      <c r="D1" s="170"/>
      <c r="E1" s="170"/>
      <c r="F1" s="170"/>
      <c r="G1" s="170"/>
      <c r="H1" s="170"/>
    </row>
    <row r="2" spans="1:8" ht="16.5" customHeight="1" x14ac:dyDescent="0.35">
      <c r="A2" s="103" t="s">
        <v>0</v>
      </c>
      <c r="B2" s="103"/>
      <c r="C2" s="103"/>
      <c r="D2" s="103"/>
      <c r="E2" s="103"/>
      <c r="F2" s="103"/>
      <c r="G2" s="103"/>
      <c r="H2" s="103"/>
    </row>
    <row r="3" spans="1:8" x14ac:dyDescent="0.35">
      <c r="A3" s="132" t="s">
        <v>1</v>
      </c>
      <c r="B3" s="132"/>
      <c r="C3" s="132"/>
      <c r="D3" s="132"/>
      <c r="E3" s="132" t="str">
        <f ca="1">TEXT(TODAY(),"DD/MM/YYYY")</f>
        <v>23/08/2025</v>
      </c>
      <c r="F3" s="132"/>
      <c r="G3" s="132"/>
      <c r="H3" s="132"/>
    </row>
    <row r="4" spans="1:8" ht="15" customHeight="1" x14ac:dyDescent="0.35">
      <c r="A4" s="132" t="s">
        <v>2</v>
      </c>
      <c r="B4" s="132"/>
      <c r="C4" s="132"/>
      <c r="D4" s="132"/>
      <c r="E4" s="132" t="s">
        <v>200</v>
      </c>
      <c r="F4" s="132"/>
      <c r="G4" s="132"/>
      <c r="H4" s="132"/>
    </row>
    <row r="5" spans="1:8" x14ac:dyDescent="0.35">
      <c r="A5" s="132" t="s">
        <v>3</v>
      </c>
      <c r="B5" s="132"/>
      <c r="C5" s="132"/>
      <c r="D5" s="132"/>
      <c r="E5" s="169">
        <v>45892</v>
      </c>
      <c r="F5" s="132"/>
      <c r="G5" s="132"/>
      <c r="H5" s="132"/>
    </row>
    <row r="6" spans="1:8" ht="16.5" customHeight="1" x14ac:dyDescent="0.35">
      <c r="A6" s="132" t="s">
        <v>4</v>
      </c>
      <c r="B6" s="132"/>
      <c r="C6" s="132"/>
      <c r="D6" s="132"/>
      <c r="E6" s="132" t="s">
        <v>163</v>
      </c>
      <c r="F6" s="132"/>
      <c r="G6" s="132"/>
      <c r="H6" s="132"/>
    </row>
    <row r="7" spans="1:8" ht="15" customHeight="1" x14ac:dyDescent="0.35">
      <c r="A7" s="132" t="s">
        <v>5</v>
      </c>
      <c r="B7" s="132"/>
      <c r="C7" s="132"/>
      <c r="D7" s="132"/>
      <c r="E7" s="132" t="str">
        <f>E6</f>
        <v>M/s. Balaji Homes</v>
      </c>
      <c r="F7" s="132"/>
      <c r="G7" s="132"/>
      <c r="H7" s="132"/>
    </row>
    <row r="8" spans="1:8" x14ac:dyDescent="0.35">
      <c r="A8" s="132" t="s">
        <v>6</v>
      </c>
      <c r="B8" s="132"/>
      <c r="C8" s="132"/>
      <c r="D8" s="132"/>
      <c r="E8" s="72" t="s">
        <v>162</v>
      </c>
      <c r="F8" s="132"/>
      <c r="G8" s="132"/>
      <c r="H8" s="132"/>
    </row>
    <row r="9" spans="1:8" x14ac:dyDescent="0.35">
      <c r="A9" s="132" t="s">
        <v>118</v>
      </c>
      <c r="B9" s="132"/>
      <c r="C9" s="132"/>
      <c r="D9" s="132"/>
      <c r="E9" s="132">
        <v>9821583917</v>
      </c>
      <c r="F9" s="132"/>
      <c r="G9" s="132"/>
      <c r="H9" s="132"/>
    </row>
    <row r="10" spans="1:8" x14ac:dyDescent="0.35">
      <c r="A10" s="132" t="s">
        <v>7</v>
      </c>
      <c r="B10" s="132"/>
      <c r="C10" s="132"/>
      <c r="D10" s="132"/>
      <c r="E10" s="132" t="s">
        <v>194</v>
      </c>
      <c r="F10" s="132"/>
      <c r="G10" s="132"/>
      <c r="H10" s="132"/>
    </row>
    <row r="11" spans="1:8" ht="32.25" customHeight="1" x14ac:dyDescent="0.35">
      <c r="A11" s="109" t="s">
        <v>8</v>
      </c>
      <c r="B11" s="109"/>
      <c r="C11" s="109"/>
      <c r="D11" s="109"/>
      <c r="E11" s="105" t="s">
        <v>197</v>
      </c>
      <c r="F11" s="105"/>
      <c r="G11" s="105"/>
      <c r="H11" s="105"/>
    </row>
    <row r="12" spans="1:8" x14ac:dyDescent="0.35">
      <c r="A12" s="109" t="s">
        <v>9</v>
      </c>
      <c r="B12" s="109"/>
      <c r="C12" s="109"/>
      <c r="D12" s="109"/>
      <c r="E12" s="105" t="s">
        <v>164</v>
      </c>
      <c r="F12" s="132"/>
      <c r="G12" s="132"/>
      <c r="H12" s="132"/>
    </row>
    <row r="13" spans="1:8" ht="35.25" customHeight="1" x14ac:dyDescent="0.35">
      <c r="A13" s="105" t="s">
        <v>10</v>
      </c>
      <c r="B13" s="105"/>
      <c r="C13" s="105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Balaji Tulips, Gut No.172/6, near Heramb Gurukrupa Complex, Internal Rd, Mohopada, Rees, Khalapur, Khalapur, Raigad - 410222.</v>
      </c>
      <c r="D13" s="105"/>
      <c r="E13" s="105"/>
      <c r="F13" s="105"/>
      <c r="G13" s="105"/>
      <c r="H13" s="105"/>
    </row>
    <row r="14" spans="1:8" x14ac:dyDescent="0.35">
      <c r="A14" s="105" t="s">
        <v>195</v>
      </c>
      <c r="B14" s="105"/>
      <c r="C14" s="105" t="s">
        <v>171</v>
      </c>
      <c r="D14" s="105"/>
      <c r="E14" s="105"/>
      <c r="F14" s="105"/>
      <c r="G14" s="105"/>
      <c r="H14" s="105"/>
    </row>
    <row r="15" spans="1:8" ht="15.75" customHeight="1" x14ac:dyDescent="0.35">
      <c r="A15" s="100" t="s">
        <v>159</v>
      </c>
      <c r="B15" s="101"/>
      <c r="C15" s="100" t="s">
        <v>166</v>
      </c>
      <c r="D15" s="102"/>
      <c r="E15" s="102"/>
      <c r="F15" s="102"/>
      <c r="G15" s="102"/>
      <c r="H15" s="101"/>
    </row>
    <row r="16" spans="1:8" ht="15.75" customHeight="1" x14ac:dyDescent="0.35">
      <c r="A16" s="105" t="s">
        <v>11</v>
      </c>
      <c r="B16" s="105"/>
      <c r="C16" s="132" t="s">
        <v>169</v>
      </c>
      <c r="D16" s="132"/>
      <c r="E16" s="105" t="s">
        <v>160</v>
      </c>
      <c r="F16" s="105"/>
      <c r="G16" s="105" t="s">
        <v>165</v>
      </c>
      <c r="H16" s="105"/>
    </row>
    <row r="17" spans="1:8" x14ac:dyDescent="0.35">
      <c r="A17" s="132" t="s">
        <v>13</v>
      </c>
      <c r="B17" s="132"/>
      <c r="C17" s="105" t="s">
        <v>168</v>
      </c>
      <c r="D17" s="105"/>
      <c r="E17" s="105" t="s">
        <v>12</v>
      </c>
      <c r="F17" s="105"/>
      <c r="G17" s="168" t="s">
        <v>167</v>
      </c>
      <c r="H17" s="168"/>
    </row>
    <row r="18" spans="1:8" x14ac:dyDescent="0.35">
      <c r="A18" s="132" t="s">
        <v>74</v>
      </c>
      <c r="B18" s="132"/>
      <c r="C18" s="105" t="s">
        <v>168</v>
      </c>
      <c r="D18" s="105"/>
      <c r="E18" s="105" t="s">
        <v>14</v>
      </c>
      <c r="F18" s="105"/>
      <c r="G18" s="105">
        <v>410222</v>
      </c>
      <c r="H18" s="105"/>
    </row>
    <row r="19" spans="1:8" ht="32.25" customHeight="1" x14ac:dyDescent="0.35">
      <c r="A19" s="109" t="s">
        <v>119</v>
      </c>
      <c r="B19" s="109"/>
      <c r="C19" s="105" t="s">
        <v>170</v>
      </c>
      <c r="D19" s="105"/>
      <c r="E19" s="128" t="s">
        <v>15</v>
      </c>
      <c r="F19" s="128"/>
      <c r="G19" s="105" t="s">
        <v>172</v>
      </c>
      <c r="H19" s="105"/>
    </row>
    <row r="20" spans="1:8" ht="15" customHeight="1" x14ac:dyDescent="0.35">
      <c r="A20" s="128" t="s">
        <v>77</v>
      </c>
      <c r="B20" s="128"/>
      <c r="C20" s="128"/>
      <c r="D20" s="128"/>
      <c r="E20" s="132" t="s">
        <v>16</v>
      </c>
      <c r="F20" s="132"/>
      <c r="G20" s="132"/>
      <c r="H20" s="132"/>
    </row>
    <row r="21" spans="1:8" ht="18.75" customHeight="1" x14ac:dyDescent="0.35">
      <c r="A21" s="128"/>
      <c r="B21" s="128"/>
      <c r="C21" s="128"/>
      <c r="D21" s="128"/>
      <c r="E21" s="132"/>
      <c r="F21" s="132"/>
      <c r="G21" s="132"/>
      <c r="H21" s="132"/>
    </row>
    <row r="22" spans="1:8" ht="15" customHeight="1" x14ac:dyDescent="0.35">
      <c r="A22" s="128" t="s">
        <v>17</v>
      </c>
      <c r="B22" s="128"/>
      <c r="C22" s="128"/>
      <c r="D22" s="128"/>
      <c r="E22" s="105" t="s">
        <v>18</v>
      </c>
      <c r="F22" s="105"/>
      <c r="G22" s="105"/>
      <c r="H22" s="105"/>
    </row>
    <row r="23" spans="1:8" ht="15" customHeight="1" x14ac:dyDescent="0.35">
      <c r="A23" s="109" t="s">
        <v>19</v>
      </c>
      <c r="B23" s="109"/>
      <c r="C23" s="109"/>
      <c r="D23" s="109"/>
      <c r="E23" s="105" t="str">
        <f>IF(AND(G17="Mumbai"),"Upper Class","Middle Class")</f>
        <v>Middle Class</v>
      </c>
      <c r="F23" s="105"/>
      <c r="G23" s="105"/>
      <c r="H23" s="105"/>
    </row>
    <row r="24" spans="1:8" x14ac:dyDescent="0.35">
      <c r="A24" s="109" t="s">
        <v>20</v>
      </c>
      <c r="B24" s="109"/>
      <c r="C24" s="109"/>
      <c r="D24" s="109"/>
      <c r="E24" s="105" t="s">
        <v>21</v>
      </c>
      <c r="F24" s="105"/>
      <c r="G24" s="105"/>
      <c r="H24" s="105"/>
    </row>
    <row r="25" spans="1:8" ht="15.75" customHeight="1" x14ac:dyDescent="0.35">
      <c r="A25" s="109" t="s">
        <v>22</v>
      </c>
      <c r="B25" s="109"/>
      <c r="C25" s="109"/>
      <c r="D25" s="109"/>
      <c r="E25" s="105" t="str">
        <f>IF(AND(G17="Mumbai"),"Developed","Developing")</f>
        <v>Developing</v>
      </c>
      <c r="F25" s="105"/>
      <c r="G25" s="105"/>
      <c r="H25" s="105"/>
    </row>
    <row r="26" spans="1:8" x14ac:dyDescent="0.35">
      <c r="A26" s="109" t="s">
        <v>23</v>
      </c>
      <c r="B26" s="109"/>
      <c r="C26" s="109"/>
      <c r="D26" s="109"/>
      <c r="E26" s="105" t="s">
        <v>24</v>
      </c>
      <c r="F26" s="105"/>
      <c r="G26" s="105"/>
      <c r="H26" s="105"/>
    </row>
    <row r="27" spans="1:8" ht="15.75" customHeight="1" x14ac:dyDescent="0.35">
      <c r="A27" s="109" t="s">
        <v>82</v>
      </c>
      <c r="B27" s="109"/>
      <c r="C27" s="109"/>
      <c r="D27" s="109"/>
      <c r="E27" s="105" t="s">
        <v>83</v>
      </c>
      <c r="F27" s="105"/>
      <c r="G27" s="105"/>
      <c r="H27" s="105"/>
    </row>
    <row r="28" spans="1:8" ht="15" customHeight="1" x14ac:dyDescent="0.35">
      <c r="A28" s="109" t="s">
        <v>33</v>
      </c>
      <c r="B28" s="109"/>
      <c r="C28" s="109"/>
      <c r="D28" s="109"/>
      <c r="E28" s="105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8" s="105"/>
      <c r="G28" s="105"/>
      <c r="H28" s="105"/>
    </row>
    <row r="29" spans="1:8" ht="15.75" customHeight="1" x14ac:dyDescent="0.35">
      <c r="A29" s="109" t="s">
        <v>94</v>
      </c>
      <c r="B29" s="109"/>
      <c r="C29" s="109"/>
      <c r="D29" s="109"/>
      <c r="E29" s="105" t="s">
        <v>34</v>
      </c>
      <c r="F29" s="105"/>
      <c r="G29" s="105"/>
      <c r="H29" s="105"/>
    </row>
    <row r="30" spans="1:8" s="23" customFormat="1" x14ac:dyDescent="0.35">
      <c r="A30" s="167" t="s">
        <v>95</v>
      </c>
      <c r="B30" s="167"/>
      <c r="C30" s="166" t="s">
        <v>29</v>
      </c>
      <c r="D30" s="166"/>
      <c r="E30" s="166"/>
      <c r="F30" s="166" t="s">
        <v>31</v>
      </c>
      <c r="G30" s="166"/>
      <c r="H30" s="166"/>
    </row>
    <row r="31" spans="1:8" s="23" customFormat="1" x14ac:dyDescent="0.35">
      <c r="A31" s="148" t="s">
        <v>25</v>
      </c>
      <c r="B31" s="148" t="s">
        <v>30</v>
      </c>
      <c r="C31" s="149" t="s">
        <v>30</v>
      </c>
      <c r="D31" s="149"/>
      <c r="E31" s="149"/>
      <c r="F31" s="149" t="s">
        <v>169</v>
      </c>
      <c r="G31" s="149"/>
      <c r="H31" s="149"/>
    </row>
    <row r="32" spans="1:8" x14ac:dyDescent="0.35">
      <c r="A32" s="148" t="s">
        <v>26</v>
      </c>
      <c r="B32" s="148" t="s">
        <v>30</v>
      </c>
      <c r="C32" s="149" t="s">
        <v>30</v>
      </c>
      <c r="D32" s="149"/>
      <c r="E32" s="149"/>
      <c r="F32" s="149" t="s">
        <v>173</v>
      </c>
      <c r="G32" s="149"/>
      <c r="H32" s="149"/>
    </row>
    <row r="33" spans="1:8" s="23" customFormat="1" x14ac:dyDescent="0.35">
      <c r="A33" s="148" t="s">
        <v>28</v>
      </c>
      <c r="B33" s="148" t="s">
        <v>30</v>
      </c>
      <c r="C33" s="149" t="s">
        <v>30</v>
      </c>
      <c r="D33" s="149"/>
      <c r="E33" s="149"/>
      <c r="F33" s="149" t="s">
        <v>170</v>
      </c>
      <c r="G33" s="149"/>
      <c r="H33" s="149"/>
    </row>
    <row r="34" spans="1:8" x14ac:dyDescent="0.35">
      <c r="A34" s="148" t="s">
        <v>27</v>
      </c>
      <c r="B34" s="148" t="s">
        <v>30</v>
      </c>
      <c r="C34" s="149" t="s">
        <v>30</v>
      </c>
      <c r="D34" s="149"/>
      <c r="E34" s="149"/>
      <c r="F34" s="149" t="s">
        <v>169</v>
      </c>
      <c r="G34" s="149"/>
      <c r="H34" s="149"/>
    </row>
    <row r="35" spans="1:8" x14ac:dyDescent="0.35">
      <c r="A35" s="109" t="s">
        <v>32</v>
      </c>
      <c r="B35" s="109"/>
      <c r="C35" s="109"/>
      <c r="D35" s="109"/>
      <c r="E35" s="109"/>
      <c r="F35" s="109"/>
      <c r="G35" s="109"/>
      <c r="H35" s="109"/>
    </row>
    <row r="36" spans="1:8" ht="15.75" customHeight="1" x14ac:dyDescent="0.35">
      <c r="A36" s="103" t="s">
        <v>205</v>
      </c>
      <c r="B36" s="103"/>
      <c r="C36" s="152" t="s">
        <v>204</v>
      </c>
      <c r="D36" s="152"/>
      <c r="E36" s="152"/>
      <c r="F36" s="152"/>
      <c r="G36" s="152"/>
      <c r="H36" s="152"/>
    </row>
    <row r="37" spans="1:8" x14ac:dyDescent="0.35">
      <c r="A37" s="103" t="s">
        <v>158</v>
      </c>
      <c r="B37" s="103"/>
      <c r="C37" s="104" t="s">
        <v>174</v>
      </c>
      <c r="D37" s="105"/>
      <c r="E37" s="105"/>
      <c r="F37" s="105"/>
      <c r="G37" s="105"/>
      <c r="H37" s="105"/>
    </row>
    <row r="38" spans="1:8" hidden="1" x14ac:dyDescent="0.35">
      <c r="A38" s="151" t="s">
        <v>35</v>
      </c>
      <c r="B38" s="151"/>
      <c r="C38" s="151"/>
      <c r="D38" s="151"/>
      <c r="E38" s="151"/>
      <c r="F38" s="151"/>
      <c r="G38" s="151"/>
      <c r="H38" s="151"/>
    </row>
    <row r="39" spans="1:8" hidden="1" x14ac:dyDescent="0.35">
      <c r="A39" s="109" t="s">
        <v>36</v>
      </c>
      <c r="B39" s="109"/>
      <c r="C39" s="109"/>
      <c r="D39" s="109"/>
      <c r="E39" s="150">
        <v>3971.03</v>
      </c>
      <c r="F39" s="150"/>
      <c r="G39" s="150"/>
      <c r="H39" s="150"/>
    </row>
    <row r="40" spans="1:8" hidden="1" x14ac:dyDescent="0.35">
      <c r="A40" s="109" t="s">
        <v>37</v>
      </c>
      <c r="B40" s="109"/>
      <c r="C40" s="109"/>
      <c r="D40" s="109"/>
      <c r="E40" s="130">
        <v>1.1000000000000001</v>
      </c>
      <c r="F40" s="130"/>
      <c r="G40" s="130"/>
      <c r="H40" s="130"/>
    </row>
    <row r="41" spans="1:8" hidden="1" x14ac:dyDescent="0.35">
      <c r="A41" s="109" t="s">
        <v>38</v>
      </c>
      <c r="B41" s="109"/>
      <c r="C41" s="109"/>
      <c r="D41" s="109"/>
      <c r="E41" s="130">
        <f>E43/E39-E40</f>
        <v>1.0667416262279557</v>
      </c>
      <c r="F41" s="130"/>
      <c r="G41" s="130"/>
      <c r="H41" s="130"/>
    </row>
    <row r="42" spans="1:8" hidden="1" x14ac:dyDescent="0.35">
      <c r="A42" s="109" t="s">
        <v>39</v>
      </c>
      <c r="B42" s="109"/>
      <c r="C42" s="109"/>
      <c r="D42" s="109"/>
      <c r="E42" s="130">
        <f>E40+E41</f>
        <v>2.1667416262279557</v>
      </c>
      <c r="F42" s="130"/>
      <c r="G42" s="130"/>
      <c r="H42" s="130"/>
    </row>
    <row r="43" spans="1:8" hidden="1" x14ac:dyDescent="0.35">
      <c r="A43" s="132" t="s">
        <v>93</v>
      </c>
      <c r="B43" s="132"/>
      <c r="C43" s="132"/>
      <c r="D43" s="132"/>
      <c r="E43" s="131">
        <v>8604.1959999999999</v>
      </c>
      <c r="F43" s="131"/>
      <c r="G43" s="131"/>
      <c r="H43" s="131"/>
    </row>
    <row r="44" spans="1:8" x14ac:dyDescent="0.35">
      <c r="A44" s="132" t="s">
        <v>40</v>
      </c>
      <c r="B44" s="132"/>
      <c r="C44" s="132"/>
      <c r="D44" s="132"/>
      <c r="E44" s="132" t="s">
        <v>196</v>
      </c>
      <c r="F44" s="132"/>
      <c r="G44" s="132"/>
      <c r="H44" s="132"/>
    </row>
    <row r="45" spans="1:8" x14ac:dyDescent="0.35">
      <c r="A45" s="72" t="s">
        <v>41</v>
      </c>
      <c r="B45" s="72"/>
      <c r="C45" s="72"/>
      <c r="D45" s="72"/>
      <c r="E45" s="72"/>
      <c r="F45" s="72"/>
      <c r="G45" s="72"/>
      <c r="H45" s="72"/>
    </row>
    <row r="46" spans="1:8" ht="33.75" customHeight="1" x14ac:dyDescent="0.35">
      <c r="A46" s="105" t="s">
        <v>149</v>
      </c>
      <c r="B46" s="105"/>
      <c r="C46" s="72" t="s">
        <v>175</v>
      </c>
      <c r="D46" s="72"/>
      <c r="E46" s="72"/>
      <c r="F46" s="72"/>
      <c r="G46" s="72"/>
      <c r="H46" s="72"/>
    </row>
    <row r="47" spans="1:8" ht="31.5" customHeight="1" x14ac:dyDescent="0.35">
      <c r="A47" s="128" t="s">
        <v>42</v>
      </c>
      <c r="B47" s="128"/>
      <c r="C47" s="128" t="s">
        <v>176</v>
      </c>
      <c r="D47" s="128"/>
      <c r="E47" s="128"/>
      <c r="F47" s="19" t="s">
        <v>43</v>
      </c>
      <c r="G47" s="156">
        <v>44536</v>
      </c>
      <c r="H47" s="156"/>
    </row>
    <row r="48" spans="1:8" ht="32.25" customHeight="1" x14ac:dyDescent="0.35">
      <c r="A48" s="128" t="s">
        <v>44</v>
      </c>
      <c r="B48" s="128"/>
      <c r="C48" s="128" t="str">
        <f>C47</f>
        <v>MSRDC/SPA/Rees/Khalapur/BP-320/CC/2021/1444</v>
      </c>
      <c r="D48" s="128"/>
      <c r="E48" s="128"/>
      <c r="F48" s="19" t="s">
        <v>43</v>
      </c>
      <c r="G48" s="156">
        <v>44536</v>
      </c>
      <c r="H48" s="156"/>
    </row>
    <row r="49" spans="1:14" s="24" customFormat="1" ht="35.25" customHeight="1" x14ac:dyDescent="0.35">
      <c r="A49" s="157" t="s">
        <v>177</v>
      </c>
      <c r="B49" s="158"/>
      <c r="C49" s="145" t="s">
        <v>176</v>
      </c>
      <c r="D49" s="146"/>
      <c r="E49" s="147"/>
      <c r="F49" s="19" t="s">
        <v>43</v>
      </c>
      <c r="G49" s="194">
        <v>44536</v>
      </c>
      <c r="H49" s="195"/>
    </row>
    <row r="50" spans="1:14" s="24" customFormat="1" x14ac:dyDescent="0.35">
      <c r="A50" s="159"/>
      <c r="B50" s="160"/>
      <c r="C50" s="145" t="s">
        <v>180</v>
      </c>
      <c r="D50" s="146"/>
      <c r="E50" s="146"/>
      <c r="F50" s="146"/>
      <c r="G50" s="146"/>
      <c r="H50" s="147"/>
    </row>
    <row r="51" spans="1:14" x14ac:dyDescent="0.35">
      <c r="A51" s="138" t="s">
        <v>161</v>
      </c>
      <c r="B51" s="139"/>
      <c r="C51" s="142" t="s">
        <v>30</v>
      </c>
      <c r="D51" s="143"/>
      <c r="E51" s="144"/>
      <c r="F51" s="54" t="s">
        <v>43</v>
      </c>
      <c r="G51" s="135" t="s">
        <v>30</v>
      </c>
      <c r="H51" s="136"/>
    </row>
    <row r="52" spans="1:14" x14ac:dyDescent="0.35">
      <c r="A52" s="140"/>
      <c r="B52" s="141"/>
      <c r="C52" s="142" t="s">
        <v>30</v>
      </c>
      <c r="D52" s="143"/>
      <c r="E52" s="143"/>
      <c r="F52" s="143"/>
      <c r="G52" s="143"/>
      <c r="H52" s="144"/>
    </row>
    <row r="53" spans="1:14" x14ac:dyDescent="0.35">
      <c r="A53" s="165" t="s">
        <v>46</v>
      </c>
      <c r="B53" s="165"/>
      <c r="C53" s="165"/>
      <c r="D53" s="165"/>
      <c r="E53" s="165"/>
      <c r="F53" s="165"/>
      <c r="G53" s="165"/>
      <c r="H53" s="165"/>
    </row>
    <row r="54" spans="1:14" hidden="1" x14ac:dyDescent="0.35">
      <c r="A54" s="128" t="s">
        <v>92</v>
      </c>
      <c r="B54" s="128"/>
      <c r="C54" s="128"/>
      <c r="D54" s="109">
        <f>E43</f>
        <v>8604.1959999999999</v>
      </c>
      <c r="E54" s="109"/>
      <c r="F54" s="109"/>
      <c r="G54" s="109"/>
      <c r="H54" s="109"/>
    </row>
    <row r="55" spans="1:14" hidden="1" x14ac:dyDescent="0.35">
      <c r="A55" s="105" t="s">
        <v>47</v>
      </c>
      <c r="B55" s="132"/>
      <c r="C55" s="132"/>
      <c r="D55" s="132" t="s">
        <v>192</v>
      </c>
      <c r="E55" s="132"/>
      <c r="F55" s="132"/>
      <c r="G55" s="132"/>
      <c r="H55" s="132"/>
      <c r="I55" s="25"/>
    </row>
    <row r="56" spans="1:14" ht="31.5" customHeight="1" x14ac:dyDescent="0.35">
      <c r="A56" s="153" t="s">
        <v>48</v>
      </c>
      <c r="B56" s="154"/>
      <c r="C56" s="155"/>
      <c r="D56" s="133" t="s">
        <v>179</v>
      </c>
      <c r="E56" s="134"/>
      <c r="F56" s="134"/>
      <c r="G56" s="134"/>
      <c r="H56" s="134"/>
    </row>
    <row r="57" spans="1:14" ht="15.75" customHeight="1" x14ac:dyDescent="0.35">
      <c r="A57" s="153" t="s">
        <v>90</v>
      </c>
      <c r="B57" s="154"/>
      <c r="C57" s="154"/>
      <c r="D57" s="132" t="s">
        <v>213</v>
      </c>
      <c r="E57" s="132"/>
      <c r="F57" s="132"/>
      <c r="G57" s="132"/>
      <c r="H57" s="132"/>
    </row>
    <row r="58" spans="1:14" ht="15.75" customHeight="1" x14ac:dyDescent="0.35">
      <c r="A58" s="161"/>
      <c r="B58" s="162"/>
      <c r="C58" s="162"/>
      <c r="D58" s="132" t="s">
        <v>193</v>
      </c>
      <c r="E58" s="132"/>
      <c r="F58" s="132"/>
      <c r="G58" s="132"/>
      <c r="H58" s="132"/>
    </row>
    <row r="59" spans="1:14" ht="15.75" hidden="1" customHeight="1" x14ac:dyDescent="0.35">
      <c r="A59" s="163"/>
      <c r="B59" s="164"/>
      <c r="C59" s="164"/>
      <c r="D59" s="137" t="s">
        <v>145</v>
      </c>
      <c r="E59" s="137"/>
      <c r="F59" s="137"/>
      <c r="G59" s="137"/>
      <c r="H59" s="137"/>
    </row>
    <row r="60" spans="1:14" ht="15.75" customHeight="1" x14ac:dyDescent="0.35">
      <c r="A60" s="109" t="s">
        <v>45</v>
      </c>
      <c r="B60" s="109"/>
      <c r="C60" s="109"/>
      <c r="D60" s="128" t="s">
        <v>178</v>
      </c>
      <c r="E60" s="128"/>
      <c r="F60" s="128"/>
      <c r="G60" s="128"/>
      <c r="H60" s="128"/>
      <c r="J60" s="26"/>
      <c r="K60" s="25"/>
      <c r="N60" s="25"/>
    </row>
    <row r="61" spans="1:14" ht="15.75" customHeight="1" x14ac:dyDescent="0.35">
      <c r="A61" s="109" t="s">
        <v>88</v>
      </c>
      <c r="B61" s="109"/>
      <c r="C61" s="109"/>
      <c r="D61" s="129" t="str">
        <f>(IF(G51="NA","60 Years After Completion",IF(G51&lt;&gt;"NA",""&amp;60-ROUNDDOWN((E3-G51)/360,0)&amp;" Years"," ")))</f>
        <v>60 Years After Completion</v>
      </c>
      <c r="E61" s="129"/>
      <c r="F61" s="129"/>
      <c r="G61" s="129"/>
      <c r="H61" s="129"/>
      <c r="N61" s="25"/>
    </row>
    <row r="62" spans="1:14" ht="15.75" customHeight="1" x14ac:dyDescent="0.35">
      <c r="A62" s="109" t="s">
        <v>89</v>
      </c>
      <c r="B62" s="109"/>
      <c r="C62" s="109"/>
      <c r="D62" s="128" t="s">
        <v>24</v>
      </c>
      <c r="E62" s="128"/>
      <c r="F62" s="128"/>
      <c r="G62" s="128"/>
      <c r="H62" s="128"/>
      <c r="J62" s="27"/>
      <c r="K62" s="27"/>
    </row>
    <row r="63" spans="1:14" ht="30.75" customHeight="1" x14ac:dyDescent="0.35">
      <c r="A63" s="109" t="s">
        <v>75</v>
      </c>
      <c r="B63" s="109"/>
      <c r="C63" s="109"/>
      <c r="D63" s="105" t="s">
        <v>198</v>
      </c>
      <c r="E63" s="128"/>
      <c r="F63" s="128"/>
      <c r="G63" s="128"/>
      <c r="H63" s="128"/>
    </row>
    <row r="64" spans="1:14" x14ac:dyDescent="0.35">
      <c r="A64" s="128" t="s">
        <v>146</v>
      </c>
      <c r="B64" s="128"/>
      <c r="C64" s="128"/>
      <c r="D64" s="128" t="s">
        <v>30</v>
      </c>
      <c r="E64" s="128"/>
      <c r="F64" s="128"/>
      <c r="G64" s="128"/>
      <c r="H64" s="128"/>
      <c r="I64" s="28"/>
      <c r="J64" s="28"/>
      <c r="K64" s="28"/>
      <c r="L64" s="28"/>
      <c r="M64" s="28"/>
      <c r="N64" s="28"/>
    </row>
    <row r="65" spans="1:10" ht="15.75" customHeight="1" x14ac:dyDescent="0.35">
      <c r="A65" s="172" t="s">
        <v>87</v>
      </c>
      <c r="B65" s="172"/>
      <c r="C65" s="172"/>
      <c r="D65" s="133" t="str">
        <f ca="1">(IF(G71&gt;95%,"Nothing",IF(G71&gt;0%,"Cement, Aggregate, Steel, etc",IF(#REF!=0%,"Work not yet Started"))))</f>
        <v>Cement, Aggregate, Steel, etc</v>
      </c>
      <c r="E65" s="133"/>
      <c r="F65" s="133"/>
      <c r="G65" s="133"/>
      <c r="H65" s="133"/>
      <c r="J65" s="27"/>
    </row>
    <row r="66" spans="1:10" ht="33.75" customHeight="1" thickBot="1" x14ac:dyDescent="0.4">
      <c r="A66" s="171" t="s">
        <v>113</v>
      </c>
      <c r="B66" s="171"/>
      <c r="C66" s="171"/>
      <c r="D66" s="133" t="str">
        <f ca="1">(IF(D65="Nothing","Yes",IF(D65="Cement, Aggregate, Steel, etc","Under Construction",IF(D65="Work not yet Started","Work not yet Started"))))</f>
        <v>Under Construction</v>
      </c>
      <c r="E66" s="133"/>
      <c r="F66" s="133" t="str">
        <f ca="1">(IF(D65="Nothing","Yes",IF(D65="Cement, Aggregate, Steel, etc","Under Construction",IF(D65="Work not yet Started","Work not yet Started"))))</f>
        <v>Under Construction</v>
      </c>
      <c r="G66" s="133"/>
      <c r="H66" s="133"/>
    </row>
    <row r="67" spans="1:10" ht="15.75" customHeight="1" x14ac:dyDescent="0.35">
      <c r="A67" s="74" t="s">
        <v>137</v>
      </c>
      <c r="B67" s="75"/>
      <c r="C67" s="76" t="str">
        <f>D57</f>
        <v>A Wing = G + 1st to 11th Floor</v>
      </c>
      <c r="D67" s="77"/>
      <c r="E67" s="77"/>
      <c r="F67" s="77"/>
      <c r="G67" s="77"/>
      <c r="H67" s="78"/>
      <c r="I67" s="50" t="str">
        <f ca="1">IF(D80=100%,"All work Completed. Possession granted to the Building.",IF(D79=100%,"All work Completed, Waiting for OC",I68&amp;""&amp;I69&amp;""&amp;J68&amp;""&amp;J67&amp;" "&amp;J69))</f>
        <v>Excavation, Plinth, RCC Slab, Brickwork Completed, Internal Plaster upto 10 Floor, External Plaster upto 6 Floor, Flooring upto 2 Floor Completed</v>
      </c>
      <c r="J67" s="51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Electric work upto "&amp;C78&amp;" Floor","")))&amp;(IF(C79=H68,"",IF(C79&gt;0,", Painting upto "&amp;C79&amp;" Floor","")))&amp;(IF(C80=H68,"",IF(C80&gt;0,", Possession upto "&amp;C80&amp;" Floor","")))</f>
        <v>, Internal Plaster upto 10 Floor, External Plaster upto 6 Floor, Flooring upto 2 Floor</v>
      </c>
    </row>
    <row r="68" spans="1:10" x14ac:dyDescent="0.35">
      <c r="A68" s="17" t="s">
        <v>139</v>
      </c>
      <c r="B68" s="58">
        <v>0</v>
      </c>
      <c r="C68" s="58" t="s">
        <v>73</v>
      </c>
      <c r="D68" s="58">
        <v>1</v>
      </c>
      <c r="E68" s="58" t="s">
        <v>72</v>
      </c>
      <c r="F68" s="58">
        <v>0</v>
      </c>
      <c r="G68" s="58" t="s">
        <v>81</v>
      </c>
      <c r="H68" s="18">
        <f ca="1">--TRIM(RIGHT(SUBSTITUTE(LEFT(C67,_xlfn.AGGREGATE(16,6,FIND({0,1,2,3,4,5,6,7,8,9},C67,ROW(INDIRECT("1:"&amp;LEN(C67)))),1))," ",REPT(" ",LEN(C67))),LEN(C67)))</f>
        <v>11</v>
      </c>
      <c r="I68" s="52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Electric work","")&amp;IF(D79=100%,", Painting &amp; Wodden work","")</f>
        <v>Excavation, Plinth, RCC Slab, Brickwork</v>
      </c>
      <c r="J68" s="53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3.5" customHeight="1" x14ac:dyDescent="0.35">
      <c r="A69" s="72" t="s">
        <v>91</v>
      </c>
      <c r="B69" s="72"/>
      <c r="C69" s="71" t="str">
        <f ca="1">I67</f>
        <v>Excavation, Plinth, RCC Slab, Brickwork Completed, Internal Plaster upto 10 Floor, External Plaster upto 6 Floor, Flooring upto 2 Floor Completed</v>
      </c>
      <c r="D69" s="71"/>
      <c r="E69" s="71"/>
      <c r="F69" s="71"/>
      <c r="G69" s="71"/>
      <c r="H69" s="71"/>
      <c r="I69" s="66" t="str">
        <f ca="1">IF(I68&lt;&gt;""," Completed","")</f>
        <v xml:space="preserve"> Completed</v>
      </c>
      <c r="J69" s="53" t="str">
        <f ca="1">IF(J67&lt;&gt;"","Completed","")</f>
        <v>Completed</v>
      </c>
    </row>
    <row r="70" spans="1:10" ht="15.75" customHeight="1" x14ac:dyDescent="0.35">
      <c r="A70" s="73" t="s">
        <v>49</v>
      </c>
      <c r="B70" s="73"/>
      <c r="C70" s="64" t="s">
        <v>136</v>
      </c>
      <c r="D70" s="64" t="s">
        <v>84</v>
      </c>
      <c r="E70" s="73" t="s">
        <v>86</v>
      </c>
      <c r="F70" s="73"/>
      <c r="G70" s="73" t="s">
        <v>85</v>
      </c>
      <c r="H70" s="73"/>
      <c r="I70" s="14" t="s">
        <v>138</v>
      </c>
      <c r="J70" s="29">
        <f ca="1">H68*25%</f>
        <v>2.75</v>
      </c>
    </row>
    <row r="71" spans="1:10" x14ac:dyDescent="0.35">
      <c r="A71" s="73" t="s">
        <v>125</v>
      </c>
      <c r="B71" s="73"/>
      <c r="C71" s="64">
        <f ca="1">J72</f>
        <v>11</v>
      </c>
      <c r="D71" s="57">
        <f ca="1">((100/H68)*C71)/100</f>
        <v>1.0000000000000002</v>
      </c>
      <c r="E71" s="81">
        <f ca="1">(((C72/H68*10)+(50/(D68+F68+H68)*C73)+(5/(H68)*C74)+(5/(H68)*C75)+(5/H68*C76)+(10/H68*C77)+(5/H68*C78)+(5/H68*C79)+(5/H68*C80))/100)</f>
        <v>0.74090909090909096</v>
      </c>
      <c r="F71" s="81"/>
      <c r="G71" s="81">
        <f ca="1">((((C71/H68)*20)+((C72/H68)*25)+(30/(H68+F68+D68)*C73)+(5/H68*C74)+(5/H68*C75)+(5/H68*C76)+(5/H68*C77)+(0/H68*C78)+(5/H68*C79)+(0/H68*C80))/100)</f>
        <v>0.88181818181818183</v>
      </c>
      <c r="H71" s="81"/>
      <c r="I71" s="14" t="s">
        <v>96</v>
      </c>
      <c r="J71" s="30">
        <f ca="1">H68*50%</f>
        <v>5.5</v>
      </c>
    </row>
    <row r="72" spans="1:10" x14ac:dyDescent="0.35">
      <c r="A72" s="73" t="s">
        <v>50</v>
      </c>
      <c r="B72" s="73"/>
      <c r="C72" s="64">
        <f ca="1">J80</f>
        <v>11</v>
      </c>
      <c r="D72" s="57">
        <f ca="1">((100/H68)*C72)/100</f>
        <v>1.0000000000000002</v>
      </c>
      <c r="E72" s="81"/>
      <c r="F72" s="81"/>
      <c r="G72" s="81"/>
      <c r="H72" s="81"/>
      <c r="I72" s="14" t="s">
        <v>97</v>
      </c>
      <c r="J72" s="30">
        <f ca="1">H68</f>
        <v>11</v>
      </c>
    </row>
    <row r="73" spans="1:10" ht="15.75" customHeight="1" x14ac:dyDescent="0.35">
      <c r="A73" s="73" t="s">
        <v>126</v>
      </c>
      <c r="B73" s="73"/>
      <c r="C73" s="64">
        <v>12</v>
      </c>
      <c r="D73" s="57">
        <f ca="1">((100/(D68+F68+H68))*C73)/100</f>
        <v>1</v>
      </c>
      <c r="E73" s="81"/>
      <c r="F73" s="81"/>
      <c r="G73" s="81"/>
      <c r="H73" s="81"/>
      <c r="I73" s="14" t="s">
        <v>98</v>
      </c>
      <c r="J73" s="31">
        <f ca="1">(IF(B68&gt;1,(H68/(B68+2)),H68/4))</f>
        <v>2.75</v>
      </c>
    </row>
    <row r="74" spans="1:10" ht="15.75" customHeight="1" x14ac:dyDescent="0.35">
      <c r="A74" s="73" t="s">
        <v>133</v>
      </c>
      <c r="B74" s="73" t="s">
        <v>127</v>
      </c>
      <c r="C74" s="64">
        <v>11</v>
      </c>
      <c r="D74" s="57">
        <f ca="1">((100/H68)*C74)/100</f>
        <v>1.0000000000000002</v>
      </c>
      <c r="E74" s="81"/>
      <c r="F74" s="81"/>
      <c r="G74" s="81"/>
      <c r="H74" s="81"/>
      <c r="I74" s="14" t="s">
        <v>99</v>
      </c>
      <c r="J74" s="31">
        <f ca="1">(IF(B68&gt;1,(H68/(B68+2)+J73),H68/4+J73))</f>
        <v>5.5</v>
      </c>
    </row>
    <row r="75" spans="1:10" ht="15.75" customHeight="1" x14ac:dyDescent="0.35">
      <c r="A75" s="73" t="s">
        <v>134</v>
      </c>
      <c r="B75" s="73" t="s">
        <v>127</v>
      </c>
      <c r="C75" s="64">
        <v>10</v>
      </c>
      <c r="D75" s="57">
        <f ca="1">((100/H68)*C75)/100</f>
        <v>0.90909090909090917</v>
      </c>
      <c r="E75" s="81"/>
      <c r="F75" s="81"/>
      <c r="G75" s="81"/>
      <c r="H75" s="81"/>
      <c r="I75" s="14" t="s">
        <v>143</v>
      </c>
      <c r="J75" s="31">
        <f>(IF(B68&gt;1,(H68/(B68+2)+J74),0))</f>
        <v>0</v>
      </c>
    </row>
    <row r="76" spans="1:10" ht="15" customHeight="1" x14ac:dyDescent="0.35">
      <c r="A76" s="73" t="s">
        <v>202</v>
      </c>
      <c r="B76" s="73" t="s">
        <v>129</v>
      </c>
      <c r="C76" s="64">
        <v>6</v>
      </c>
      <c r="D76" s="57">
        <f ca="1">((100/(H68))*C76)/100</f>
        <v>0.54545454545454541</v>
      </c>
      <c r="E76" s="81"/>
      <c r="F76" s="81"/>
      <c r="G76" s="81"/>
      <c r="H76" s="81"/>
      <c r="I76" s="14" t="s">
        <v>140</v>
      </c>
      <c r="J76" s="31">
        <f>(IF(B68&gt;2,(H68/(B68+2)+J75),0))</f>
        <v>0</v>
      </c>
    </row>
    <row r="77" spans="1:10" ht="15.75" customHeight="1" x14ac:dyDescent="0.35">
      <c r="A77" s="73" t="s">
        <v>128</v>
      </c>
      <c r="B77" s="73" t="s">
        <v>128</v>
      </c>
      <c r="C77" s="64">
        <v>2</v>
      </c>
      <c r="D77" s="57">
        <f ca="1">((100/H68)*C77)/100</f>
        <v>0.18181818181818182</v>
      </c>
      <c r="E77" s="81"/>
      <c r="F77" s="81"/>
      <c r="G77" s="81"/>
      <c r="H77" s="81"/>
      <c r="I77" s="14" t="s">
        <v>141</v>
      </c>
      <c r="J77" s="32">
        <f>(IF(B68&gt;3,(H68/(B68+2)+J76),0))</f>
        <v>0</v>
      </c>
    </row>
    <row r="78" spans="1:10" ht="15.75" customHeight="1" x14ac:dyDescent="0.35">
      <c r="A78" s="73" t="s">
        <v>203</v>
      </c>
      <c r="B78" s="73"/>
      <c r="C78" s="64">
        <v>0</v>
      </c>
      <c r="D78" s="57">
        <f ca="1">((100/H68)*C78)/100</f>
        <v>0</v>
      </c>
      <c r="E78" s="81"/>
      <c r="F78" s="81"/>
      <c r="G78" s="81"/>
      <c r="H78" s="81"/>
      <c r="I78" s="14" t="s">
        <v>142</v>
      </c>
      <c r="J78" s="31">
        <f>(IF(B68&gt;4,(H68/(B68+2)+J77),0))</f>
        <v>0</v>
      </c>
    </row>
    <row r="79" spans="1:10" ht="15.75" customHeight="1" x14ac:dyDescent="0.35">
      <c r="A79" s="73" t="s">
        <v>135</v>
      </c>
      <c r="B79" s="73"/>
      <c r="C79" s="64">
        <v>0</v>
      </c>
      <c r="D79" s="57">
        <f ca="1">((100/(H68))*C79)/100</f>
        <v>0</v>
      </c>
      <c r="E79" s="81"/>
      <c r="F79" s="81"/>
      <c r="G79" s="81"/>
      <c r="H79" s="81"/>
      <c r="I79" s="14" t="s">
        <v>144</v>
      </c>
      <c r="J79" s="31">
        <f ca="1">(IF(B68=1,(H68/(B68+3)+J74),IF(B68=0,(H68/4+J74),IF(B68&gt;1,0))))</f>
        <v>8.25</v>
      </c>
    </row>
    <row r="80" spans="1:10" ht="16" thickBot="1" x14ac:dyDescent="0.4">
      <c r="A80" s="73" t="s">
        <v>131</v>
      </c>
      <c r="B80" s="73"/>
      <c r="C80" s="64">
        <v>0</v>
      </c>
      <c r="D80" s="57">
        <f ca="1">((100/(H68))*C80)/100</f>
        <v>0</v>
      </c>
      <c r="E80" s="81"/>
      <c r="F80" s="81"/>
      <c r="G80" s="81"/>
      <c r="H80" s="81"/>
      <c r="I80" s="16" t="s">
        <v>100</v>
      </c>
      <c r="J80" s="33">
        <f ca="1">(IF(B68&gt;1.5,(H68/(B68+2)+J74+MAX(0,J75-J74)+MAX(0,J76-J75)+MAX(0,J77-J76)+MAX(0,J78-J77)+MAX(0,J79-J78)),IF(B68=1,(H68/(B68+3)+J79),IF(B68=0,H68/4+J79))))</f>
        <v>11</v>
      </c>
    </row>
    <row r="81" spans="1:10" ht="15.75" customHeight="1" x14ac:dyDescent="0.35">
      <c r="A81" s="71" t="s">
        <v>137</v>
      </c>
      <c r="B81" s="71"/>
      <c r="C81" s="71" t="str">
        <f>D58</f>
        <v>B Wing = G + 1st to 10th Floor</v>
      </c>
      <c r="D81" s="71"/>
      <c r="E81" s="71"/>
      <c r="F81" s="71"/>
      <c r="G81" s="71"/>
      <c r="H81" s="71"/>
      <c r="I81" s="65" t="str">
        <f ca="1">IF(D94=100%,"All work Completed. Possession granted to the Building.",IF(D93=100%,"All work Completed, Waiting for OC",I82&amp;""&amp;I83&amp;""&amp;J82&amp;""&amp;J81&amp;" "&amp;J83))</f>
        <v>Excavation, Plinth Completed, RCC upto 8 Slab, Brickwork upto 6 Floor Completed</v>
      </c>
      <c r="J81" s="51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Electric work upto "&amp;C92&amp;" Floor","")))&amp;(IF(C93=H82,"",IF(C93&gt;0,", Painting upto "&amp;C93&amp;" Floor","")))&amp;(IF(C94=H82,"",IF(C94&gt;0,", Possession upto "&amp;C94&amp;" Floor","")))</f>
        <v>, RCC upto 8 Slab, Brickwork upto 6 Floor</v>
      </c>
    </row>
    <row r="82" spans="1:10" x14ac:dyDescent="0.35">
      <c r="A82" s="63" t="s">
        <v>139</v>
      </c>
      <c r="B82" s="63">
        <v>0</v>
      </c>
      <c r="C82" s="63" t="s">
        <v>73</v>
      </c>
      <c r="D82" s="63">
        <v>1</v>
      </c>
      <c r="E82" s="63" t="s">
        <v>72</v>
      </c>
      <c r="F82" s="63">
        <v>0</v>
      </c>
      <c r="G82" s="63" t="s">
        <v>81</v>
      </c>
      <c r="H82" s="63">
        <f ca="1">--TRIM(RIGHT(SUBSTITUTE(LEFT(C81,_xlfn.AGGREGATE(16,6,FIND({0,1,2,3,4,5,6,7,8,9},C81,ROW(INDIRECT("1:"&amp;LEN(C81)))),1))," ",REPT(" ",LEN(C81))),LEN(C81)))</f>
        <v>10</v>
      </c>
      <c r="I82" s="66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Electric work","")&amp;IF(D93=100%,", Painting &amp; Wodden work","")</f>
        <v>Excavation, Plinth</v>
      </c>
      <c r="J82" s="53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1" customHeight="1" x14ac:dyDescent="0.35">
      <c r="A83" s="72" t="s">
        <v>91</v>
      </c>
      <c r="B83" s="72"/>
      <c r="C83" s="71" t="str">
        <f ca="1">I81</f>
        <v>Excavation, Plinth Completed, RCC upto 8 Slab, Brickwork upto 6 Floor Completed</v>
      </c>
      <c r="D83" s="71"/>
      <c r="E83" s="71"/>
      <c r="F83" s="71"/>
      <c r="G83" s="71"/>
      <c r="H83" s="71"/>
      <c r="I83" s="66" t="str">
        <f ca="1">IF(I82&lt;&gt;""," Completed","")</f>
        <v xml:space="preserve"> Completed</v>
      </c>
      <c r="J83" s="53" t="str">
        <f ca="1">IF(J81&lt;&gt;"","Completed","")</f>
        <v>Completed</v>
      </c>
    </row>
    <row r="84" spans="1:10" ht="15.75" customHeight="1" x14ac:dyDescent="0.35">
      <c r="A84" s="73" t="s">
        <v>49</v>
      </c>
      <c r="B84" s="73"/>
      <c r="C84" s="64" t="s">
        <v>136</v>
      </c>
      <c r="D84" s="64" t="s">
        <v>84</v>
      </c>
      <c r="E84" s="73" t="s">
        <v>86</v>
      </c>
      <c r="F84" s="73"/>
      <c r="G84" s="73" t="s">
        <v>85</v>
      </c>
      <c r="H84" s="73"/>
      <c r="I84" s="14" t="s">
        <v>138</v>
      </c>
      <c r="J84" s="29">
        <f ca="1">H82*25%</f>
        <v>2.5</v>
      </c>
    </row>
    <row r="85" spans="1:10" x14ac:dyDescent="0.35">
      <c r="A85" s="73" t="s">
        <v>125</v>
      </c>
      <c r="B85" s="73"/>
      <c r="C85" s="64">
        <f ca="1">J86</f>
        <v>10</v>
      </c>
      <c r="D85" s="57">
        <f ca="1">((100/H82)*C85)/100</f>
        <v>1</v>
      </c>
      <c r="E85" s="81">
        <f ca="1">(((C86/H82*10)+(50/(D82+F82+H82)*C87)+(5/(H82)*C88)+(5/(H82)*C89)+(5/H82*C90)+(10/H82*C91)+(5/H82*C92)+(5/H82*C93)+(5/H82*C94))/100)</f>
        <v>0.49363636363636365</v>
      </c>
      <c r="F85" s="81"/>
      <c r="G85" s="81">
        <f ca="1">((((C85/H82)*20)+((C86/H82)*25)+(30/(H82+F82+D82)*C87)+(5/H82*C88)+(5/H82*C89)+(5/H82*C90)+(5/H82*C91)+(0/H82*C92)+(5/H82*C93)+(0/H82*C94))/100)</f>
        <v>0.69818181818181813</v>
      </c>
      <c r="H85" s="81"/>
      <c r="I85" s="14" t="s">
        <v>96</v>
      </c>
      <c r="J85" s="30">
        <f ca="1">H82*50%</f>
        <v>5</v>
      </c>
    </row>
    <row r="86" spans="1:10" x14ac:dyDescent="0.35">
      <c r="A86" s="73" t="s">
        <v>50</v>
      </c>
      <c r="B86" s="73"/>
      <c r="C86" s="62">
        <f ca="1">J94</f>
        <v>10</v>
      </c>
      <c r="D86" s="57">
        <f ca="1">((100/H82)*C86)/100</f>
        <v>1</v>
      </c>
      <c r="E86" s="81"/>
      <c r="F86" s="81"/>
      <c r="G86" s="81"/>
      <c r="H86" s="81"/>
      <c r="I86" s="14" t="s">
        <v>97</v>
      </c>
      <c r="J86" s="30">
        <f ca="1">H82</f>
        <v>10</v>
      </c>
    </row>
    <row r="87" spans="1:10" ht="15.75" customHeight="1" x14ac:dyDescent="0.35">
      <c r="A87" s="73" t="s">
        <v>126</v>
      </c>
      <c r="B87" s="73"/>
      <c r="C87" s="64">
        <v>8</v>
      </c>
      <c r="D87" s="57">
        <f ca="1">((100/(D82+F82+H82))*C87)/100</f>
        <v>0.72727272727272729</v>
      </c>
      <c r="E87" s="81"/>
      <c r="F87" s="81"/>
      <c r="G87" s="81"/>
      <c r="H87" s="81"/>
      <c r="I87" s="14" t="s">
        <v>98</v>
      </c>
      <c r="J87" s="31">
        <f ca="1">(IF(B82&gt;1,(H82/(B82+2)),H82/4))</f>
        <v>2.5</v>
      </c>
    </row>
    <row r="88" spans="1:10" ht="15.75" customHeight="1" x14ac:dyDescent="0.35">
      <c r="A88" s="73" t="s">
        <v>133</v>
      </c>
      <c r="B88" s="73" t="s">
        <v>127</v>
      </c>
      <c r="C88" s="64">
        <v>6</v>
      </c>
      <c r="D88" s="57">
        <f ca="1">((100/H82)*C88)/100</f>
        <v>0.6</v>
      </c>
      <c r="E88" s="81"/>
      <c r="F88" s="81"/>
      <c r="G88" s="81"/>
      <c r="H88" s="81"/>
      <c r="I88" s="14" t="s">
        <v>99</v>
      </c>
      <c r="J88" s="31">
        <f ca="1">(IF(B82&gt;1,(H82/(B82+2)+J87),H82/4+J87))</f>
        <v>5</v>
      </c>
    </row>
    <row r="89" spans="1:10" ht="15.75" customHeight="1" x14ac:dyDescent="0.35">
      <c r="A89" s="73" t="s">
        <v>134</v>
      </c>
      <c r="B89" s="73" t="s">
        <v>127</v>
      </c>
      <c r="C89" s="64">
        <v>0</v>
      </c>
      <c r="D89" s="57">
        <f ca="1">((100/H82)*C89)/100</f>
        <v>0</v>
      </c>
      <c r="E89" s="81"/>
      <c r="F89" s="81"/>
      <c r="G89" s="81"/>
      <c r="H89" s="81"/>
      <c r="I89" s="14" t="s">
        <v>143</v>
      </c>
      <c r="J89" s="31">
        <f>(IF(B82&gt;1,(H82/(B82+2)+J88),0))</f>
        <v>0</v>
      </c>
    </row>
    <row r="90" spans="1:10" ht="15" customHeight="1" x14ac:dyDescent="0.35">
      <c r="A90" s="73" t="s">
        <v>202</v>
      </c>
      <c r="B90" s="73" t="s">
        <v>129</v>
      </c>
      <c r="C90" s="64">
        <v>0</v>
      </c>
      <c r="D90" s="57">
        <f ca="1">((100/(H82))*C90)/100</f>
        <v>0</v>
      </c>
      <c r="E90" s="81"/>
      <c r="F90" s="81"/>
      <c r="G90" s="81"/>
      <c r="H90" s="81"/>
      <c r="I90" s="14" t="s">
        <v>140</v>
      </c>
      <c r="J90" s="31">
        <f>(IF(B82&gt;2,(H82/(B82+2)+J89),0))</f>
        <v>0</v>
      </c>
    </row>
    <row r="91" spans="1:10" ht="15.75" customHeight="1" x14ac:dyDescent="0.35">
      <c r="A91" s="73" t="s">
        <v>128</v>
      </c>
      <c r="B91" s="73" t="s">
        <v>128</v>
      </c>
      <c r="C91" s="64">
        <v>0</v>
      </c>
      <c r="D91" s="57">
        <f ca="1">((100/H82)*C91)/100</f>
        <v>0</v>
      </c>
      <c r="E91" s="81"/>
      <c r="F91" s="81"/>
      <c r="G91" s="81"/>
      <c r="H91" s="81"/>
      <c r="I91" s="14" t="s">
        <v>141</v>
      </c>
      <c r="J91" s="32">
        <f>(IF(B82&gt;3,(H82/(B82+2)+J90),0))</f>
        <v>0</v>
      </c>
    </row>
    <row r="92" spans="1:10" ht="15.75" customHeight="1" x14ac:dyDescent="0.35">
      <c r="A92" s="73" t="s">
        <v>203</v>
      </c>
      <c r="B92" s="73"/>
      <c r="C92" s="64">
        <v>0</v>
      </c>
      <c r="D92" s="57">
        <f ca="1">((100/H82)*C92)/100</f>
        <v>0</v>
      </c>
      <c r="E92" s="81"/>
      <c r="F92" s="81"/>
      <c r="G92" s="81"/>
      <c r="H92" s="81"/>
      <c r="I92" s="14" t="s">
        <v>142</v>
      </c>
      <c r="J92" s="31">
        <f>(IF(B82&gt;4,(H82/(B82+2)+J91),0))</f>
        <v>0</v>
      </c>
    </row>
    <row r="93" spans="1:10" ht="15.75" customHeight="1" x14ac:dyDescent="0.35">
      <c r="A93" s="73" t="s">
        <v>135</v>
      </c>
      <c r="B93" s="73"/>
      <c r="C93" s="64">
        <v>0</v>
      </c>
      <c r="D93" s="57">
        <f ca="1">((100/(H82))*C93)/100</f>
        <v>0</v>
      </c>
      <c r="E93" s="81"/>
      <c r="F93" s="81"/>
      <c r="G93" s="81"/>
      <c r="H93" s="81"/>
      <c r="I93" s="14" t="s">
        <v>144</v>
      </c>
      <c r="J93" s="31">
        <f ca="1">(IF(B82=1,(H82/(B82+3)+J88),IF(B82=0,(H82/4+J88),IF(B82&gt;1,0))))</f>
        <v>7.5</v>
      </c>
    </row>
    <row r="94" spans="1:10" ht="16" thickBot="1" x14ac:dyDescent="0.4">
      <c r="A94" s="73" t="s">
        <v>131</v>
      </c>
      <c r="B94" s="73"/>
      <c r="C94" s="64">
        <v>0</v>
      </c>
      <c r="D94" s="57">
        <f ca="1">((100/(H82))*C94)/100</f>
        <v>0</v>
      </c>
      <c r="E94" s="81"/>
      <c r="F94" s="81"/>
      <c r="G94" s="81"/>
      <c r="H94" s="81"/>
      <c r="I94" s="16" t="s">
        <v>100</v>
      </c>
      <c r="J94" s="33">
        <f ca="1">(IF(B82&gt;1.5,(H82/(B82+2)+J88+MAX(0,J89-J88)+MAX(0,J90-J89)+MAX(0,J91-J90)+MAX(0,J92-J91)+MAX(0,J93-J92)),IF(B82=1,(H82/(B82+3)+J93),IF(B82=0,H82/4+J93))))</f>
        <v>10</v>
      </c>
    </row>
    <row r="95" spans="1:10" ht="15.75" hidden="1" customHeight="1" x14ac:dyDescent="0.35">
      <c r="A95" s="198" t="s">
        <v>137</v>
      </c>
      <c r="B95" s="141"/>
      <c r="C95" s="140" t="str">
        <f>D59</f>
        <v>C Wing = G + 1st to 20th Floor</v>
      </c>
      <c r="D95" s="199"/>
      <c r="E95" s="199"/>
      <c r="F95" s="199"/>
      <c r="G95" s="199"/>
      <c r="H95" s="200"/>
      <c r="I95" s="50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1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5">
      <c r="A96" s="17" t="s">
        <v>139</v>
      </c>
      <c r="B96" s="15">
        <v>0</v>
      </c>
      <c r="C96" s="47" t="s">
        <v>73</v>
      </c>
      <c r="D96" s="47">
        <v>1</v>
      </c>
      <c r="E96" s="47" t="s">
        <v>72</v>
      </c>
      <c r="F96" s="15">
        <v>0</v>
      </c>
      <c r="G96" s="48" t="s">
        <v>81</v>
      </c>
      <c r="H96" s="18">
        <f ca="1">--TRIM(RIGHT(SUBSTITUTE(LEFT(C95,_xlfn.AGGREGATE(16,6,FIND({0,1,2,3,4,5,6,7,8,9},C95,ROW(INDIRECT("1:"&amp;LEN(C95)))),1))," ",REPT(" ",LEN(C95))),LEN(C95)))</f>
        <v>20</v>
      </c>
      <c r="I96" s="52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3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2" ht="33" hidden="1" customHeight="1" x14ac:dyDescent="0.35">
      <c r="A97" s="79" t="s">
        <v>91</v>
      </c>
      <c r="B97" s="72"/>
      <c r="C97" s="71" t="str">
        <f ca="1">(IF($C$52=C95,"All work Completed. OC Received.",I95))</f>
        <v xml:space="preserve">Excavation, Plinth, RCC Slab Completed </v>
      </c>
      <c r="D97" s="71"/>
      <c r="E97" s="71"/>
      <c r="F97" s="71"/>
      <c r="G97" s="71"/>
      <c r="H97" s="80"/>
      <c r="I97" s="52" t="str">
        <f ca="1">IF(I96&lt;&gt;""," Completed","")</f>
        <v xml:space="preserve"> Completed</v>
      </c>
      <c r="J97" s="53" t="str">
        <f ca="1">IF(J95&lt;&gt;"","Completed","")</f>
        <v/>
      </c>
    </row>
    <row r="98" spans="1:12" ht="15.75" hidden="1" customHeight="1" x14ac:dyDescent="0.35">
      <c r="A98" s="106" t="s">
        <v>49</v>
      </c>
      <c r="B98" s="107"/>
      <c r="C98" s="44" t="s">
        <v>136</v>
      </c>
      <c r="D98" s="44" t="s">
        <v>84</v>
      </c>
      <c r="E98" s="107" t="s">
        <v>86</v>
      </c>
      <c r="F98" s="107"/>
      <c r="G98" s="107" t="s">
        <v>85</v>
      </c>
      <c r="H98" s="110"/>
      <c r="I98" s="14" t="s">
        <v>138</v>
      </c>
      <c r="J98" s="29">
        <f ca="1">H96*25%</f>
        <v>5</v>
      </c>
    </row>
    <row r="99" spans="1:12" hidden="1" x14ac:dyDescent="0.35">
      <c r="A99" s="106" t="s">
        <v>125</v>
      </c>
      <c r="B99" s="107"/>
      <c r="C99" s="44">
        <f ca="1">J100</f>
        <v>20</v>
      </c>
      <c r="D99" s="20">
        <f ca="1">((100/H96)*C99)/100</f>
        <v>1</v>
      </c>
      <c r="E99" s="173">
        <f ca="1">(((C100/H96*10)+(40/(D96+F96+H96)*C101)+(7.5/(H96)*C102)+(7.5/(H96)*C103)+(10/H96*C104)+(10/H96*C105)+(5/H96*C106)+(5/H96*C107)+(5/H96*C108))/100)</f>
        <v>0.5</v>
      </c>
      <c r="F99" s="174"/>
      <c r="G99" s="173">
        <f ca="1">((((C99/H96)*20)+((C100/H96)*25)+(30/(H96+F96+D96)*C101)+(5/H96*C102)+(5/H96*C103)+(5/H96*C104)+(5/H96*C105)+(0/H96*C106)+(0/H96*C107)+(5/H96*C108))/100)</f>
        <v>0.75</v>
      </c>
      <c r="H99" s="180"/>
      <c r="I99" s="14" t="s">
        <v>96</v>
      </c>
      <c r="J99" s="30">
        <f ca="1">H96*50%</f>
        <v>10</v>
      </c>
    </row>
    <row r="100" spans="1:12" hidden="1" x14ac:dyDescent="0.35">
      <c r="A100" s="106" t="s">
        <v>50</v>
      </c>
      <c r="B100" s="107"/>
      <c r="C100" s="44">
        <f ca="1">J108</f>
        <v>20</v>
      </c>
      <c r="D100" s="20">
        <f ca="1">((100/H96)*C100)/100</f>
        <v>1</v>
      </c>
      <c r="E100" s="175"/>
      <c r="F100" s="176"/>
      <c r="G100" s="175"/>
      <c r="H100" s="181"/>
      <c r="I100" s="14" t="s">
        <v>97</v>
      </c>
      <c r="J100" s="30">
        <f ca="1">H96</f>
        <v>20</v>
      </c>
    </row>
    <row r="101" spans="1:12" ht="15.75" hidden="1" customHeight="1" x14ac:dyDescent="0.35">
      <c r="A101" s="106" t="s">
        <v>126</v>
      </c>
      <c r="B101" s="107"/>
      <c r="C101" s="44">
        <f ca="1">D96+H96</f>
        <v>21</v>
      </c>
      <c r="D101" s="20">
        <f ca="1">((100/(D96+F96+H96))*C101)/100</f>
        <v>1</v>
      </c>
      <c r="E101" s="175"/>
      <c r="F101" s="176"/>
      <c r="G101" s="175"/>
      <c r="H101" s="181"/>
      <c r="I101" s="14" t="s">
        <v>98</v>
      </c>
      <c r="J101" s="31">
        <f ca="1">(IF(B96&gt;1,(H96/(B96+2)),H96/4))</f>
        <v>5</v>
      </c>
    </row>
    <row r="102" spans="1:12" ht="15.75" hidden="1" customHeight="1" x14ac:dyDescent="0.35">
      <c r="A102" s="106" t="s">
        <v>133</v>
      </c>
      <c r="B102" s="107" t="s">
        <v>127</v>
      </c>
      <c r="C102" s="44">
        <v>0</v>
      </c>
      <c r="D102" s="20">
        <f ca="1">((100/H96)*C102)/100</f>
        <v>0</v>
      </c>
      <c r="E102" s="175"/>
      <c r="F102" s="176"/>
      <c r="G102" s="175"/>
      <c r="H102" s="181"/>
      <c r="I102" s="14" t="s">
        <v>99</v>
      </c>
      <c r="J102" s="31">
        <f ca="1">(IF(B96&gt;1,(H96/(B96+2)+J101),H96/4+J101))</f>
        <v>10</v>
      </c>
    </row>
    <row r="103" spans="1:12" ht="15.75" hidden="1" customHeight="1" x14ac:dyDescent="0.35">
      <c r="A103" s="106" t="s">
        <v>134</v>
      </c>
      <c r="B103" s="107" t="s">
        <v>127</v>
      </c>
      <c r="C103" s="44">
        <v>0</v>
      </c>
      <c r="D103" s="20">
        <f ca="1">((100/H96)*C103)/100</f>
        <v>0</v>
      </c>
      <c r="E103" s="175"/>
      <c r="F103" s="176"/>
      <c r="G103" s="175"/>
      <c r="H103" s="181"/>
      <c r="I103" s="14" t="s">
        <v>143</v>
      </c>
      <c r="J103" s="31">
        <f>(IF(B96&gt;1,(H96/(B96+2)+J102),0))</f>
        <v>0</v>
      </c>
    </row>
    <row r="104" spans="1:12" ht="15" hidden="1" customHeight="1" x14ac:dyDescent="0.35">
      <c r="A104" s="106" t="s">
        <v>132</v>
      </c>
      <c r="B104" s="107" t="s">
        <v>129</v>
      </c>
      <c r="C104" s="44">
        <v>0</v>
      </c>
      <c r="D104" s="20">
        <f ca="1">((100/(H96))*C104)/100</f>
        <v>0</v>
      </c>
      <c r="E104" s="175"/>
      <c r="F104" s="176"/>
      <c r="G104" s="175"/>
      <c r="H104" s="181"/>
      <c r="I104" s="14" t="s">
        <v>140</v>
      </c>
      <c r="J104" s="31">
        <f>(IF(B96&gt;2,(H96/(B96+2)+J103),0))</f>
        <v>0</v>
      </c>
    </row>
    <row r="105" spans="1:12" ht="15.75" hidden="1" customHeight="1" x14ac:dyDescent="0.35">
      <c r="A105" s="106" t="s">
        <v>128</v>
      </c>
      <c r="B105" s="107" t="s">
        <v>128</v>
      </c>
      <c r="C105" s="44">
        <v>0</v>
      </c>
      <c r="D105" s="20">
        <f ca="1">((100/H96)*C105)/100</f>
        <v>0</v>
      </c>
      <c r="E105" s="175"/>
      <c r="F105" s="176"/>
      <c r="G105" s="175"/>
      <c r="H105" s="181"/>
      <c r="I105" s="14" t="s">
        <v>141</v>
      </c>
      <c r="J105" s="32">
        <f>(IF(B96&gt;3,(H96/(B96+2)+J104),0))</f>
        <v>0</v>
      </c>
    </row>
    <row r="106" spans="1:12" ht="15.75" hidden="1" customHeight="1" x14ac:dyDescent="0.35">
      <c r="A106" s="106" t="s">
        <v>135</v>
      </c>
      <c r="B106" s="107"/>
      <c r="C106" s="44">
        <v>0</v>
      </c>
      <c r="D106" s="20">
        <f ca="1">((100/H96)*C106)/100</f>
        <v>0</v>
      </c>
      <c r="E106" s="175"/>
      <c r="F106" s="176"/>
      <c r="G106" s="175"/>
      <c r="H106" s="181"/>
      <c r="I106" s="14" t="s">
        <v>142</v>
      </c>
      <c r="J106" s="31">
        <f>(IF(B96&gt;4,(H96/(B96+2)+J105),0))</f>
        <v>0</v>
      </c>
    </row>
    <row r="107" spans="1:12" ht="15.75" hidden="1" customHeight="1" x14ac:dyDescent="0.35">
      <c r="A107" s="106" t="s">
        <v>130</v>
      </c>
      <c r="B107" s="107" t="s">
        <v>130</v>
      </c>
      <c r="C107" s="44">
        <v>0</v>
      </c>
      <c r="D107" s="20">
        <f ca="1">((100/(H96))*C107)/100</f>
        <v>0</v>
      </c>
      <c r="E107" s="175"/>
      <c r="F107" s="176"/>
      <c r="G107" s="175"/>
      <c r="H107" s="181"/>
      <c r="I107" s="14" t="s">
        <v>144</v>
      </c>
      <c r="J107" s="31">
        <f ca="1">(IF(B96=1,(H96/(B96+3)+J102),IF(B96=0,(H96/4+J102),IF(B96&gt;1,0))))</f>
        <v>15</v>
      </c>
    </row>
    <row r="108" spans="1:12" ht="16" hidden="1" thickBot="1" x14ac:dyDescent="0.4">
      <c r="A108" s="192" t="s">
        <v>131</v>
      </c>
      <c r="B108" s="193"/>
      <c r="C108" s="45">
        <v>0</v>
      </c>
      <c r="D108" s="21">
        <f ca="1">((100/(H96))*C108)/100</f>
        <v>0</v>
      </c>
      <c r="E108" s="177"/>
      <c r="F108" s="178"/>
      <c r="G108" s="177"/>
      <c r="H108" s="182"/>
      <c r="I108" s="16" t="s">
        <v>100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2" x14ac:dyDescent="0.35">
      <c r="A109" s="111" t="s">
        <v>154</v>
      </c>
      <c r="B109" s="111"/>
      <c r="C109" s="111"/>
      <c r="D109" s="111"/>
      <c r="E109" s="111"/>
      <c r="F109" s="179" t="s">
        <v>157</v>
      </c>
      <c r="G109" s="179"/>
      <c r="H109" s="179"/>
    </row>
    <row r="110" spans="1:12" x14ac:dyDescent="0.35">
      <c r="A110" s="109" t="s">
        <v>156</v>
      </c>
      <c r="B110" s="109"/>
      <c r="C110" s="109"/>
      <c r="D110" s="109"/>
      <c r="E110" s="109"/>
      <c r="F110" s="191">
        <v>3800</v>
      </c>
      <c r="G110" s="191"/>
      <c r="H110" s="191"/>
    </row>
    <row r="111" spans="1:12" x14ac:dyDescent="0.35">
      <c r="A111" s="109" t="s">
        <v>155</v>
      </c>
      <c r="B111" s="109"/>
      <c r="C111" s="109"/>
      <c r="D111" s="109"/>
      <c r="E111" s="109"/>
      <c r="F111" s="108">
        <v>6000</v>
      </c>
      <c r="G111" s="108"/>
      <c r="H111" s="108"/>
    </row>
    <row r="112" spans="1:12" s="34" customFormat="1" x14ac:dyDescent="0.3">
      <c r="A112" s="109" t="s">
        <v>201</v>
      </c>
      <c r="B112" s="109"/>
      <c r="C112" s="109"/>
      <c r="D112" s="109"/>
      <c r="E112" s="109"/>
      <c r="F112" s="108">
        <v>250</v>
      </c>
      <c r="G112" s="108"/>
      <c r="H112" s="108"/>
      <c r="L112" s="34">
        <f>200000/F174</f>
        <v>243.7022074062686</v>
      </c>
    </row>
    <row r="113" spans="1:9" x14ac:dyDescent="0.35">
      <c r="A113" s="109" t="s">
        <v>51</v>
      </c>
      <c r="B113" s="109"/>
      <c r="C113" s="109"/>
      <c r="D113" s="109"/>
      <c r="E113" s="109"/>
      <c r="F113" s="108">
        <v>150000</v>
      </c>
      <c r="G113" s="108"/>
      <c r="H113" s="108"/>
    </row>
    <row r="114" spans="1:9" s="35" customFormat="1" x14ac:dyDescent="0.35">
      <c r="A114" s="151" t="s">
        <v>52</v>
      </c>
      <c r="B114" s="151"/>
      <c r="C114" s="151"/>
      <c r="D114" s="151"/>
      <c r="E114" s="151"/>
      <c r="F114" s="108">
        <f>F110*0.8</f>
        <v>3040</v>
      </c>
      <c r="G114" s="108"/>
      <c r="H114" s="108"/>
    </row>
    <row r="115" spans="1:9" s="36" customFormat="1" ht="15.75" customHeight="1" x14ac:dyDescent="0.35">
      <c r="A115" s="125" t="s">
        <v>76</v>
      </c>
      <c r="B115" s="125"/>
      <c r="C115" s="125"/>
      <c r="D115" s="125"/>
      <c r="E115" s="125"/>
      <c r="F115" s="125"/>
      <c r="G115" s="125"/>
      <c r="H115" s="125"/>
    </row>
    <row r="116" spans="1:9" s="36" customFormat="1" ht="15.75" customHeight="1" x14ac:dyDescent="0.35">
      <c r="A116" s="112" t="s">
        <v>53</v>
      </c>
      <c r="B116" s="112"/>
      <c r="C116" s="114" t="s">
        <v>79</v>
      </c>
      <c r="D116" s="114"/>
      <c r="E116" s="116" t="s">
        <v>54</v>
      </c>
      <c r="F116" s="116"/>
      <c r="G116" s="112" t="s">
        <v>55</v>
      </c>
      <c r="H116" s="112"/>
    </row>
    <row r="117" spans="1:9" s="36" customFormat="1" x14ac:dyDescent="0.35">
      <c r="A117" s="117" t="s">
        <v>181</v>
      </c>
      <c r="B117" s="117"/>
      <c r="C117" s="118">
        <f>COUNT(D131:D142)</f>
        <v>12</v>
      </c>
      <c r="D117" s="126"/>
      <c r="E117" s="119">
        <f>SUM(D131:D142)</f>
        <v>1783.5840360000002</v>
      </c>
      <c r="F117" s="127"/>
      <c r="G117" s="119">
        <f>SUM(F131:F142)</f>
        <v>2853.7344575999996</v>
      </c>
      <c r="H117" s="127"/>
    </row>
    <row r="118" spans="1:9" s="36" customFormat="1" x14ac:dyDescent="0.35">
      <c r="A118" s="117" t="s">
        <v>184</v>
      </c>
      <c r="B118" s="117"/>
      <c r="C118" s="118">
        <f>COUNT(D145:D155)</f>
        <v>11</v>
      </c>
      <c r="D118" s="126"/>
      <c r="E118" s="119">
        <f>SUM(D145:D155)</f>
        <v>1228.247748</v>
      </c>
      <c r="F118" s="127"/>
      <c r="G118" s="119">
        <f>SUM(F145:F155)</f>
        <v>1965.1963968000002</v>
      </c>
      <c r="H118" s="127"/>
    </row>
    <row r="119" spans="1:9" s="36" customFormat="1" x14ac:dyDescent="0.35">
      <c r="A119" s="125" t="s">
        <v>148</v>
      </c>
      <c r="B119" s="125"/>
      <c r="C119" s="113">
        <f>SUM(C117:C118)</f>
        <v>23</v>
      </c>
      <c r="D119" s="114"/>
      <c r="E119" s="115">
        <f>SUM(E117:E118)</f>
        <v>3011.831784</v>
      </c>
      <c r="F119" s="116"/>
      <c r="G119" s="112">
        <f>SUM(G117:G118)</f>
        <v>4818.9308543999996</v>
      </c>
      <c r="H119" s="112"/>
    </row>
    <row r="120" spans="1:9" s="36" customFormat="1" x14ac:dyDescent="0.35">
      <c r="A120" s="125" t="s">
        <v>71</v>
      </c>
      <c r="B120" s="125"/>
      <c r="C120" s="125"/>
      <c r="D120" s="125"/>
      <c r="E120" s="125"/>
      <c r="F120" s="125"/>
      <c r="G120" s="125"/>
      <c r="H120" s="125"/>
    </row>
    <row r="121" spans="1:9" s="36" customFormat="1" ht="15.75" customHeight="1" x14ac:dyDescent="0.35">
      <c r="A121" s="112" t="s">
        <v>53</v>
      </c>
      <c r="B121" s="112"/>
      <c r="C121" s="114" t="s">
        <v>79</v>
      </c>
      <c r="D121" s="114"/>
      <c r="E121" s="116" t="s">
        <v>54</v>
      </c>
      <c r="F121" s="116"/>
      <c r="G121" s="112" t="s">
        <v>55</v>
      </c>
      <c r="H121" s="112"/>
    </row>
    <row r="122" spans="1:9" s="36" customFormat="1" x14ac:dyDescent="0.35">
      <c r="A122" s="117" t="s">
        <v>181</v>
      </c>
      <c r="B122" s="117"/>
      <c r="C122" s="118">
        <f>COUNT(D161:D169)+COUNT(D171:D179)*6+COUNT(D181:D184,D186:D189)</f>
        <v>71</v>
      </c>
      <c r="D122" s="118"/>
      <c r="E122" s="119">
        <f>SUM(D161:D169)+SUM(D171:D179)*6+SUM(D181:D184,D186:D189)</f>
        <v>34605.075959999995</v>
      </c>
      <c r="F122" s="119"/>
      <c r="G122" s="119">
        <f>SUM(F161:F169)+SUM(F171:F179)*6+SUM(F181:F184,F186:F189)</f>
        <v>50363.846441999995</v>
      </c>
      <c r="H122" s="119"/>
    </row>
    <row r="123" spans="1:9" s="36" customFormat="1" x14ac:dyDescent="0.35">
      <c r="A123" s="117" t="s">
        <v>184</v>
      </c>
      <c r="B123" s="117"/>
      <c r="C123" s="118">
        <f>COUNT(D192:D199)+COUNT(D201:D208)*6+COUNT(D211:D217)</f>
        <v>63</v>
      </c>
      <c r="D123" s="118"/>
      <c r="E123" s="119">
        <f>SUM(D192:D199)+SUM(D201:D208)*6+SUM(D211:D217)</f>
        <v>35343.158058000008</v>
      </c>
      <c r="F123" s="119"/>
      <c r="G123" s="119">
        <f>SUM(F192:F199)+SUM(F201:F208)*6+SUM(F211:F217)</f>
        <v>51320.9358441</v>
      </c>
      <c r="H123" s="119"/>
    </row>
    <row r="124" spans="1:9" s="36" customFormat="1" x14ac:dyDescent="0.35">
      <c r="A124" s="125" t="s">
        <v>148</v>
      </c>
      <c r="B124" s="125"/>
      <c r="C124" s="113">
        <f>SUM(C122:C123)</f>
        <v>134</v>
      </c>
      <c r="D124" s="114"/>
      <c r="E124" s="115">
        <f>SUM(E122:E123)</f>
        <v>69948.234018000003</v>
      </c>
      <c r="F124" s="116"/>
      <c r="G124" s="112">
        <f>SUM(G122:G123)</f>
        <v>101684.7822861</v>
      </c>
      <c r="H124" s="112"/>
    </row>
    <row r="125" spans="1:9" s="35" customFormat="1" x14ac:dyDescent="0.35">
      <c r="A125" s="103" t="s">
        <v>56</v>
      </c>
      <c r="B125" s="103"/>
      <c r="C125" s="103"/>
      <c r="D125" s="103"/>
      <c r="E125" s="103"/>
      <c r="F125" s="103"/>
      <c r="G125" s="103"/>
      <c r="H125" s="103"/>
    </row>
    <row r="126" spans="1:9" x14ac:dyDescent="0.35">
      <c r="A126" s="103" t="s">
        <v>57</v>
      </c>
      <c r="B126" s="103"/>
      <c r="C126" s="103"/>
      <c r="D126" s="103"/>
      <c r="E126" s="103"/>
      <c r="F126" s="103"/>
      <c r="G126" s="103"/>
      <c r="H126" s="103"/>
    </row>
    <row r="127" spans="1:9" ht="47.25" customHeight="1" x14ac:dyDescent="0.35">
      <c r="A127" s="120" t="s">
        <v>115</v>
      </c>
      <c r="B127" s="120" t="s">
        <v>114</v>
      </c>
      <c r="C127" s="120" t="s">
        <v>58</v>
      </c>
      <c r="D127" s="120" t="s">
        <v>59</v>
      </c>
      <c r="E127" s="120" t="s">
        <v>153</v>
      </c>
      <c r="F127" s="43" t="s">
        <v>147</v>
      </c>
      <c r="G127" s="121" t="s">
        <v>61</v>
      </c>
      <c r="H127" s="122"/>
    </row>
    <row r="128" spans="1:9" s="59" customFormat="1" x14ac:dyDescent="0.35">
      <c r="A128" s="120"/>
      <c r="B128" s="120"/>
      <c r="C128" s="120"/>
      <c r="D128" s="120"/>
      <c r="E128" s="120"/>
      <c r="F128" s="13">
        <v>0.6</v>
      </c>
      <c r="G128" s="123"/>
      <c r="H128" s="124"/>
      <c r="I128" s="37"/>
    </row>
    <row r="129" spans="1:14" s="59" customFormat="1" x14ac:dyDescent="0.35">
      <c r="A129" s="88" t="s">
        <v>181</v>
      </c>
      <c r="B129" s="88"/>
      <c r="C129" s="88"/>
      <c r="D129" s="88"/>
      <c r="E129" s="88"/>
      <c r="F129" s="88"/>
      <c r="G129" s="88"/>
      <c r="H129" s="88"/>
      <c r="J129" s="37"/>
    </row>
    <row r="130" spans="1:14" s="49" customFormat="1" x14ac:dyDescent="0.35">
      <c r="A130" s="88" t="s">
        <v>182</v>
      </c>
      <c r="B130" s="88"/>
      <c r="C130" s="88"/>
      <c r="D130" s="88"/>
      <c r="E130" s="88"/>
      <c r="F130" s="88"/>
      <c r="G130" s="88"/>
      <c r="H130" s="88"/>
      <c r="J130" s="37"/>
    </row>
    <row r="131" spans="1:14" s="49" customFormat="1" ht="15.75" customHeight="1" x14ac:dyDescent="0.35">
      <c r="A131" s="83">
        <v>1</v>
      </c>
      <c r="B131" s="83"/>
      <c r="C131" s="67" t="s">
        <v>183</v>
      </c>
      <c r="D131" s="56">
        <f>(15.676)*10.764</f>
        <v>168.73646399999998</v>
      </c>
      <c r="E131" s="67">
        <v>0</v>
      </c>
      <c r="F131" s="67">
        <f>D131*(($F$128)+1)+(IF(E131&lt;101,E131,IF(E131&lt;201,E131/2,IF(E131&lt;=301,E131/3,E131/4))))</f>
        <v>269.97834239999997</v>
      </c>
      <c r="G131" s="83" t="str">
        <f>A130</f>
        <v>Ground Floor For Commercial &amp; Parking</v>
      </c>
      <c r="H131" s="83"/>
      <c r="I131" s="42">
        <f>(5.85*2.75)</f>
        <v>16.087499999999999</v>
      </c>
      <c r="L131" s="82"/>
      <c r="M131" s="82"/>
      <c r="N131" s="37"/>
    </row>
    <row r="132" spans="1:14" s="49" customFormat="1" ht="15.75" customHeight="1" x14ac:dyDescent="0.35">
      <c r="A132" s="83">
        <f t="shared" ref="A132:A142" si="0">A131+1</f>
        <v>2</v>
      </c>
      <c r="B132" s="83"/>
      <c r="C132" s="67" t="s">
        <v>183</v>
      </c>
      <c r="D132" s="56">
        <f>(12.27)*10.764</f>
        <v>132.07427999999999</v>
      </c>
      <c r="E132" s="67">
        <v>0</v>
      </c>
      <c r="F132" s="67">
        <f>D132*(($F$128)+1)+(IF(E132&lt;101,E132,IF(E132&lt;201,E132/2,IF(E132&lt;=301,E132/3,E132/4))))</f>
        <v>211.318848</v>
      </c>
      <c r="G132" s="83"/>
      <c r="H132" s="83"/>
      <c r="I132" s="37"/>
      <c r="K132" s="49">
        <f>D132*1.5</f>
        <v>198.11141999999998</v>
      </c>
      <c r="L132" s="82"/>
      <c r="M132" s="82"/>
      <c r="N132" s="37"/>
    </row>
    <row r="133" spans="1:14" s="49" customFormat="1" ht="15.75" customHeight="1" x14ac:dyDescent="0.35">
      <c r="A133" s="83">
        <f t="shared" si="0"/>
        <v>3</v>
      </c>
      <c r="B133" s="83"/>
      <c r="C133" s="67" t="s">
        <v>183</v>
      </c>
      <c r="D133" s="56">
        <f>(15.24)*10.764</f>
        <v>164.04335999999998</v>
      </c>
      <c r="E133" s="67">
        <v>0</v>
      </c>
      <c r="F133" s="67">
        <f t="shared" ref="F133:F142" si="1">D133*(($F$128)+1)+(IF(E133&lt;101,E133,IF(E133&lt;201,E133/2,IF(E133&lt;=301,E133/3,E133/4))))</f>
        <v>262.46937599999995</v>
      </c>
      <c r="G133" s="83"/>
      <c r="H133" s="83"/>
      <c r="I133" s="37"/>
      <c r="L133" s="82"/>
      <c r="M133" s="82"/>
      <c r="N133" s="37"/>
    </row>
    <row r="134" spans="1:14" s="49" customFormat="1" ht="15.75" customHeight="1" x14ac:dyDescent="0.35">
      <c r="A134" s="83">
        <f t="shared" si="0"/>
        <v>4</v>
      </c>
      <c r="B134" s="83"/>
      <c r="C134" s="67" t="s">
        <v>183</v>
      </c>
      <c r="D134" s="56">
        <f>(14.895)*10.764</f>
        <v>160.32978</v>
      </c>
      <c r="E134" s="67">
        <v>0</v>
      </c>
      <c r="F134" s="67">
        <f t="shared" si="1"/>
        <v>256.527648</v>
      </c>
      <c r="G134" s="83"/>
      <c r="H134" s="83"/>
      <c r="I134" s="37"/>
      <c r="L134" s="82"/>
      <c r="M134" s="82"/>
      <c r="N134" s="37"/>
    </row>
    <row r="135" spans="1:14" s="49" customFormat="1" ht="15.75" customHeight="1" x14ac:dyDescent="0.35">
      <c r="A135" s="83">
        <f t="shared" si="0"/>
        <v>5</v>
      </c>
      <c r="B135" s="83"/>
      <c r="C135" s="67" t="s">
        <v>183</v>
      </c>
      <c r="D135" s="56">
        <f>(13.153)*10.764</f>
        <v>141.578892</v>
      </c>
      <c r="E135" s="67">
        <v>0</v>
      </c>
      <c r="F135" s="67">
        <f t="shared" si="1"/>
        <v>226.52622719999999</v>
      </c>
      <c r="G135" s="83"/>
      <c r="H135" s="83"/>
      <c r="I135" s="37"/>
      <c r="J135" s="37"/>
      <c r="L135" s="82"/>
      <c r="M135" s="82"/>
      <c r="N135" s="37"/>
    </row>
    <row r="136" spans="1:14" s="49" customFormat="1" ht="15.75" customHeight="1" x14ac:dyDescent="0.35">
      <c r="A136" s="83">
        <f t="shared" si="0"/>
        <v>6</v>
      </c>
      <c r="B136" s="83"/>
      <c r="C136" s="67" t="s">
        <v>183</v>
      </c>
      <c r="D136" s="56">
        <f>(14.784)*10.764</f>
        <v>159.13497599999999</v>
      </c>
      <c r="E136" s="67">
        <v>0</v>
      </c>
      <c r="F136" s="67">
        <f t="shared" si="1"/>
        <v>254.61596159999999</v>
      </c>
      <c r="G136" s="83"/>
      <c r="H136" s="83"/>
      <c r="I136" s="37"/>
      <c r="L136" s="82"/>
      <c r="M136" s="82"/>
      <c r="N136" s="37"/>
    </row>
    <row r="137" spans="1:14" s="49" customFormat="1" ht="15.75" customHeight="1" x14ac:dyDescent="0.35">
      <c r="A137" s="83">
        <f t="shared" si="0"/>
        <v>7</v>
      </c>
      <c r="B137" s="83"/>
      <c r="C137" s="67" t="s">
        <v>183</v>
      </c>
      <c r="D137" s="56">
        <f>(14.784)*10.764</f>
        <v>159.13497599999999</v>
      </c>
      <c r="E137" s="67">
        <v>0</v>
      </c>
      <c r="F137" s="67">
        <f t="shared" si="1"/>
        <v>254.61596159999999</v>
      </c>
      <c r="G137" s="83"/>
      <c r="H137" s="83"/>
      <c r="I137" s="37"/>
      <c r="L137" s="82"/>
      <c r="M137" s="82"/>
      <c r="N137" s="37"/>
    </row>
    <row r="138" spans="1:14" s="49" customFormat="1" ht="15.75" customHeight="1" x14ac:dyDescent="0.35">
      <c r="A138" s="83">
        <f t="shared" si="0"/>
        <v>8</v>
      </c>
      <c r="B138" s="83"/>
      <c r="C138" s="67" t="s">
        <v>183</v>
      </c>
      <c r="D138" s="56">
        <f>(13.153)*10.764</f>
        <v>141.578892</v>
      </c>
      <c r="E138" s="67">
        <v>0</v>
      </c>
      <c r="F138" s="67">
        <f t="shared" si="1"/>
        <v>226.52622719999999</v>
      </c>
      <c r="G138" s="83"/>
      <c r="H138" s="83"/>
      <c r="I138" s="37"/>
      <c r="L138" s="82"/>
      <c r="M138" s="82"/>
      <c r="N138" s="37"/>
    </row>
    <row r="139" spans="1:14" s="49" customFormat="1" ht="15.75" customHeight="1" x14ac:dyDescent="0.35">
      <c r="A139" s="83">
        <f t="shared" si="0"/>
        <v>9</v>
      </c>
      <c r="B139" s="83"/>
      <c r="C139" s="67" t="s">
        <v>183</v>
      </c>
      <c r="D139" s="56">
        <f>(11.76)*10.764</f>
        <v>126.58463999999999</v>
      </c>
      <c r="E139" s="67">
        <v>0</v>
      </c>
      <c r="F139" s="67">
        <f t="shared" si="1"/>
        <v>202.53542400000001</v>
      </c>
      <c r="G139" s="83"/>
      <c r="H139" s="83"/>
      <c r="I139" s="37"/>
      <c r="L139" s="82"/>
      <c r="M139" s="82"/>
      <c r="N139" s="37"/>
    </row>
    <row r="140" spans="1:14" s="49" customFormat="1" ht="15.75" customHeight="1" x14ac:dyDescent="0.35">
      <c r="A140" s="83">
        <f t="shared" si="0"/>
        <v>10</v>
      </c>
      <c r="B140" s="83"/>
      <c r="C140" s="67" t="s">
        <v>183</v>
      </c>
      <c r="D140" s="56">
        <f>(11.8)*10.764</f>
        <v>127.01519999999999</v>
      </c>
      <c r="E140" s="67">
        <v>0</v>
      </c>
      <c r="F140" s="67">
        <f t="shared" si="1"/>
        <v>203.22432000000001</v>
      </c>
      <c r="G140" s="83"/>
      <c r="H140" s="83"/>
      <c r="I140" s="37"/>
      <c r="L140" s="82"/>
      <c r="M140" s="82"/>
      <c r="N140" s="37"/>
    </row>
    <row r="141" spans="1:14" s="49" customFormat="1" ht="15.75" customHeight="1" x14ac:dyDescent="0.35">
      <c r="A141" s="83">
        <f t="shared" si="0"/>
        <v>11</v>
      </c>
      <c r="B141" s="83"/>
      <c r="C141" s="67" t="s">
        <v>183</v>
      </c>
      <c r="D141" s="56">
        <f>(12.508)*10.764</f>
        <v>134.63611199999997</v>
      </c>
      <c r="E141" s="67">
        <v>0</v>
      </c>
      <c r="F141" s="67">
        <f t="shared" si="1"/>
        <v>215.41777919999996</v>
      </c>
      <c r="G141" s="83"/>
      <c r="H141" s="83"/>
      <c r="I141" s="37"/>
      <c r="L141" s="82"/>
      <c r="M141" s="82"/>
      <c r="N141" s="37"/>
    </row>
    <row r="142" spans="1:14" s="49" customFormat="1" ht="15.75" customHeight="1" x14ac:dyDescent="0.35">
      <c r="A142" s="83">
        <f t="shared" si="0"/>
        <v>12</v>
      </c>
      <c r="B142" s="83"/>
      <c r="C142" s="67" t="s">
        <v>183</v>
      </c>
      <c r="D142" s="56">
        <f>(15.676)*10.764</f>
        <v>168.73646399999998</v>
      </c>
      <c r="E142" s="67">
        <v>0</v>
      </c>
      <c r="F142" s="67">
        <f t="shared" si="1"/>
        <v>269.97834239999997</v>
      </c>
      <c r="G142" s="83"/>
      <c r="H142" s="83"/>
      <c r="I142" s="37"/>
      <c r="L142" s="82"/>
      <c r="M142" s="82"/>
      <c r="N142" s="37"/>
    </row>
    <row r="143" spans="1:14" s="49" customFormat="1" x14ac:dyDescent="0.35">
      <c r="A143" s="91" t="s">
        <v>184</v>
      </c>
      <c r="B143" s="92"/>
      <c r="C143" s="92"/>
      <c r="D143" s="92"/>
      <c r="E143" s="92"/>
      <c r="F143" s="92"/>
      <c r="G143" s="92"/>
      <c r="H143" s="93"/>
      <c r="J143" s="37"/>
    </row>
    <row r="144" spans="1:14" s="49" customFormat="1" x14ac:dyDescent="0.35">
      <c r="A144" s="91" t="s">
        <v>182</v>
      </c>
      <c r="B144" s="92"/>
      <c r="C144" s="92"/>
      <c r="D144" s="92"/>
      <c r="E144" s="92"/>
      <c r="F144" s="92"/>
      <c r="G144" s="92"/>
      <c r="H144" s="93"/>
      <c r="J144" s="37"/>
    </row>
    <row r="145" spans="1:14" s="49" customFormat="1" ht="15.75" customHeight="1" x14ac:dyDescent="0.35">
      <c r="A145" s="89">
        <v>13</v>
      </c>
      <c r="B145" s="90"/>
      <c r="C145" s="42" t="s">
        <v>183</v>
      </c>
      <c r="D145" s="56">
        <f>(8.431)*10.764</f>
        <v>90.751283999999984</v>
      </c>
      <c r="E145" s="42">
        <v>0</v>
      </c>
      <c r="F145" s="42">
        <f>D145*(($F$128)+1)+(IF(E145&lt;101,E145,IF(E145&lt;201,E145/2,IF(E145&lt;=301,E145/3,E145/4))))</f>
        <v>145.20205439999998</v>
      </c>
      <c r="G145" s="94" t="str">
        <f>A144</f>
        <v>Ground Floor For Commercial &amp; Parking</v>
      </c>
      <c r="H145" s="95"/>
      <c r="I145" s="42">
        <f>(5.85*2.75)</f>
        <v>16.087499999999999</v>
      </c>
      <c r="L145" s="82"/>
      <c r="M145" s="82"/>
      <c r="N145" s="37"/>
    </row>
    <row r="146" spans="1:14" s="49" customFormat="1" ht="15.75" customHeight="1" x14ac:dyDescent="0.35">
      <c r="A146" s="89">
        <f t="shared" ref="A146:A155" si="2">A145+1</f>
        <v>14</v>
      </c>
      <c r="B146" s="90"/>
      <c r="C146" s="42" t="s">
        <v>183</v>
      </c>
      <c r="D146" s="56">
        <f>(8.476)*10.764</f>
        <v>91.235664</v>
      </c>
      <c r="E146" s="42">
        <v>0</v>
      </c>
      <c r="F146" s="42">
        <f t="shared" ref="F146:F155" si="3">D146*(($F$128)+1)+(IF(E146&lt;101,E146,IF(E146&lt;201,E146/2,IF(E146&lt;=301,E146/3,E146/4))))</f>
        <v>145.97706239999999</v>
      </c>
      <c r="G146" s="96"/>
      <c r="H146" s="97"/>
      <c r="I146" s="37"/>
      <c r="L146" s="82"/>
      <c r="M146" s="82"/>
      <c r="N146" s="37"/>
    </row>
    <row r="147" spans="1:14" s="49" customFormat="1" ht="15.75" customHeight="1" x14ac:dyDescent="0.35">
      <c r="A147" s="89">
        <f t="shared" si="2"/>
        <v>15</v>
      </c>
      <c r="B147" s="90"/>
      <c r="C147" s="42" t="s">
        <v>183</v>
      </c>
      <c r="D147" s="56">
        <f>(8.476)*10.764</f>
        <v>91.235664</v>
      </c>
      <c r="E147" s="42">
        <v>0</v>
      </c>
      <c r="F147" s="42">
        <f t="shared" si="3"/>
        <v>145.97706239999999</v>
      </c>
      <c r="G147" s="96"/>
      <c r="H147" s="97"/>
      <c r="I147" s="37"/>
      <c r="L147" s="82"/>
      <c r="M147" s="82"/>
      <c r="N147" s="37"/>
    </row>
    <row r="148" spans="1:14" s="49" customFormat="1" ht="15.75" customHeight="1" x14ac:dyDescent="0.35">
      <c r="A148" s="89">
        <f t="shared" si="2"/>
        <v>16</v>
      </c>
      <c r="B148" s="90"/>
      <c r="C148" s="42" t="s">
        <v>183</v>
      </c>
      <c r="D148" s="56">
        <f>(8.476)*10.764</f>
        <v>91.235664</v>
      </c>
      <c r="E148" s="42">
        <v>0</v>
      </c>
      <c r="F148" s="42">
        <f t="shared" si="3"/>
        <v>145.97706239999999</v>
      </c>
      <c r="G148" s="96"/>
      <c r="H148" s="97"/>
      <c r="I148" s="37"/>
      <c r="L148" s="82"/>
      <c r="M148" s="82"/>
      <c r="N148" s="37"/>
    </row>
    <row r="149" spans="1:14" s="49" customFormat="1" ht="15.75" customHeight="1" x14ac:dyDescent="0.35">
      <c r="A149" s="89">
        <f t="shared" si="2"/>
        <v>17</v>
      </c>
      <c r="B149" s="90"/>
      <c r="C149" s="42" t="s">
        <v>183</v>
      </c>
      <c r="D149" s="56">
        <f>(8.51)*10.764</f>
        <v>91.601639999999989</v>
      </c>
      <c r="E149" s="42">
        <v>0</v>
      </c>
      <c r="F149" s="42">
        <f t="shared" si="3"/>
        <v>146.562624</v>
      </c>
      <c r="G149" s="96"/>
      <c r="H149" s="97"/>
      <c r="I149" s="37"/>
      <c r="J149" s="37"/>
      <c r="L149" s="82"/>
      <c r="M149" s="82"/>
      <c r="N149" s="37"/>
    </row>
    <row r="150" spans="1:14" s="49" customFormat="1" ht="15.75" customHeight="1" x14ac:dyDescent="0.35">
      <c r="A150" s="89">
        <f t="shared" si="2"/>
        <v>18</v>
      </c>
      <c r="B150" s="90"/>
      <c r="C150" s="42" t="s">
        <v>183</v>
      </c>
      <c r="D150" s="56">
        <f>(11.201)*10.764</f>
        <v>120.567564</v>
      </c>
      <c r="E150" s="42">
        <v>0</v>
      </c>
      <c r="F150" s="42">
        <f t="shared" si="3"/>
        <v>192.90810240000002</v>
      </c>
      <c r="G150" s="96"/>
      <c r="H150" s="97"/>
      <c r="I150" s="37"/>
      <c r="J150" s="37"/>
      <c r="L150" s="82"/>
      <c r="M150" s="82"/>
      <c r="N150" s="37"/>
    </row>
    <row r="151" spans="1:14" s="49" customFormat="1" ht="15.75" customHeight="1" x14ac:dyDescent="0.35">
      <c r="A151" s="89">
        <f t="shared" si="2"/>
        <v>19</v>
      </c>
      <c r="B151" s="90"/>
      <c r="C151" s="42" t="s">
        <v>183</v>
      </c>
      <c r="D151" s="56">
        <f>(11.291)*10.764</f>
        <v>121.53632399999999</v>
      </c>
      <c r="E151" s="42">
        <v>0</v>
      </c>
      <c r="F151" s="42">
        <f t="shared" si="3"/>
        <v>194.45811839999999</v>
      </c>
      <c r="G151" s="96"/>
      <c r="H151" s="97"/>
      <c r="I151" s="37"/>
      <c r="L151" s="82"/>
      <c r="M151" s="82"/>
      <c r="N151" s="37"/>
    </row>
    <row r="152" spans="1:14" s="49" customFormat="1" ht="15.75" customHeight="1" x14ac:dyDescent="0.35">
      <c r="A152" s="89">
        <f t="shared" si="2"/>
        <v>20</v>
      </c>
      <c r="B152" s="90"/>
      <c r="C152" s="42" t="s">
        <v>183</v>
      </c>
      <c r="D152" s="56">
        <f>(13.383)*10.764</f>
        <v>144.05461199999999</v>
      </c>
      <c r="E152" s="42">
        <v>0</v>
      </c>
      <c r="F152" s="42">
        <f t="shared" si="3"/>
        <v>230.48737919999999</v>
      </c>
      <c r="G152" s="96"/>
      <c r="H152" s="97"/>
      <c r="I152" s="37"/>
      <c r="L152" s="82"/>
      <c r="M152" s="82"/>
      <c r="N152" s="37"/>
    </row>
    <row r="153" spans="1:14" s="49" customFormat="1" ht="15.75" customHeight="1" x14ac:dyDescent="0.35">
      <c r="A153" s="89">
        <f t="shared" si="2"/>
        <v>21</v>
      </c>
      <c r="B153" s="90"/>
      <c r="C153" s="42" t="s">
        <v>183</v>
      </c>
      <c r="D153" s="56">
        <f>(13.383)*10.764</f>
        <v>144.05461199999999</v>
      </c>
      <c r="E153" s="42">
        <v>0</v>
      </c>
      <c r="F153" s="42">
        <f t="shared" si="3"/>
        <v>230.48737919999999</v>
      </c>
      <c r="G153" s="96"/>
      <c r="H153" s="97"/>
      <c r="I153" s="37"/>
      <c r="L153" s="82"/>
      <c r="M153" s="82"/>
      <c r="N153" s="37"/>
    </row>
    <row r="154" spans="1:14" s="49" customFormat="1" ht="15.75" customHeight="1" x14ac:dyDescent="0.35">
      <c r="A154" s="89">
        <f t="shared" si="2"/>
        <v>22</v>
      </c>
      <c r="B154" s="90"/>
      <c r="C154" s="42" t="s">
        <v>183</v>
      </c>
      <c r="D154" s="56">
        <f>(11.291)*10.764</f>
        <v>121.53632399999999</v>
      </c>
      <c r="E154" s="42">
        <v>0</v>
      </c>
      <c r="F154" s="42">
        <f t="shared" si="3"/>
        <v>194.45811839999999</v>
      </c>
      <c r="G154" s="96"/>
      <c r="H154" s="97"/>
      <c r="I154" s="37"/>
      <c r="L154" s="82"/>
      <c r="M154" s="82"/>
      <c r="N154" s="37"/>
    </row>
    <row r="155" spans="1:14" s="49" customFormat="1" ht="15.75" customHeight="1" x14ac:dyDescent="0.35">
      <c r="A155" s="89">
        <f t="shared" si="2"/>
        <v>23</v>
      </c>
      <c r="B155" s="90"/>
      <c r="C155" s="42" t="s">
        <v>183</v>
      </c>
      <c r="D155" s="56">
        <f>(11.189)*10.764</f>
        <v>120.438396</v>
      </c>
      <c r="E155" s="42">
        <v>0</v>
      </c>
      <c r="F155" s="42">
        <f t="shared" si="3"/>
        <v>192.7014336</v>
      </c>
      <c r="G155" s="98"/>
      <c r="H155" s="99"/>
      <c r="I155" s="37"/>
      <c r="L155" s="82"/>
      <c r="M155" s="82"/>
      <c r="N155" s="37"/>
    </row>
    <row r="156" spans="1:14" s="49" customFormat="1" x14ac:dyDescent="0.35">
      <c r="A156" s="89"/>
      <c r="B156" s="187"/>
      <c r="C156" s="187"/>
      <c r="D156" s="187"/>
      <c r="E156" s="187"/>
      <c r="F156" s="187"/>
      <c r="G156" s="187"/>
      <c r="H156" s="90"/>
      <c r="I156" s="37"/>
      <c r="N156" s="37"/>
    </row>
    <row r="157" spans="1:14" ht="47.25" customHeight="1" x14ac:dyDescent="0.35">
      <c r="A157" s="121" t="s">
        <v>116</v>
      </c>
      <c r="B157" s="121" t="s">
        <v>117</v>
      </c>
      <c r="C157" s="185" t="s">
        <v>58</v>
      </c>
      <c r="D157" s="185" t="s">
        <v>59</v>
      </c>
      <c r="E157" s="189" t="s">
        <v>60</v>
      </c>
      <c r="F157" s="43" t="s">
        <v>147</v>
      </c>
      <c r="G157" s="121" t="s">
        <v>61</v>
      </c>
      <c r="H157" s="122"/>
      <c r="I157" s="37"/>
    </row>
    <row r="158" spans="1:14" s="49" customFormat="1" x14ac:dyDescent="0.35">
      <c r="A158" s="123"/>
      <c r="B158" s="123"/>
      <c r="C158" s="186"/>
      <c r="D158" s="186"/>
      <c r="E158" s="190"/>
      <c r="F158" s="13">
        <v>0.45</v>
      </c>
      <c r="G158" s="123"/>
      <c r="H158" s="124"/>
      <c r="I158" s="37"/>
    </row>
    <row r="159" spans="1:14" s="49" customFormat="1" ht="15.75" customHeight="1" x14ac:dyDescent="0.35">
      <c r="A159" s="91" t="s">
        <v>181</v>
      </c>
      <c r="B159" s="92"/>
      <c r="C159" s="92"/>
      <c r="D159" s="92"/>
      <c r="E159" s="92"/>
      <c r="F159" s="92"/>
      <c r="G159" s="92"/>
      <c r="H159" s="93"/>
      <c r="J159" s="37"/>
    </row>
    <row r="160" spans="1:14" s="49" customFormat="1" ht="15.75" customHeight="1" x14ac:dyDescent="0.35">
      <c r="A160" s="91" t="s">
        <v>185</v>
      </c>
      <c r="B160" s="92"/>
      <c r="C160" s="92"/>
      <c r="D160" s="92"/>
      <c r="E160" s="92"/>
      <c r="F160" s="92"/>
      <c r="G160" s="92"/>
      <c r="H160" s="93"/>
      <c r="J160" s="37"/>
    </row>
    <row r="161" spans="1:14" s="49" customFormat="1" ht="15.75" customHeight="1" x14ac:dyDescent="0.35">
      <c r="A161" s="89">
        <v>1</v>
      </c>
      <c r="B161" s="90"/>
      <c r="C161" s="55" t="s">
        <v>186</v>
      </c>
      <c r="D161" s="56">
        <f>(37.234+8.353+0.75*2.75)*10.764</f>
        <v>512.89921800000002</v>
      </c>
      <c r="E161" s="42">
        <f>(2.75*2.25)*10.764</f>
        <v>66.602249999999998</v>
      </c>
      <c r="F161" s="42">
        <f>D161*(($F$158)+1)+(IF(E161&lt;101,E161,IF(E161&lt;201,E161/2,IF(E161&lt;=301,E161/3,E161/4))))</f>
        <v>810.30611610000005</v>
      </c>
      <c r="G161" s="94" t="str">
        <f>A160</f>
        <v>1st Floor For Residential</v>
      </c>
      <c r="H161" s="95"/>
      <c r="I161" s="37"/>
      <c r="L161" s="82"/>
      <c r="M161" s="82"/>
      <c r="N161" s="37"/>
    </row>
    <row r="162" spans="1:14" s="49" customFormat="1" ht="15.75" customHeight="1" x14ac:dyDescent="0.35">
      <c r="A162" s="89">
        <f t="shared" ref="A162:A169" si="4">A161+1</f>
        <v>2</v>
      </c>
      <c r="B162" s="90"/>
      <c r="C162" s="55" t="s">
        <v>187</v>
      </c>
      <c r="D162" s="56">
        <f>(32.379+8.72+0.75*2.825)*10.764</f>
        <v>465.19586099999992</v>
      </c>
      <c r="E162" s="42">
        <f>(2.75*2.25)*10.764</f>
        <v>66.602249999999998</v>
      </c>
      <c r="F162" s="42">
        <f t="shared" ref="F162:F169" si="5">D162*(($F$158)+1)+(IF(E162&lt;101,E162,IF(E162&lt;201,E162/2,IF(E162&lt;=301,E162/3,E162/4))))</f>
        <v>741.13624844999993</v>
      </c>
      <c r="G162" s="96"/>
      <c r="H162" s="97"/>
      <c r="I162" s="37"/>
      <c r="L162" s="82"/>
      <c r="M162" s="82"/>
      <c r="N162" s="37"/>
    </row>
    <row r="163" spans="1:14" s="49" customFormat="1" ht="15.75" customHeight="1" x14ac:dyDescent="0.35">
      <c r="A163" s="89">
        <f t="shared" si="4"/>
        <v>3</v>
      </c>
      <c r="B163" s="90"/>
      <c r="C163" s="55" t="s">
        <v>187</v>
      </c>
      <c r="D163" s="56">
        <f>(32.243+8.69+0.75*2.825)*10.764</f>
        <v>463.40903699999996</v>
      </c>
      <c r="E163" s="42">
        <v>0</v>
      </c>
      <c r="F163" s="42">
        <f t="shared" si="5"/>
        <v>671.9431036499999</v>
      </c>
      <c r="G163" s="96"/>
      <c r="H163" s="97"/>
      <c r="I163" s="37"/>
      <c r="L163" s="82"/>
      <c r="M163" s="82"/>
      <c r="N163" s="37"/>
    </row>
    <row r="164" spans="1:14" s="49" customFormat="1" ht="15.75" customHeight="1" x14ac:dyDescent="0.35">
      <c r="A164" s="89">
        <f t="shared" si="4"/>
        <v>4</v>
      </c>
      <c r="B164" s="90"/>
      <c r="C164" s="55" t="s">
        <v>186</v>
      </c>
      <c r="D164" s="56">
        <f>(37.728+10.953+0.75*(2.75+2.45))*10.764</f>
        <v>565.98188399999992</v>
      </c>
      <c r="E164" s="42">
        <f>(2.75*3.6)*10.764</f>
        <v>106.56359999999999</v>
      </c>
      <c r="F164" s="42">
        <f t="shared" si="5"/>
        <v>873.95553179999979</v>
      </c>
      <c r="G164" s="96"/>
      <c r="H164" s="97"/>
      <c r="I164" s="37"/>
      <c r="K164" s="37"/>
      <c r="L164" s="82"/>
      <c r="M164" s="82"/>
      <c r="N164" s="37"/>
    </row>
    <row r="165" spans="1:14" s="49" customFormat="1" ht="15.75" customHeight="1" x14ac:dyDescent="0.35">
      <c r="A165" s="89">
        <f t="shared" si="4"/>
        <v>5</v>
      </c>
      <c r="B165" s="90"/>
      <c r="C165" s="55" t="s">
        <v>187</v>
      </c>
      <c r="D165" s="56">
        <f>(31.999+8.7+0.75*3.35)*10.764</f>
        <v>465.12858599999998</v>
      </c>
      <c r="E165" s="42">
        <v>0</v>
      </c>
      <c r="F165" s="42">
        <f t="shared" si="5"/>
        <v>674.43644969999991</v>
      </c>
      <c r="G165" s="96"/>
      <c r="H165" s="97"/>
      <c r="I165" s="37"/>
      <c r="L165" s="82"/>
      <c r="M165" s="82"/>
      <c r="N165" s="37"/>
    </row>
    <row r="166" spans="1:14" s="49" customFormat="1" ht="15.75" customHeight="1" x14ac:dyDescent="0.35">
      <c r="A166" s="89">
        <f t="shared" si="4"/>
        <v>6</v>
      </c>
      <c r="B166" s="90"/>
      <c r="C166" s="55" t="s">
        <v>187</v>
      </c>
      <c r="D166" s="56">
        <f>(32.132+9.22+0.75*2.8)*10.764</f>
        <v>467.71732799999995</v>
      </c>
      <c r="E166" s="42">
        <v>0</v>
      </c>
      <c r="F166" s="42">
        <f t="shared" si="5"/>
        <v>678.19012559999987</v>
      </c>
      <c r="G166" s="96"/>
      <c r="H166" s="97"/>
      <c r="I166" s="37"/>
      <c r="L166" s="82"/>
      <c r="M166" s="82"/>
      <c r="N166" s="37"/>
    </row>
    <row r="167" spans="1:14" s="49" customFormat="1" ht="15.75" customHeight="1" x14ac:dyDescent="0.35">
      <c r="A167" s="89">
        <f t="shared" si="4"/>
        <v>7</v>
      </c>
      <c r="B167" s="90"/>
      <c r="C167" s="55" t="s">
        <v>187</v>
      </c>
      <c r="D167" s="56">
        <f>(32.617+8.54+0.75*2.825)*10.764</f>
        <v>465.8201729999999</v>
      </c>
      <c r="E167" s="42">
        <v>0</v>
      </c>
      <c r="F167" s="42">
        <f t="shared" si="5"/>
        <v>675.43925084999978</v>
      </c>
      <c r="G167" s="96"/>
      <c r="H167" s="97"/>
      <c r="I167" s="37"/>
      <c r="L167" s="82"/>
      <c r="M167" s="82"/>
      <c r="N167" s="37"/>
    </row>
    <row r="168" spans="1:14" s="49" customFormat="1" ht="15.75" customHeight="1" x14ac:dyDescent="0.35">
      <c r="A168" s="89">
        <f t="shared" si="4"/>
        <v>8</v>
      </c>
      <c r="B168" s="90"/>
      <c r="C168" s="55" t="s">
        <v>187</v>
      </c>
      <c r="D168" s="56">
        <f>(32.728+8.87+0.75*2.825)*10.764</f>
        <v>470.56709699999993</v>
      </c>
      <c r="E168" s="42">
        <v>0</v>
      </c>
      <c r="F168" s="42">
        <f t="shared" si="5"/>
        <v>682.3222906499999</v>
      </c>
      <c r="G168" s="96"/>
      <c r="H168" s="97"/>
      <c r="I168" s="37"/>
      <c r="L168" s="82"/>
      <c r="M168" s="82"/>
      <c r="N168" s="37"/>
    </row>
    <row r="169" spans="1:14" s="49" customFormat="1" ht="15.75" customHeight="1" x14ac:dyDescent="0.35">
      <c r="A169" s="89">
        <f t="shared" si="4"/>
        <v>9</v>
      </c>
      <c r="B169" s="90"/>
      <c r="C169" s="55" t="s">
        <v>187</v>
      </c>
      <c r="D169" s="56">
        <f>(31.359+9.35+0.75*2.75)*10.764</f>
        <v>460.392426</v>
      </c>
      <c r="E169" s="42">
        <v>0</v>
      </c>
      <c r="F169" s="42">
        <f t="shared" si="5"/>
        <v>667.56901770000002</v>
      </c>
      <c r="G169" s="98"/>
      <c r="H169" s="99"/>
      <c r="I169" s="37"/>
      <c r="L169" s="82"/>
      <c r="M169" s="82"/>
      <c r="N169" s="37"/>
    </row>
    <row r="170" spans="1:14" s="49" customFormat="1" ht="15.75" customHeight="1" x14ac:dyDescent="0.35">
      <c r="A170" s="88" t="s">
        <v>188</v>
      </c>
      <c r="B170" s="88"/>
      <c r="C170" s="88"/>
      <c r="D170" s="88"/>
      <c r="E170" s="88"/>
      <c r="F170" s="88"/>
      <c r="G170" s="88"/>
      <c r="H170" s="88"/>
      <c r="J170" s="37"/>
    </row>
    <row r="171" spans="1:14" s="49" customFormat="1" ht="15.75" customHeight="1" x14ac:dyDescent="0.35">
      <c r="A171" s="83">
        <v>1</v>
      </c>
      <c r="B171" s="83"/>
      <c r="C171" s="55" t="s">
        <v>186</v>
      </c>
      <c r="D171" s="56">
        <f>(37.601+11.103+0.75*(2.45+2.75))*10.764</f>
        <v>566.22945599999991</v>
      </c>
      <c r="E171" s="42">
        <v>0</v>
      </c>
      <c r="F171" s="42">
        <f>D171*(($F$158)+1)+(IF(E171&lt;101,E171,IF(E171&lt;201,E171/2,IF(E171&lt;=301,E171/3,E171/4))))</f>
        <v>821.03271119999988</v>
      </c>
      <c r="G171" s="83" t="str">
        <f>A170</f>
        <v xml:space="preserve">2nd, 3rd, 4th, 5th, 6th &amp; 7th Floor </v>
      </c>
      <c r="H171" s="83"/>
      <c r="I171" s="37"/>
      <c r="L171" s="82"/>
      <c r="M171" s="82"/>
      <c r="N171" s="37"/>
    </row>
    <row r="172" spans="1:14" s="49" customFormat="1" ht="15.75" customHeight="1" x14ac:dyDescent="0.35">
      <c r="A172" s="83">
        <f t="shared" ref="A172:A179" si="6">A171+1</f>
        <v>2</v>
      </c>
      <c r="B172" s="83"/>
      <c r="C172" s="55" t="s">
        <v>187</v>
      </c>
      <c r="D172" s="56">
        <f>(32.379+8.72+0.75*(2.825))*10.764</f>
        <v>465.19586099999992</v>
      </c>
      <c r="E172" s="42">
        <v>0</v>
      </c>
      <c r="F172" s="42">
        <f t="shared" ref="F172:F179" si="7">D172*(($F$158)+1)+(IF(E172&lt;101,E172,IF(E172&lt;201,E172/2,IF(E172&lt;=301,E172/3,E172/4))))</f>
        <v>674.5339984499999</v>
      </c>
      <c r="G172" s="83"/>
      <c r="H172" s="83"/>
      <c r="I172" s="37"/>
      <c r="L172" s="82"/>
      <c r="M172" s="82"/>
      <c r="N172" s="37"/>
    </row>
    <row r="173" spans="1:14" s="49" customFormat="1" ht="15.75" customHeight="1" x14ac:dyDescent="0.35">
      <c r="A173" s="83">
        <f t="shared" si="6"/>
        <v>3</v>
      </c>
      <c r="B173" s="83"/>
      <c r="C173" s="55" t="s">
        <v>187</v>
      </c>
      <c r="D173" s="56">
        <f>(32.243+8.69+0.75*(2.825))*10.764</f>
        <v>463.40903699999996</v>
      </c>
      <c r="E173" s="42">
        <v>0</v>
      </c>
      <c r="F173" s="42">
        <f t="shared" si="7"/>
        <v>671.9431036499999</v>
      </c>
      <c r="G173" s="83"/>
      <c r="H173" s="83"/>
      <c r="I173" s="37"/>
      <c r="L173" s="82"/>
      <c r="M173" s="82"/>
      <c r="N173" s="37"/>
    </row>
    <row r="174" spans="1:14" s="49" customFormat="1" ht="15.75" customHeight="1" x14ac:dyDescent="0.35">
      <c r="A174" s="83">
        <f t="shared" si="6"/>
        <v>4</v>
      </c>
      <c r="B174" s="83"/>
      <c r="C174" s="55" t="s">
        <v>186</v>
      </c>
      <c r="D174" s="56">
        <f>(37.728+10.953+0.75*(2.45+2.75))*10.764</f>
        <v>565.98188399999992</v>
      </c>
      <c r="E174" s="42">
        <v>0</v>
      </c>
      <c r="F174" s="42">
        <f t="shared" si="7"/>
        <v>820.67373179999981</v>
      </c>
      <c r="G174" s="83"/>
      <c r="H174" s="83"/>
      <c r="I174" s="37"/>
      <c r="J174" s="37"/>
      <c r="K174" s="37"/>
      <c r="L174" s="82"/>
      <c r="M174" s="82"/>
      <c r="N174" s="37"/>
    </row>
    <row r="175" spans="1:14" s="49" customFormat="1" ht="15.75" customHeight="1" x14ac:dyDescent="0.35">
      <c r="A175" s="83">
        <f t="shared" si="6"/>
        <v>5</v>
      </c>
      <c r="B175" s="83"/>
      <c r="C175" s="55" t="s">
        <v>187</v>
      </c>
      <c r="D175" s="56">
        <f>(31.999+8.7+0.75*(3.35))*10.764</f>
        <v>465.12858599999998</v>
      </c>
      <c r="E175" s="42">
        <v>0</v>
      </c>
      <c r="F175" s="42">
        <f t="shared" si="7"/>
        <v>674.43644969999991</v>
      </c>
      <c r="G175" s="83"/>
      <c r="H175" s="83"/>
      <c r="I175" s="37"/>
      <c r="L175" s="82"/>
      <c r="M175" s="82"/>
      <c r="N175" s="37"/>
    </row>
    <row r="176" spans="1:14" s="49" customFormat="1" ht="15.75" customHeight="1" x14ac:dyDescent="0.35">
      <c r="A176" s="83">
        <f t="shared" si="6"/>
        <v>6</v>
      </c>
      <c r="B176" s="83"/>
      <c r="C176" s="55" t="s">
        <v>187</v>
      </c>
      <c r="D176" s="56">
        <f>(32.132+9.22+0.75*(2.8))*10.764</f>
        <v>467.71732799999995</v>
      </c>
      <c r="E176" s="42">
        <v>0</v>
      </c>
      <c r="F176" s="42">
        <f t="shared" si="7"/>
        <v>678.19012559999987</v>
      </c>
      <c r="G176" s="83"/>
      <c r="H176" s="83"/>
      <c r="I176" s="37"/>
      <c r="L176" s="82"/>
      <c r="M176" s="82"/>
      <c r="N176" s="37"/>
    </row>
    <row r="177" spans="1:14" s="49" customFormat="1" ht="15.75" customHeight="1" x14ac:dyDescent="0.35">
      <c r="A177" s="83">
        <f t="shared" si="6"/>
        <v>7</v>
      </c>
      <c r="B177" s="83"/>
      <c r="C177" s="55" t="s">
        <v>187</v>
      </c>
      <c r="D177" s="56">
        <f>(32.617+8.54+0.75*(2.825))*10.764</f>
        <v>465.8201729999999</v>
      </c>
      <c r="E177" s="42">
        <v>0</v>
      </c>
      <c r="F177" s="42">
        <f t="shared" si="7"/>
        <v>675.43925084999978</v>
      </c>
      <c r="G177" s="83"/>
      <c r="H177" s="83"/>
      <c r="I177" s="37"/>
      <c r="L177" s="82"/>
      <c r="M177" s="82"/>
      <c r="N177" s="37"/>
    </row>
    <row r="178" spans="1:14" s="49" customFormat="1" ht="15.75" customHeight="1" x14ac:dyDescent="0.35">
      <c r="A178" s="83">
        <f t="shared" si="6"/>
        <v>8</v>
      </c>
      <c r="B178" s="83"/>
      <c r="C178" s="55" t="s">
        <v>187</v>
      </c>
      <c r="D178" s="56">
        <f>(32.728+8.87+0.75*(2.825))*10.764</f>
        <v>470.56709699999993</v>
      </c>
      <c r="E178" s="42">
        <v>0</v>
      </c>
      <c r="F178" s="42">
        <f t="shared" si="7"/>
        <v>682.3222906499999</v>
      </c>
      <c r="G178" s="83"/>
      <c r="H178" s="83"/>
      <c r="I178" s="37"/>
      <c r="L178" s="82"/>
      <c r="M178" s="82"/>
      <c r="N178" s="37"/>
    </row>
    <row r="179" spans="1:14" s="49" customFormat="1" ht="15.75" customHeight="1" x14ac:dyDescent="0.35">
      <c r="A179" s="83">
        <f t="shared" si="6"/>
        <v>9</v>
      </c>
      <c r="B179" s="83"/>
      <c r="C179" s="55" t="s">
        <v>187</v>
      </c>
      <c r="D179" s="56">
        <f>(31.359+9.35+0.75*(2.75))*10.764</f>
        <v>460.392426</v>
      </c>
      <c r="E179" s="42">
        <v>0</v>
      </c>
      <c r="F179" s="42">
        <f t="shared" si="7"/>
        <v>667.56901770000002</v>
      </c>
      <c r="G179" s="83"/>
      <c r="H179" s="83"/>
      <c r="I179" s="37"/>
      <c r="L179" s="82"/>
      <c r="M179" s="82"/>
      <c r="N179" s="37"/>
    </row>
    <row r="180" spans="1:14" s="49" customFormat="1" ht="15.75" customHeight="1" x14ac:dyDescent="0.35">
      <c r="A180" s="91" t="s">
        <v>189</v>
      </c>
      <c r="B180" s="92"/>
      <c r="C180" s="92"/>
      <c r="D180" s="92"/>
      <c r="E180" s="92"/>
      <c r="F180" s="92"/>
      <c r="G180" s="92"/>
      <c r="H180" s="93"/>
      <c r="J180" s="37"/>
    </row>
    <row r="181" spans="1:14" s="49" customFormat="1" ht="15.75" customHeight="1" x14ac:dyDescent="0.35">
      <c r="A181" s="89">
        <v>1</v>
      </c>
      <c r="B181" s="90"/>
      <c r="C181" s="55" t="s">
        <v>186</v>
      </c>
      <c r="D181" s="56">
        <f>(37.601+11.103+0.75*(2.45+2.75))*10.764</f>
        <v>566.22945599999991</v>
      </c>
      <c r="E181" s="42">
        <v>0</v>
      </c>
      <c r="F181" s="42">
        <f>D181*(($F$158)+1)+(IF(E181&lt;101,E181,IF(E181&lt;201,E181/2,IF(E181&lt;=301,E181/3,E181/4))))</f>
        <v>821.03271119999988</v>
      </c>
      <c r="G181" s="94" t="str">
        <f>A180</f>
        <v>8th Floor (Part Refuge Area)</v>
      </c>
      <c r="H181" s="95"/>
      <c r="I181" s="37"/>
      <c r="L181" s="82"/>
      <c r="M181" s="82"/>
      <c r="N181" s="37"/>
    </row>
    <row r="182" spans="1:14" s="49" customFormat="1" ht="15.75" customHeight="1" x14ac:dyDescent="0.35">
      <c r="A182" s="89">
        <f t="shared" ref="A182:A189" si="8">A181+1</f>
        <v>2</v>
      </c>
      <c r="B182" s="90"/>
      <c r="C182" s="55" t="s">
        <v>187</v>
      </c>
      <c r="D182" s="56">
        <f>(32.379+8.72+0.75*(2.825))*10.764</f>
        <v>465.19586099999992</v>
      </c>
      <c r="E182" s="42">
        <v>0</v>
      </c>
      <c r="F182" s="42">
        <f t="shared" ref="F182:F189" si="9">D182*(($F$158)+1)+(IF(E182&lt;101,E182,IF(E182&lt;201,E182/2,IF(E182&lt;=301,E182/3,E182/4))))</f>
        <v>674.5339984499999</v>
      </c>
      <c r="G182" s="96"/>
      <c r="H182" s="97"/>
      <c r="I182" s="37"/>
      <c r="L182" s="82"/>
      <c r="M182" s="82"/>
      <c r="N182" s="37"/>
    </row>
    <row r="183" spans="1:14" s="49" customFormat="1" ht="15.75" customHeight="1" x14ac:dyDescent="0.35">
      <c r="A183" s="89">
        <f t="shared" si="8"/>
        <v>3</v>
      </c>
      <c r="B183" s="90"/>
      <c r="C183" s="55" t="s">
        <v>187</v>
      </c>
      <c r="D183" s="56">
        <f>(32.243+8.69+0.75*(2.825))*10.764</f>
        <v>463.40903699999996</v>
      </c>
      <c r="E183" s="42">
        <v>0</v>
      </c>
      <c r="F183" s="42">
        <f t="shared" si="9"/>
        <v>671.9431036499999</v>
      </c>
      <c r="G183" s="96"/>
      <c r="H183" s="97"/>
      <c r="I183" s="37"/>
      <c r="L183" s="82"/>
      <c r="M183" s="82"/>
      <c r="N183" s="37"/>
    </row>
    <row r="184" spans="1:14" s="49" customFormat="1" ht="15.75" customHeight="1" x14ac:dyDescent="0.35">
      <c r="A184" s="89">
        <f t="shared" si="8"/>
        <v>4</v>
      </c>
      <c r="B184" s="90"/>
      <c r="C184" s="55" t="s">
        <v>186</v>
      </c>
      <c r="D184" s="56">
        <f>(37.728+10.953+0.75*(2.45+2.75))*10.764</f>
        <v>565.98188399999992</v>
      </c>
      <c r="E184" s="42">
        <v>0</v>
      </c>
      <c r="F184" s="42">
        <f t="shared" si="9"/>
        <v>820.67373179999981</v>
      </c>
      <c r="G184" s="96"/>
      <c r="H184" s="97"/>
      <c r="I184" s="37"/>
      <c r="J184" s="37"/>
      <c r="K184" s="37"/>
      <c r="L184" s="82"/>
      <c r="M184" s="82"/>
      <c r="N184" s="37"/>
    </row>
    <row r="185" spans="1:14" s="49" customFormat="1" ht="15.75" customHeight="1" x14ac:dyDescent="0.35">
      <c r="A185" s="89">
        <f t="shared" si="8"/>
        <v>5</v>
      </c>
      <c r="B185" s="90"/>
      <c r="C185" s="84" t="s">
        <v>191</v>
      </c>
      <c r="D185" s="85"/>
      <c r="E185" s="85"/>
      <c r="F185" s="86"/>
      <c r="G185" s="96"/>
      <c r="H185" s="97"/>
      <c r="I185" s="37"/>
      <c r="L185" s="82"/>
      <c r="M185" s="82"/>
      <c r="N185" s="37"/>
    </row>
    <row r="186" spans="1:14" s="49" customFormat="1" ht="15.75" customHeight="1" x14ac:dyDescent="0.35">
      <c r="A186" s="89">
        <f t="shared" si="8"/>
        <v>6</v>
      </c>
      <c r="B186" s="90"/>
      <c r="C186" s="55" t="s">
        <v>187</v>
      </c>
      <c r="D186" s="56">
        <f>(32.132+9.22+0.75*(2.8))*10.764</f>
        <v>467.71732799999995</v>
      </c>
      <c r="E186" s="42">
        <v>0</v>
      </c>
      <c r="F186" s="42">
        <f t="shared" si="9"/>
        <v>678.19012559999987</v>
      </c>
      <c r="G186" s="96"/>
      <c r="H186" s="97"/>
      <c r="I186" s="37"/>
      <c r="L186" s="82"/>
      <c r="M186" s="82"/>
      <c r="N186" s="37"/>
    </row>
    <row r="187" spans="1:14" s="49" customFormat="1" ht="15.75" customHeight="1" x14ac:dyDescent="0.35">
      <c r="A187" s="89">
        <f t="shared" si="8"/>
        <v>7</v>
      </c>
      <c r="B187" s="90"/>
      <c r="C187" s="55" t="s">
        <v>187</v>
      </c>
      <c r="D187" s="56">
        <f>(32.617+8.54+0.75*(2.825))*10.764</f>
        <v>465.8201729999999</v>
      </c>
      <c r="E187" s="42">
        <v>0</v>
      </c>
      <c r="F187" s="42">
        <f t="shared" si="9"/>
        <v>675.43925084999978</v>
      </c>
      <c r="G187" s="96"/>
      <c r="H187" s="97"/>
      <c r="I187" s="37"/>
      <c r="L187" s="82"/>
      <c r="M187" s="82"/>
      <c r="N187" s="37"/>
    </row>
    <row r="188" spans="1:14" s="49" customFormat="1" ht="15.75" customHeight="1" x14ac:dyDescent="0.35">
      <c r="A188" s="89">
        <f t="shared" si="8"/>
        <v>8</v>
      </c>
      <c r="B188" s="90"/>
      <c r="C188" s="55" t="s">
        <v>187</v>
      </c>
      <c r="D188" s="56">
        <f>(32.728+8.87+0.75*(2.825))*10.764</f>
        <v>470.56709699999993</v>
      </c>
      <c r="E188" s="42">
        <v>0</v>
      </c>
      <c r="F188" s="42">
        <f t="shared" si="9"/>
        <v>682.3222906499999</v>
      </c>
      <c r="G188" s="96"/>
      <c r="H188" s="97"/>
      <c r="I188" s="37"/>
      <c r="L188" s="82"/>
      <c r="M188" s="82"/>
      <c r="N188" s="37"/>
    </row>
    <row r="189" spans="1:14" s="49" customFormat="1" ht="15.75" customHeight="1" x14ac:dyDescent="0.35">
      <c r="A189" s="89">
        <f t="shared" si="8"/>
        <v>9</v>
      </c>
      <c r="B189" s="90"/>
      <c r="C189" s="55" t="s">
        <v>187</v>
      </c>
      <c r="D189" s="56">
        <f>(31.359+9.35+0.75*(2.75))*10.764</f>
        <v>460.392426</v>
      </c>
      <c r="E189" s="42">
        <v>0</v>
      </c>
      <c r="F189" s="42">
        <f t="shared" si="9"/>
        <v>667.56901770000002</v>
      </c>
      <c r="G189" s="98"/>
      <c r="H189" s="99"/>
      <c r="I189" s="37"/>
      <c r="L189" s="82"/>
      <c r="M189" s="82"/>
      <c r="N189" s="37"/>
    </row>
    <row r="190" spans="1:14" s="49" customFormat="1" ht="15.75" customHeight="1" x14ac:dyDescent="0.35">
      <c r="A190" s="91" t="s">
        <v>184</v>
      </c>
      <c r="B190" s="92"/>
      <c r="C190" s="92"/>
      <c r="D190" s="92"/>
      <c r="E190" s="92"/>
      <c r="F190" s="92"/>
      <c r="G190" s="92"/>
      <c r="H190" s="93"/>
      <c r="J190" s="37"/>
    </row>
    <row r="191" spans="1:14" s="49" customFormat="1" ht="15.75" customHeight="1" x14ac:dyDescent="0.35">
      <c r="A191" s="91" t="s">
        <v>185</v>
      </c>
      <c r="B191" s="92"/>
      <c r="C191" s="92"/>
      <c r="D191" s="92"/>
      <c r="E191" s="92"/>
      <c r="F191" s="92"/>
      <c r="G191" s="92"/>
      <c r="H191" s="93"/>
      <c r="J191" s="37"/>
    </row>
    <row r="192" spans="1:14" s="49" customFormat="1" ht="15.75" customHeight="1" x14ac:dyDescent="0.35">
      <c r="A192" s="89">
        <v>1</v>
      </c>
      <c r="B192" s="90"/>
      <c r="C192" s="55" t="s">
        <v>187</v>
      </c>
      <c r="D192" s="56">
        <f>(32.185+8.6+0.75*2.75)*10.764</f>
        <v>461.21048999999999</v>
      </c>
      <c r="E192" s="42">
        <v>0</v>
      </c>
      <c r="F192" s="42">
        <f t="shared" ref="F192:F199" si="10">D192*(($F$158)+1)+(IF(E192&lt;101,E192,IF(E192&lt;201,E192/2,IF(E192&lt;=301,E192/3,E192/4))))</f>
        <v>668.75521049999998</v>
      </c>
      <c r="G192" s="94" t="str">
        <f>A191</f>
        <v>1st Floor For Residential</v>
      </c>
      <c r="H192" s="95"/>
      <c r="I192" s="37">
        <f>2652000/F192</f>
        <v>3965.5765792347424</v>
      </c>
      <c r="L192" s="82"/>
      <c r="M192" s="82"/>
      <c r="N192" s="37"/>
    </row>
    <row r="193" spans="1:14" s="49" customFormat="1" ht="15.75" customHeight="1" x14ac:dyDescent="0.35">
      <c r="A193" s="89">
        <f t="shared" ref="A193:A199" si="11">A192+1</f>
        <v>2</v>
      </c>
      <c r="B193" s="90"/>
      <c r="C193" s="55" t="s">
        <v>187</v>
      </c>
      <c r="D193" s="56">
        <f>(32.333+8.63+0.75*2.75)*10.764</f>
        <v>463.12648200000001</v>
      </c>
      <c r="E193" s="42">
        <v>0</v>
      </c>
      <c r="F193" s="42">
        <f t="shared" si="10"/>
        <v>671.53339889999995</v>
      </c>
      <c r="G193" s="96"/>
      <c r="H193" s="97"/>
      <c r="I193" s="37"/>
      <c r="L193" s="82"/>
      <c r="M193" s="82"/>
      <c r="N193" s="37"/>
    </row>
    <row r="194" spans="1:14" s="49" customFormat="1" ht="15.75" customHeight="1" x14ac:dyDescent="0.35">
      <c r="A194" s="89">
        <f t="shared" si="11"/>
        <v>3</v>
      </c>
      <c r="B194" s="90"/>
      <c r="C194" s="55" t="s">
        <v>186</v>
      </c>
      <c r="D194" s="56">
        <f>(50.565+8.855+0.75*2)*10.764</f>
        <v>655.74288000000001</v>
      </c>
      <c r="E194" s="42">
        <f>(2.35*1.45)*10.764</f>
        <v>36.678330000000003</v>
      </c>
      <c r="F194" s="42">
        <f t="shared" si="10"/>
        <v>987.50550599999997</v>
      </c>
      <c r="G194" s="96"/>
      <c r="H194" s="97"/>
      <c r="I194" s="37"/>
      <c r="L194" s="82"/>
      <c r="M194" s="82"/>
      <c r="N194" s="37"/>
    </row>
    <row r="195" spans="1:14" s="49" customFormat="1" ht="15.75" customHeight="1" x14ac:dyDescent="0.35">
      <c r="A195" s="89">
        <f t="shared" si="11"/>
        <v>4</v>
      </c>
      <c r="B195" s="90"/>
      <c r="C195" s="55" t="s">
        <v>186</v>
      </c>
      <c r="D195" s="56">
        <f>(50.749+8.855+0.75*2)*10.764</f>
        <v>657.72345599999994</v>
      </c>
      <c r="E195" s="42">
        <f>(2.35*1.45)*10.764</f>
        <v>36.678330000000003</v>
      </c>
      <c r="F195" s="42">
        <f t="shared" si="10"/>
        <v>990.37734119999982</v>
      </c>
      <c r="G195" s="96"/>
      <c r="H195" s="97"/>
      <c r="I195" s="37"/>
      <c r="K195" s="37"/>
      <c r="L195" s="82"/>
      <c r="M195" s="82"/>
      <c r="N195" s="37"/>
    </row>
    <row r="196" spans="1:14" s="49" customFormat="1" ht="15.75" customHeight="1" x14ac:dyDescent="0.35">
      <c r="A196" s="89">
        <f t="shared" si="11"/>
        <v>5</v>
      </c>
      <c r="B196" s="90"/>
      <c r="C196" s="55" t="s">
        <v>187</v>
      </c>
      <c r="D196" s="56">
        <f>(32.333+8.63)*10.764</f>
        <v>440.92573199999998</v>
      </c>
      <c r="E196" s="42">
        <v>0</v>
      </c>
      <c r="F196" s="42">
        <f t="shared" si="10"/>
        <v>639.34231139999997</v>
      </c>
      <c r="G196" s="96"/>
      <c r="H196" s="97"/>
      <c r="I196" s="37"/>
      <c r="J196" s="37"/>
      <c r="L196" s="82"/>
      <c r="M196" s="82"/>
      <c r="N196" s="37"/>
    </row>
    <row r="197" spans="1:14" s="49" customFormat="1" ht="15.75" customHeight="1" x14ac:dyDescent="0.35">
      <c r="A197" s="89">
        <f t="shared" si="11"/>
        <v>6</v>
      </c>
      <c r="B197" s="90"/>
      <c r="C197" s="55" t="s">
        <v>187</v>
      </c>
      <c r="D197" s="56">
        <f>(32.333+8.45)*10.764</f>
        <v>438.98821199999998</v>
      </c>
      <c r="E197" s="42">
        <v>0</v>
      </c>
      <c r="F197" s="42">
        <f t="shared" si="10"/>
        <v>636.5329074</v>
      </c>
      <c r="G197" s="96"/>
      <c r="H197" s="97"/>
      <c r="I197" s="37"/>
      <c r="L197" s="82"/>
      <c r="M197" s="82"/>
      <c r="N197" s="37"/>
    </row>
    <row r="198" spans="1:14" s="49" customFormat="1" ht="15.75" customHeight="1" x14ac:dyDescent="0.35">
      <c r="A198" s="89">
        <f t="shared" si="11"/>
        <v>7</v>
      </c>
      <c r="B198" s="90"/>
      <c r="C198" s="55" t="s">
        <v>186</v>
      </c>
      <c r="D198" s="56">
        <f>(50.913+8.855+0.75*2)*10.764</f>
        <v>659.48875199999998</v>
      </c>
      <c r="E198" s="42">
        <v>0</v>
      </c>
      <c r="F198" s="42">
        <f t="shared" si="10"/>
        <v>956.25869039999998</v>
      </c>
      <c r="G198" s="96"/>
      <c r="H198" s="97"/>
      <c r="I198" s="37"/>
      <c r="L198" s="82"/>
      <c r="M198" s="82"/>
      <c r="N198" s="37"/>
    </row>
    <row r="199" spans="1:14" s="49" customFormat="1" ht="15.75" customHeight="1" x14ac:dyDescent="0.35">
      <c r="A199" s="89">
        <f t="shared" si="11"/>
        <v>8</v>
      </c>
      <c r="B199" s="90"/>
      <c r="C199" s="55" t="s">
        <v>186</v>
      </c>
      <c r="D199" s="56">
        <f>(50.913+8.855+0.75*2)*10.764</f>
        <v>659.48875199999998</v>
      </c>
      <c r="E199" s="42">
        <v>0</v>
      </c>
      <c r="F199" s="42">
        <f t="shared" si="10"/>
        <v>956.25869039999998</v>
      </c>
      <c r="G199" s="98"/>
      <c r="H199" s="99"/>
      <c r="I199" s="37"/>
      <c r="L199" s="82"/>
      <c r="M199" s="82"/>
      <c r="N199" s="37"/>
    </row>
    <row r="200" spans="1:14" s="49" customFormat="1" ht="15.75" customHeight="1" x14ac:dyDescent="0.35">
      <c r="A200" s="91" t="s">
        <v>188</v>
      </c>
      <c r="B200" s="92"/>
      <c r="C200" s="92"/>
      <c r="D200" s="92"/>
      <c r="E200" s="92"/>
      <c r="F200" s="92"/>
      <c r="G200" s="92"/>
      <c r="H200" s="93"/>
      <c r="J200" s="37"/>
    </row>
    <row r="201" spans="1:14" s="49" customFormat="1" ht="15.75" customHeight="1" x14ac:dyDescent="0.35">
      <c r="A201" s="89">
        <v>1</v>
      </c>
      <c r="B201" s="90"/>
      <c r="C201" s="55" t="s">
        <v>187</v>
      </c>
      <c r="D201" s="56">
        <f>(32.185+8.6+0.75*2.75)*10.764</f>
        <v>461.21048999999999</v>
      </c>
      <c r="E201" s="42">
        <v>0</v>
      </c>
      <c r="F201" s="42">
        <f t="shared" ref="F201:F208" si="12">D201*(($F$158)+1)+(IF(E201&lt;101,E201,IF(E201&lt;201,E201/2,IF(E201&lt;=301,E201/3,E201/4))))</f>
        <v>668.75521049999998</v>
      </c>
      <c r="G201" s="94" t="str">
        <f>A200</f>
        <v xml:space="preserve">2nd, 3rd, 4th, 5th, 6th &amp; 7th Floor </v>
      </c>
      <c r="H201" s="95"/>
      <c r="I201" s="37"/>
      <c r="L201" s="82"/>
      <c r="M201" s="82"/>
      <c r="N201" s="37"/>
    </row>
    <row r="202" spans="1:14" s="49" customFormat="1" ht="15.75" customHeight="1" x14ac:dyDescent="0.35">
      <c r="A202" s="89">
        <f t="shared" ref="A202:A208" si="13">A201+1</f>
        <v>2</v>
      </c>
      <c r="B202" s="90"/>
      <c r="C202" s="55" t="s">
        <v>187</v>
      </c>
      <c r="D202" s="56">
        <f>(32.333+8.63+0.75*2.75)*10.764</f>
        <v>463.12648200000001</v>
      </c>
      <c r="E202" s="42">
        <v>0</v>
      </c>
      <c r="F202" s="42">
        <f t="shared" si="12"/>
        <v>671.53339889999995</v>
      </c>
      <c r="G202" s="96"/>
      <c r="H202" s="97"/>
      <c r="I202" s="37"/>
      <c r="L202" s="82"/>
      <c r="M202" s="82"/>
      <c r="N202" s="37"/>
    </row>
    <row r="203" spans="1:14" s="49" customFormat="1" ht="15.75" customHeight="1" x14ac:dyDescent="0.35">
      <c r="A203" s="89">
        <f t="shared" si="13"/>
        <v>3</v>
      </c>
      <c r="B203" s="90"/>
      <c r="C203" s="55" t="s">
        <v>186</v>
      </c>
      <c r="D203" s="56">
        <f>(50.565+8.855+0.75*2)*10.764</f>
        <v>655.74288000000001</v>
      </c>
      <c r="E203" s="42">
        <v>0</v>
      </c>
      <c r="F203" s="42">
        <f t="shared" si="12"/>
        <v>950.82717600000001</v>
      </c>
      <c r="G203" s="96"/>
      <c r="H203" s="97"/>
      <c r="I203" s="37"/>
      <c r="L203" s="82"/>
      <c r="M203" s="82"/>
      <c r="N203" s="37"/>
    </row>
    <row r="204" spans="1:14" s="49" customFormat="1" ht="15.75" customHeight="1" x14ac:dyDescent="0.35">
      <c r="A204" s="89">
        <f t="shared" si="13"/>
        <v>4</v>
      </c>
      <c r="B204" s="90"/>
      <c r="C204" s="55" t="s">
        <v>186</v>
      </c>
      <c r="D204" s="56">
        <f>(50.749+8.855+0.75*2)*10.764</f>
        <v>657.72345599999994</v>
      </c>
      <c r="E204" s="42">
        <v>0</v>
      </c>
      <c r="F204" s="42">
        <f t="shared" si="12"/>
        <v>953.69901119999986</v>
      </c>
      <c r="G204" s="96"/>
      <c r="H204" s="97"/>
      <c r="I204" s="37"/>
      <c r="K204" s="37"/>
      <c r="L204" s="82"/>
      <c r="M204" s="82"/>
      <c r="N204" s="37"/>
    </row>
    <row r="205" spans="1:14" s="49" customFormat="1" ht="15.75" customHeight="1" x14ac:dyDescent="0.35">
      <c r="A205" s="89">
        <f t="shared" si="13"/>
        <v>5</v>
      </c>
      <c r="B205" s="90"/>
      <c r="C205" s="55" t="s">
        <v>187</v>
      </c>
      <c r="D205" s="56">
        <f>(32.333+8.63+0.75*(2.75))*10.764</f>
        <v>463.12648200000001</v>
      </c>
      <c r="E205" s="42">
        <v>0</v>
      </c>
      <c r="F205" s="42">
        <f t="shared" si="12"/>
        <v>671.53339889999995</v>
      </c>
      <c r="G205" s="96"/>
      <c r="H205" s="97"/>
      <c r="I205" s="37"/>
      <c r="J205" s="37"/>
      <c r="L205" s="82"/>
      <c r="M205" s="82"/>
      <c r="N205" s="37"/>
    </row>
    <row r="206" spans="1:14" s="49" customFormat="1" ht="15.75" customHeight="1" x14ac:dyDescent="0.35">
      <c r="A206" s="89">
        <f t="shared" si="13"/>
        <v>6</v>
      </c>
      <c r="B206" s="90"/>
      <c r="C206" s="55" t="s">
        <v>187</v>
      </c>
      <c r="D206" s="56">
        <f>(32.333+8.45+0.75*(2.75))*10.764</f>
        <v>461.188962</v>
      </c>
      <c r="E206" s="42">
        <v>0</v>
      </c>
      <c r="F206" s="42">
        <f t="shared" si="12"/>
        <v>668.72399489999998</v>
      </c>
      <c r="G206" s="96"/>
      <c r="H206" s="97"/>
      <c r="I206" s="37"/>
      <c r="L206" s="82"/>
      <c r="M206" s="82"/>
      <c r="N206" s="37"/>
    </row>
    <row r="207" spans="1:14" s="49" customFormat="1" ht="15.75" customHeight="1" x14ac:dyDescent="0.35">
      <c r="A207" s="89">
        <f t="shared" si="13"/>
        <v>7</v>
      </c>
      <c r="B207" s="90"/>
      <c r="C207" s="55" t="s">
        <v>186</v>
      </c>
      <c r="D207" s="56">
        <f>(50.913+8.855+0.75*2)*10.764</f>
        <v>659.48875199999998</v>
      </c>
      <c r="E207" s="42">
        <v>0</v>
      </c>
      <c r="F207" s="42">
        <f t="shared" si="12"/>
        <v>956.25869039999998</v>
      </c>
      <c r="G207" s="96"/>
      <c r="H207" s="97"/>
      <c r="I207" s="37"/>
      <c r="L207" s="82"/>
      <c r="M207" s="82"/>
      <c r="N207" s="37"/>
    </row>
    <row r="208" spans="1:14" s="49" customFormat="1" ht="15.75" customHeight="1" x14ac:dyDescent="0.35">
      <c r="A208" s="89">
        <f t="shared" si="13"/>
        <v>8</v>
      </c>
      <c r="B208" s="90"/>
      <c r="C208" s="55" t="s">
        <v>186</v>
      </c>
      <c r="D208" s="56">
        <f>(50.913+8.855+0.75*2)*10.764</f>
        <v>659.48875199999998</v>
      </c>
      <c r="E208" s="42">
        <v>0</v>
      </c>
      <c r="F208" s="42">
        <f t="shared" si="12"/>
        <v>956.25869039999998</v>
      </c>
      <c r="G208" s="98"/>
      <c r="H208" s="99"/>
      <c r="I208" s="37"/>
      <c r="L208" s="82"/>
      <c r="M208" s="82"/>
      <c r="N208" s="37"/>
    </row>
    <row r="209" spans="1:14" s="49" customFormat="1" ht="15.75" customHeight="1" x14ac:dyDescent="0.35">
      <c r="A209" s="88" t="s">
        <v>189</v>
      </c>
      <c r="B209" s="88"/>
      <c r="C209" s="88"/>
      <c r="D209" s="88"/>
      <c r="E209" s="88"/>
      <c r="F209" s="88"/>
      <c r="G209" s="88"/>
      <c r="H209" s="88"/>
      <c r="J209" s="37"/>
    </row>
    <row r="210" spans="1:14" s="49" customFormat="1" ht="15.75" customHeight="1" x14ac:dyDescent="0.35">
      <c r="A210" s="83">
        <v>1</v>
      </c>
      <c r="B210" s="83"/>
      <c r="C210" s="87" t="s">
        <v>191</v>
      </c>
      <c r="D210" s="87"/>
      <c r="E210" s="87"/>
      <c r="F210" s="87"/>
      <c r="G210" s="83" t="str">
        <f>A209</f>
        <v>8th Floor (Part Refuge Area)</v>
      </c>
      <c r="H210" s="83"/>
      <c r="I210" s="37"/>
      <c r="L210" s="82"/>
      <c r="M210" s="82"/>
      <c r="N210" s="37"/>
    </row>
    <row r="211" spans="1:14" s="49" customFormat="1" ht="15.75" customHeight="1" x14ac:dyDescent="0.35">
      <c r="A211" s="83">
        <f t="shared" ref="A211:A217" si="14">A210+1</f>
        <v>2</v>
      </c>
      <c r="B211" s="83"/>
      <c r="C211" s="55" t="s">
        <v>187</v>
      </c>
      <c r="D211" s="56">
        <f>(32.333+8.63+0.75*2.75)*10.764</f>
        <v>463.12648200000001</v>
      </c>
      <c r="E211" s="42">
        <v>0</v>
      </c>
      <c r="F211" s="42">
        <f t="shared" ref="F211:F217" si="15">D211*(($F$158)+1)+(IF(E211&lt;101,E211,IF(E211&lt;201,E211/2,IF(E211&lt;=301,E211/3,E211/4))))</f>
        <v>671.53339889999995</v>
      </c>
      <c r="G211" s="83"/>
      <c r="H211" s="83"/>
      <c r="I211" s="37"/>
      <c r="L211" s="82"/>
      <c r="M211" s="82"/>
      <c r="N211" s="37"/>
    </row>
    <row r="212" spans="1:14" s="49" customFormat="1" ht="15.75" customHeight="1" x14ac:dyDescent="0.35">
      <c r="A212" s="83">
        <f t="shared" si="14"/>
        <v>3</v>
      </c>
      <c r="B212" s="83"/>
      <c r="C212" s="55" t="s">
        <v>186</v>
      </c>
      <c r="D212" s="56">
        <f>(50.565+8.855+0.75*2)*10.764</f>
        <v>655.74288000000001</v>
      </c>
      <c r="E212" s="42">
        <v>0</v>
      </c>
      <c r="F212" s="42">
        <f t="shared" si="15"/>
        <v>950.82717600000001</v>
      </c>
      <c r="G212" s="83"/>
      <c r="H212" s="83"/>
      <c r="I212" s="37"/>
      <c r="L212" s="82"/>
      <c r="M212" s="82"/>
      <c r="N212" s="37"/>
    </row>
    <row r="213" spans="1:14" s="49" customFormat="1" ht="15.75" customHeight="1" x14ac:dyDescent="0.35">
      <c r="A213" s="83">
        <f t="shared" si="14"/>
        <v>4</v>
      </c>
      <c r="B213" s="83"/>
      <c r="C213" s="55" t="s">
        <v>186</v>
      </c>
      <c r="D213" s="56">
        <f>(50.749+8.855+0.75*2)*10.764</f>
        <v>657.72345599999994</v>
      </c>
      <c r="E213" s="42">
        <v>0</v>
      </c>
      <c r="F213" s="42">
        <f t="shared" si="15"/>
        <v>953.69901119999986</v>
      </c>
      <c r="G213" s="83"/>
      <c r="H213" s="83"/>
      <c r="I213" s="37"/>
      <c r="K213" s="37"/>
      <c r="L213" s="82"/>
      <c r="M213" s="82"/>
      <c r="N213" s="37"/>
    </row>
    <row r="214" spans="1:14" s="49" customFormat="1" ht="15.75" customHeight="1" x14ac:dyDescent="0.35">
      <c r="A214" s="83">
        <f t="shared" si="14"/>
        <v>5</v>
      </c>
      <c r="B214" s="83"/>
      <c r="C214" s="55" t="s">
        <v>187</v>
      </c>
      <c r="D214" s="56">
        <f>(32.333+8.63+0.75*(2.75))*10.764</f>
        <v>463.12648200000001</v>
      </c>
      <c r="E214" s="42">
        <v>0</v>
      </c>
      <c r="F214" s="42">
        <f t="shared" si="15"/>
        <v>671.53339889999995</v>
      </c>
      <c r="G214" s="83"/>
      <c r="H214" s="83"/>
      <c r="I214" s="37"/>
      <c r="J214" s="37"/>
      <c r="L214" s="82"/>
      <c r="M214" s="82"/>
      <c r="N214" s="37"/>
    </row>
    <row r="215" spans="1:14" s="49" customFormat="1" ht="15.75" customHeight="1" x14ac:dyDescent="0.35">
      <c r="A215" s="83">
        <f t="shared" si="14"/>
        <v>6</v>
      </c>
      <c r="B215" s="83"/>
      <c r="C215" s="55" t="s">
        <v>187</v>
      </c>
      <c r="D215" s="56">
        <f>(32.333+8.45+0.75*(2.75))*10.764</f>
        <v>461.188962</v>
      </c>
      <c r="E215" s="42">
        <v>0</v>
      </c>
      <c r="F215" s="42">
        <f t="shared" si="15"/>
        <v>668.72399489999998</v>
      </c>
      <c r="G215" s="83"/>
      <c r="H215" s="83"/>
      <c r="I215" s="37"/>
      <c r="L215" s="82"/>
      <c r="M215" s="82"/>
      <c r="N215" s="37"/>
    </row>
    <row r="216" spans="1:14" s="49" customFormat="1" ht="15.75" customHeight="1" x14ac:dyDescent="0.35">
      <c r="A216" s="83">
        <f t="shared" si="14"/>
        <v>7</v>
      </c>
      <c r="B216" s="83"/>
      <c r="C216" s="55" t="s">
        <v>186</v>
      </c>
      <c r="D216" s="56">
        <f>(50.913+8.855+0.75*2)*10.764</f>
        <v>659.48875199999998</v>
      </c>
      <c r="E216" s="42">
        <v>0</v>
      </c>
      <c r="F216" s="42">
        <f t="shared" si="15"/>
        <v>956.25869039999998</v>
      </c>
      <c r="G216" s="83"/>
      <c r="H216" s="83"/>
      <c r="I216" s="37"/>
      <c r="L216" s="82"/>
      <c r="M216" s="82"/>
      <c r="N216" s="37"/>
    </row>
    <row r="217" spans="1:14" s="49" customFormat="1" ht="15.75" customHeight="1" x14ac:dyDescent="0.35">
      <c r="A217" s="83">
        <f t="shared" si="14"/>
        <v>8</v>
      </c>
      <c r="B217" s="83"/>
      <c r="C217" s="55" t="s">
        <v>186</v>
      </c>
      <c r="D217" s="56">
        <f>(50.913+8.855+0.75*2)*10.764</f>
        <v>659.48875199999998</v>
      </c>
      <c r="E217" s="42">
        <v>0</v>
      </c>
      <c r="F217" s="42">
        <f t="shared" si="15"/>
        <v>956.25869039999998</v>
      </c>
      <c r="G217" s="83"/>
      <c r="H217" s="83"/>
      <c r="I217" s="37"/>
      <c r="L217" s="82"/>
      <c r="M217" s="82"/>
      <c r="N217" s="37"/>
    </row>
    <row r="218" spans="1:14" s="36" customFormat="1" x14ac:dyDescent="0.35">
      <c r="A218" s="196" t="s">
        <v>69</v>
      </c>
      <c r="B218" s="196"/>
      <c r="C218" s="196"/>
      <c r="D218" s="196"/>
      <c r="E218" s="196"/>
      <c r="F218" s="196"/>
      <c r="G218" s="196"/>
      <c r="H218" s="196"/>
    </row>
    <row r="219" spans="1:14" s="36" customFormat="1" x14ac:dyDescent="0.35">
      <c r="A219" s="46" t="s">
        <v>151</v>
      </c>
      <c r="B219" s="68" t="s">
        <v>208</v>
      </c>
      <c r="C219" s="69"/>
      <c r="D219" s="69"/>
      <c r="E219" s="69"/>
      <c r="F219" s="69"/>
      <c r="G219" s="69"/>
      <c r="H219" s="70"/>
    </row>
    <row r="220" spans="1:14" s="36" customFormat="1" ht="15.75" customHeight="1" x14ac:dyDescent="0.35">
      <c r="A220" s="46" t="s">
        <v>151</v>
      </c>
      <c r="B220" s="68" t="str">
        <f>(IF(F157="Saleable area Loading :","We have considered Saleable area of Flats as per our Calculation.","We considered Saleable area of Flat as per Builder area Sheet."))</f>
        <v>We have considered Saleable area of Flats as per our Calculation.</v>
      </c>
      <c r="C220" s="69"/>
      <c r="D220" s="69"/>
      <c r="E220" s="69"/>
      <c r="F220" s="69"/>
      <c r="G220" s="69"/>
      <c r="H220" s="70"/>
    </row>
    <row r="221" spans="1:14" s="36" customFormat="1" x14ac:dyDescent="0.35">
      <c r="A221" s="46" t="s">
        <v>151</v>
      </c>
      <c r="B221" s="68" t="str">
        <f>(IF(F127="Saleable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21" s="69"/>
      <c r="D221" s="69"/>
      <c r="E221" s="69"/>
      <c r="F221" s="69"/>
      <c r="G221" s="69"/>
      <c r="H221" s="70"/>
    </row>
    <row r="222" spans="1:14" s="36" customFormat="1" x14ac:dyDescent="0.35">
      <c r="A222" s="46" t="s">
        <v>151</v>
      </c>
      <c r="B222" s="68" t="s">
        <v>120</v>
      </c>
      <c r="C222" s="69"/>
      <c r="D222" s="69"/>
      <c r="E222" s="69"/>
      <c r="F222" s="69"/>
      <c r="G222" s="69"/>
      <c r="H222" s="70"/>
    </row>
    <row r="223" spans="1:14" s="36" customFormat="1" x14ac:dyDescent="0.35">
      <c r="A223" s="46" t="s">
        <v>151</v>
      </c>
      <c r="B223" s="68" t="s">
        <v>190</v>
      </c>
      <c r="C223" s="69"/>
      <c r="D223" s="69"/>
      <c r="E223" s="69"/>
      <c r="F223" s="69"/>
      <c r="G223" s="69"/>
      <c r="H223" s="70"/>
    </row>
    <row r="224" spans="1:14" s="36" customFormat="1" x14ac:dyDescent="0.35">
      <c r="A224" s="46" t="s">
        <v>151</v>
      </c>
      <c r="B224" s="68" t="s">
        <v>150</v>
      </c>
      <c r="C224" s="69"/>
      <c r="D224" s="69"/>
      <c r="E224" s="69"/>
      <c r="F224" s="69"/>
      <c r="G224" s="69"/>
      <c r="H224" s="70"/>
    </row>
    <row r="225" spans="1:8" s="36" customFormat="1" x14ac:dyDescent="0.35">
      <c r="A225" s="46" t="s">
        <v>151</v>
      </c>
      <c r="B225" s="68" t="s">
        <v>121</v>
      </c>
      <c r="C225" s="69"/>
      <c r="D225" s="69"/>
      <c r="E225" s="69"/>
      <c r="F225" s="69"/>
      <c r="G225" s="69"/>
      <c r="H225" s="70"/>
    </row>
    <row r="226" spans="1:8" s="36" customFormat="1" ht="34.5" customHeight="1" x14ac:dyDescent="0.35">
      <c r="A226" s="46" t="s">
        <v>151</v>
      </c>
      <c r="B226" s="68" t="s">
        <v>152</v>
      </c>
      <c r="C226" s="69"/>
      <c r="D226" s="69"/>
      <c r="E226" s="69"/>
      <c r="F226" s="69"/>
      <c r="G226" s="69"/>
      <c r="H226" s="70"/>
    </row>
    <row r="227" spans="1:8" s="36" customFormat="1" x14ac:dyDescent="0.35">
      <c r="A227" s="46" t="s">
        <v>151</v>
      </c>
      <c r="B227" s="68" t="s">
        <v>122</v>
      </c>
      <c r="C227" s="69"/>
      <c r="D227" s="69"/>
      <c r="E227" s="69"/>
      <c r="F227" s="69"/>
      <c r="G227" s="69"/>
      <c r="H227" s="70"/>
    </row>
    <row r="228" spans="1:8" s="36" customFormat="1" hidden="1" x14ac:dyDescent="0.35">
      <c r="A228" s="46" t="s">
        <v>151</v>
      </c>
      <c r="B228" s="68" t="s">
        <v>209</v>
      </c>
      <c r="C228" s="69"/>
      <c r="D228" s="69"/>
      <c r="E228" s="69"/>
      <c r="F228" s="69"/>
      <c r="G228" s="69"/>
      <c r="H228" s="70"/>
    </row>
    <row r="229" spans="1:8" s="36" customFormat="1" x14ac:dyDescent="0.35">
      <c r="A229" s="60" t="s">
        <v>151</v>
      </c>
      <c r="B229" s="68" t="s">
        <v>206</v>
      </c>
      <c r="C229" s="69"/>
      <c r="D229" s="69"/>
      <c r="E229" s="69"/>
      <c r="F229" s="69"/>
      <c r="G229" s="69"/>
      <c r="H229" s="70"/>
    </row>
    <row r="230" spans="1:8" s="36" customFormat="1" ht="32" customHeight="1" x14ac:dyDescent="0.35">
      <c r="A230" s="61" t="s">
        <v>151</v>
      </c>
      <c r="B230" s="68" t="s">
        <v>212</v>
      </c>
      <c r="C230" s="69"/>
      <c r="D230" s="69"/>
      <c r="E230" s="69"/>
      <c r="F230" s="69"/>
      <c r="G230" s="69"/>
      <c r="H230" s="70"/>
    </row>
    <row r="231" spans="1:8" x14ac:dyDescent="0.35">
      <c r="A231" s="165" t="s">
        <v>62</v>
      </c>
      <c r="B231" s="165"/>
      <c r="C231" s="165"/>
      <c r="D231" s="165"/>
      <c r="E231" s="165"/>
      <c r="F231" s="165"/>
      <c r="G231" s="165"/>
      <c r="H231" s="165"/>
    </row>
    <row r="232" spans="1:8" x14ac:dyDescent="0.35">
      <c r="A232" s="109" t="s">
        <v>63</v>
      </c>
      <c r="B232" s="109"/>
      <c r="C232" s="109"/>
      <c r="D232" s="109"/>
      <c r="E232" s="109"/>
      <c r="F232" s="109"/>
      <c r="G232" s="109"/>
      <c r="H232" s="109"/>
    </row>
    <row r="233" spans="1:8" ht="15.75" customHeight="1" x14ac:dyDescent="0.35">
      <c r="A233" s="188" t="s">
        <v>64</v>
      </c>
      <c r="B233" s="188"/>
      <c r="C233" s="188"/>
      <c r="D233" s="188"/>
      <c r="E233" s="188"/>
      <c r="F233" s="188"/>
      <c r="G233" s="188"/>
      <c r="H233" s="188"/>
    </row>
    <row r="234" spans="1:8" x14ac:dyDescent="0.35">
      <c r="A234" s="109" t="s">
        <v>65</v>
      </c>
      <c r="B234" s="109"/>
      <c r="C234" s="109"/>
      <c r="D234" s="109"/>
      <c r="E234" s="109"/>
      <c r="F234" s="109"/>
      <c r="G234" s="109"/>
      <c r="H234" s="109"/>
    </row>
    <row r="235" spans="1:8" x14ac:dyDescent="0.35">
      <c r="A235" s="109" t="s">
        <v>66</v>
      </c>
      <c r="B235" s="109"/>
      <c r="C235" s="109"/>
      <c r="D235" s="109"/>
      <c r="E235" s="109"/>
      <c r="F235" s="109"/>
      <c r="G235" s="109"/>
      <c r="H235" s="109"/>
    </row>
    <row r="236" spans="1:8" hidden="1" x14ac:dyDescent="0.35">
      <c r="A236" s="109" t="s">
        <v>123</v>
      </c>
      <c r="B236" s="109"/>
      <c r="C236" s="109"/>
      <c r="D236" s="109"/>
      <c r="E236" s="109"/>
      <c r="F236" s="109"/>
      <c r="G236" s="109"/>
      <c r="H236" s="109"/>
    </row>
    <row r="237" spans="1:8" ht="35.25" hidden="1" customHeight="1" x14ac:dyDescent="0.35">
      <c r="A237" s="128" t="s">
        <v>124</v>
      </c>
      <c r="B237" s="128"/>
      <c r="C237" s="128"/>
      <c r="D237" s="128"/>
      <c r="E237" s="128"/>
      <c r="F237" s="128"/>
      <c r="G237" s="128"/>
      <c r="H237" s="128"/>
    </row>
    <row r="238" spans="1:8" x14ac:dyDescent="0.35">
      <c r="A238" s="184" t="s">
        <v>78</v>
      </c>
      <c r="B238" s="184"/>
      <c r="C238" s="184" t="s">
        <v>211</v>
      </c>
      <c r="D238" s="184"/>
      <c r="E238" s="184" t="s">
        <v>101</v>
      </c>
      <c r="F238" s="184"/>
      <c r="G238" s="184" t="s">
        <v>210</v>
      </c>
      <c r="H238" s="184"/>
    </row>
    <row r="239" spans="1:8" x14ac:dyDescent="0.35">
      <c r="A239" s="183" t="s">
        <v>80</v>
      </c>
      <c r="B239" s="183"/>
      <c r="C239" s="183"/>
      <c r="D239" s="183"/>
      <c r="E239" s="183"/>
      <c r="F239" s="183"/>
      <c r="G239" s="183"/>
      <c r="H239" s="183"/>
    </row>
    <row r="240" spans="1:8" x14ac:dyDescent="0.35">
      <c r="A240" s="183"/>
      <c r="B240" s="183"/>
      <c r="C240" s="183"/>
      <c r="D240" s="183"/>
      <c r="E240" s="183"/>
      <c r="F240" s="183"/>
      <c r="G240" s="183"/>
      <c r="H240" s="183"/>
    </row>
    <row r="241" spans="1:8" x14ac:dyDescent="0.35">
      <c r="A241" s="183"/>
      <c r="B241" s="183"/>
      <c r="C241" s="183"/>
      <c r="D241" s="183"/>
      <c r="E241" s="183"/>
      <c r="F241" s="183"/>
      <c r="G241" s="183"/>
      <c r="H241" s="183"/>
    </row>
    <row r="242" spans="1:8" x14ac:dyDescent="0.35">
      <c r="A242" s="183"/>
      <c r="B242" s="183"/>
      <c r="C242" s="183"/>
      <c r="D242" s="183"/>
      <c r="E242" s="183"/>
      <c r="F242" s="183"/>
      <c r="G242" s="183"/>
      <c r="H242" s="183"/>
    </row>
    <row r="243" spans="1:8" x14ac:dyDescent="0.35">
      <c r="A243" s="38" t="s">
        <v>67</v>
      </c>
      <c r="B243" s="39"/>
      <c r="C243" s="39"/>
      <c r="D243" s="38" t="str">
        <f>E8</f>
        <v>Balaji Tulips</v>
      </c>
      <c r="F243" s="39"/>
      <c r="G243" s="39"/>
      <c r="H243" s="39"/>
    </row>
    <row r="244" spans="1:8" x14ac:dyDescent="0.35">
      <c r="A244" s="39"/>
      <c r="B244" s="39"/>
      <c r="C244" s="39"/>
      <c r="D244" s="39"/>
      <c r="E244" s="39"/>
      <c r="F244" s="39"/>
      <c r="G244" s="39"/>
      <c r="H244" s="39"/>
    </row>
    <row r="245" spans="1:8" x14ac:dyDescent="0.35">
      <c r="A245" s="39"/>
      <c r="B245" s="39"/>
      <c r="C245" s="39"/>
      <c r="D245" s="39"/>
      <c r="E245" s="39"/>
      <c r="F245" s="39"/>
      <c r="G245" s="39"/>
      <c r="H245" s="39"/>
    </row>
    <row r="246" spans="1:8" ht="15" customHeight="1" x14ac:dyDescent="0.35"/>
    <row r="287" spans="1:8" x14ac:dyDescent="0.35">
      <c r="A287" s="38" t="s">
        <v>207</v>
      </c>
      <c r="B287" s="39"/>
      <c r="C287" s="39"/>
      <c r="D287" s="38"/>
      <c r="F287" s="39"/>
      <c r="G287" s="39"/>
      <c r="H287" s="39"/>
    </row>
    <row r="288" spans="1:8" x14ac:dyDescent="0.35">
      <c r="A288" s="39"/>
      <c r="B288" s="39"/>
      <c r="C288" s="39"/>
      <c r="D288" s="39"/>
      <c r="E288" s="39"/>
      <c r="F288" s="39"/>
      <c r="G288" s="39"/>
      <c r="H288" s="39"/>
    </row>
    <row r="289" spans="1:8" x14ac:dyDescent="0.35">
      <c r="A289" s="39"/>
      <c r="B289" s="39"/>
      <c r="C289" s="39"/>
      <c r="D289" s="39"/>
      <c r="E289" s="39"/>
      <c r="F289" s="39"/>
      <c r="G289" s="39"/>
      <c r="H289" s="39"/>
    </row>
    <row r="290" spans="1:8" ht="15" customHeight="1" x14ac:dyDescent="0.35"/>
    <row r="322" spans="1:1" x14ac:dyDescent="0.35">
      <c r="A322" s="41" t="s">
        <v>68</v>
      </c>
    </row>
  </sheetData>
  <mergeCells count="450">
    <mergeCell ref="E40:H40"/>
    <mergeCell ref="A40:D40"/>
    <mergeCell ref="A236:H236"/>
    <mergeCell ref="A233:H233"/>
    <mergeCell ref="A121:B121"/>
    <mergeCell ref="D157:D158"/>
    <mergeCell ref="E157:E158"/>
    <mergeCell ref="G157:H158"/>
    <mergeCell ref="A105:B105"/>
    <mergeCell ref="F110:H110"/>
    <mergeCell ref="G117:H117"/>
    <mergeCell ref="A108:B108"/>
    <mergeCell ref="A47:B47"/>
    <mergeCell ref="C47:E47"/>
    <mergeCell ref="G47:H47"/>
    <mergeCell ref="G49:H49"/>
    <mergeCell ref="D54:H54"/>
    <mergeCell ref="C49:E49"/>
    <mergeCell ref="B219:H219"/>
    <mergeCell ref="B220:H220"/>
    <mergeCell ref="B222:H222"/>
    <mergeCell ref="B223:H223"/>
    <mergeCell ref="A218:H218"/>
    <mergeCell ref="A160:H160"/>
    <mergeCell ref="A162:B162"/>
    <mergeCell ref="A163:B163"/>
    <mergeCell ref="A129:H129"/>
    <mergeCell ref="A151:B151"/>
    <mergeCell ref="C157:C158"/>
    <mergeCell ref="A180:H180"/>
    <mergeCell ref="A170:H170"/>
    <mergeCell ref="A156:H156"/>
    <mergeCell ref="A157:A158"/>
    <mergeCell ref="B157:B158"/>
    <mergeCell ref="A149:B149"/>
    <mergeCell ref="A155:B155"/>
    <mergeCell ref="A130:H130"/>
    <mergeCell ref="A150:B150"/>
    <mergeCell ref="A204:B204"/>
    <mergeCell ref="A239:H242"/>
    <mergeCell ref="A238:B238"/>
    <mergeCell ref="E238:F238"/>
    <mergeCell ref="C238:D238"/>
    <mergeCell ref="G238:H238"/>
    <mergeCell ref="A115:H115"/>
    <mergeCell ref="A113:E113"/>
    <mergeCell ref="F113:H113"/>
    <mergeCell ref="A114:E114"/>
    <mergeCell ref="F114:H114"/>
    <mergeCell ref="A122:B122"/>
    <mergeCell ref="A117:B117"/>
    <mergeCell ref="A234:H234"/>
    <mergeCell ref="A120:H120"/>
    <mergeCell ref="A237:H237"/>
    <mergeCell ref="A235:H235"/>
    <mergeCell ref="A231:H231"/>
    <mergeCell ref="A232:H232"/>
    <mergeCell ref="B227:H227"/>
    <mergeCell ref="B228:H228"/>
    <mergeCell ref="B225:H225"/>
    <mergeCell ref="B221:H221"/>
    <mergeCell ref="A125:H125"/>
    <mergeCell ref="A126:H126"/>
    <mergeCell ref="A62:C62"/>
    <mergeCell ref="D62:H62"/>
    <mergeCell ref="A63:C63"/>
    <mergeCell ref="D63:H63"/>
    <mergeCell ref="A66:C66"/>
    <mergeCell ref="D66:H66"/>
    <mergeCell ref="A64:C64"/>
    <mergeCell ref="D64:H64"/>
    <mergeCell ref="A65:C65"/>
    <mergeCell ref="D65:H65"/>
    <mergeCell ref="A95:B95"/>
    <mergeCell ref="C95:H95"/>
    <mergeCell ref="A99:B99"/>
    <mergeCell ref="E99:F108"/>
    <mergeCell ref="F109:H109"/>
    <mergeCell ref="F112:H112"/>
    <mergeCell ref="A97:B97"/>
    <mergeCell ref="C97:H97"/>
    <mergeCell ref="A98:B98"/>
    <mergeCell ref="C117:D117"/>
    <mergeCell ref="E117:F117"/>
    <mergeCell ref="E98:F98"/>
    <mergeCell ref="G99:H10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35:H35"/>
    <mergeCell ref="A34:B34"/>
    <mergeCell ref="C34:E34"/>
    <mergeCell ref="A39:D39"/>
    <mergeCell ref="E39:H39"/>
    <mergeCell ref="F31:H31"/>
    <mergeCell ref="F32:H32"/>
    <mergeCell ref="A38:H38"/>
    <mergeCell ref="A60:C60"/>
    <mergeCell ref="F34:H34"/>
    <mergeCell ref="A36:B36"/>
    <mergeCell ref="C36:H36"/>
    <mergeCell ref="A56:C56"/>
    <mergeCell ref="G48:H48"/>
    <mergeCell ref="A49:B50"/>
    <mergeCell ref="A57:C59"/>
    <mergeCell ref="D57:H57"/>
    <mergeCell ref="D58:H58"/>
    <mergeCell ref="C48:E48"/>
    <mergeCell ref="C51:E51"/>
    <mergeCell ref="A48:B48"/>
    <mergeCell ref="A53:H53"/>
    <mergeCell ref="A54:C54"/>
    <mergeCell ref="A55:C55"/>
    <mergeCell ref="A61:C61"/>
    <mergeCell ref="D60:H60"/>
    <mergeCell ref="D61:H61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6:H56"/>
    <mergeCell ref="D55:H55"/>
    <mergeCell ref="G51:H51"/>
    <mergeCell ref="D59:H59"/>
    <mergeCell ref="A51:B52"/>
    <mergeCell ref="C52:H52"/>
    <mergeCell ref="C50:H50"/>
    <mergeCell ref="E116:F116"/>
    <mergeCell ref="A116:B116"/>
    <mergeCell ref="C116:D116"/>
    <mergeCell ref="A118:B118"/>
    <mergeCell ref="G124:H124"/>
    <mergeCell ref="C118:D118"/>
    <mergeCell ref="E118:F118"/>
    <mergeCell ref="G118:H118"/>
    <mergeCell ref="A119:B119"/>
    <mergeCell ref="C122:D122"/>
    <mergeCell ref="E122:F122"/>
    <mergeCell ref="G122:H122"/>
    <mergeCell ref="A107:B107"/>
    <mergeCell ref="A134:B134"/>
    <mergeCell ref="A112:E112"/>
    <mergeCell ref="G116:H116"/>
    <mergeCell ref="C119:D119"/>
    <mergeCell ref="E119:F119"/>
    <mergeCell ref="G119:H119"/>
    <mergeCell ref="A123:B123"/>
    <mergeCell ref="C123:D123"/>
    <mergeCell ref="E123:F123"/>
    <mergeCell ref="G123:H123"/>
    <mergeCell ref="C121:D121"/>
    <mergeCell ref="G121:H121"/>
    <mergeCell ref="C124:D124"/>
    <mergeCell ref="E124:F124"/>
    <mergeCell ref="A110:E110"/>
    <mergeCell ref="A127:A128"/>
    <mergeCell ref="B127:B128"/>
    <mergeCell ref="C127:C128"/>
    <mergeCell ref="D127:D128"/>
    <mergeCell ref="E127:E128"/>
    <mergeCell ref="G127:H128"/>
    <mergeCell ref="E121:F121"/>
    <mergeCell ref="A124:B124"/>
    <mergeCell ref="A15:B15"/>
    <mergeCell ref="C15:H15"/>
    <mergeCell ref="A37:B37"/>
    <mergeCell ref="C37:H37"/>
    <mergeCell ref="B226:H226"/>
    <mergeCell ref="A46:B46"/>
    <mergeCell ref="C46:H46"/>
    <mergeCell ref="B224:H224"/>
    <mergeCell ref="A100:B100"/>
    <mergeCell ref="A101:B101"/>
    <mergeCell ref="F111:H111"/>
    <mergeCell ref="A111:E111"/>
    <mergeCell ref="A131:B131"/>
    <mergeCell ref="A132:B132"/>
    <mergeCell ref="A133:B133"/>
    <mergeCell ref="G98:H98"/>
    <mergeCell ref="A147:B147"/>
    <mergeCell ref="A178:B178"/>
    <mergeCell ref="G210:H217"/>
    <mergeCell ref="A216:B216"/>
    <mergeCell ref="A109:E109"/>
    <mergeCell ref="A161:B161"/>
    <mergeCell ref="A102:B102"/>
    <mergeCell ref="A103:B103"/>
    <mergeCell ref="L150:M150"/>
    <mergeCell ref="L139:M139"/>
    <mergeCell ref="A140:B140"/>
    <mergeCell ref="L140:M140"/>
    <mergeCell ref="A141:B141"/>
    <mergeCell ref="L141:M141"/>
    <mergeCell ref="A142:B142"/>
    <mergeCell ref="L142:M142"/>
    <mergeCell ref="L147:M147"/>
    <mergeCell ref="A148:B148"/>
    <mergeCell ref="L148:M148"/>
    <mergeCell ref="A143:H143"/>
    <mergeCell ref="A144:H144"/>
    <mergeCell ref="L134:M134"/>
    <mergeCell ref="L133:M133"/>
    <mergeCell ref="A145:B145"/>
    <mergeCell ref="L145:M145"/>
    <mergeCell ref="A146:B146"/>
    <mergeCell ref="L146:M146"/>
    <mergeCell ref="A139:B139"/>
    <mergeCell ref="G131:H142"/>
    <mergeCell ref="L132:M132"/>
    <mergeCell ref="L135:M135"/>
    <mergeCell ref="A136:B136"/>
    <mergeCell ref="L136:M136"/>
    <mergeCell ref="A137:B137"/>
    <mergeCell ref="L137:M137"/>
    <mergeCell ref="A138:B138"/>
    <mergeCell ref="L138:M138"/>
    <mergeCell ref="A135:B135"/>
    <mergeCell ref="L131:M131"/>
    <mergeCell ref="L155:M155"/>
    <mergeCell ref="A159:H159"/>
    <mergeCell ref="A167:B167"/>
    <mergeCell ref="L167:M167"/>
    <mergeCell ref="A166:B166"/>
    <mergeCell ref="L166:M166"/>
    <mergeCell ref="A165:B165"/>
    <mergeCell ref="L165:M165"/>
    <mergeCell ref="A164:B164"/>
    <mergeCell ref="L164:M164"/>
    <mergeCell ref="L161:M161"/>
    <mergeCell ref="L162:M162"/>
    <mergeCell ref="L163:M163"/>
    <mergeCell ref="G161:H169"/>
    <mergeCell ref="G145:H155"/>
    <mergeCell ref="A168:B168"/>
    <mergeCell ref="L151:M151"/>
    <mergeCell ref="A152:B152"/>
    <mergeCell ref="L152:M152"/>
    <mergeCell ref="A153:B153"/>
    <mergeCell ref="L153:M153"/>
    <mergeCell ref="A154:B154"/>
    <mergeCell ref="L154:M154"/>
    <mergeCell ref="L149:M149"/>
    <mergeCell ref="L193:M193"/>
    <mergeCell ref="A194:B194"/>
    <mergeCell ref="L194:M194"/>
    <mergeCell ref="L177:M177"/>
    <mergeCell ref="L168:M168"/>
    <mergeCell ref="A169:B169"/>
    <mergeCell ref="L169:M169"/>
    <mergeCell ref="A174:B174"/>
    <mergeCell ref="L174:M174"/>
    <mergeCell ref="A175:B175"/>
    <mergeCell ref="L175:M175"/>
    <mergeCell ref="A176:B176"/>
    <mergeCell ref="L176:M176"/>
    <mergeCell ref="G171:H179"/>
    <mergeCell ref="A177:B177"/>
    <mergeCell ref="A171:B171"/>
    <mergeCell ref="L171:M171"/>
    <mergeCell ref="A172:B172"/>
    <mergeCell ref="L172:M172"/>
    <mergeCell ref="A173:B173"/>
    <mergeCell ref="L173:M173"/>
    <mergeCell ref="L204:M204"/>
    <mergeCell ref="A205:B205"/>
    <mergeCell ref="L205:M205"/>
    <mergeCell ref="A201:B201"/>
    <mergeCell ref="L201:M201"/>
    <mergeCell ref="A202:B202"/>
    <mergeCell ref="L202:M202"/>
    <mergeCell ref="L178:M178"/>
    <mergeCell ref="A179:B179"/>
    <mergeCell ref="L179:M179"/>
    <mergeCell ref="A198:B198"/>
    <mergeCell ref="L198:M198"/>
    <mergeCell ref="A199:B199"/>
    <mergeCell ref="L199:M199"/>
    <mergeCell ref="A195:B195"/>
    <mergeCell ref="L195:M195"/>
    <mergeCell ref="A196:B196"/>
    <mergeCell ref="L196:M196"/>
    <mergeCell ref="A197:B197"/>
    <mergeCell ref="L197:M197"/>
    <mergeCell ref="A190:H190"/>
    <mergeCell ref="A191:H191"/>
    <mergeCell ref="A192:B192"/>
    <mergeCell ref="L192:M192"/>
    <mergeCell ref="L206:M206"/>
    <mergeCell ref="A207:B207"/>
    <mergeCell ref="L207:M207"/>
    <mergeCell ref="A200:H200"/>
    <mergeCell ref="A208:B208"/>
    <mergeCell ref="L208:M208"/>
    <mergeCell ref="A203:B203"/>
    <mergeCell ref="A184:B184"/>
    <mergeCell ref="L184:M184"/>
    <mergeCell ref="A185:B185"/>
    <mergeCell ref="L185:M185"/>
    <mergeCell ref="A186:B186"/>
    <mergeCell ref="L186:M186"/>
    <mergeCell ref="G201:H208"/>
    <mergeCell ref="G192:H199"/>
    <mergeCell ref="G181:H189"/>
    <mergeCell ref="A206:B206"/>
    <mergeCell ref="A181:B181"/>
    <mergeCell ref="L181:M181"/>
    <mergeCell ref="A182:B182"/>
    <mergeCell ref="L182:M182"/>
    <mergeCell ref="A183:B183"/>
    <mergeCell ref="L183:M183"/>
    <mergeCell ref="L203:M203"/>
    <mergeCell ref="L216:M216"/>
    <mergeCell ref="A217:B217"/>
    <mergeCell ref="L217:M217"/>
    <mergeCell ref="C185:F185"/>
    <mergeCell ref="C210:F210"/>
    <mergeCell ref="A213:B213"/>
    <mergeCell ref="L213:M213"/>
    <mergeCell ref="A214:B214"/>
    <mergeCell ref="L214:M214"/>
    <mergeCell ref="A215:B215"/>
    <mergeCell ref="L215:M215"/>
    <mergeCell ref="A209:H209"/>
    <mergeCell ref="A210:B210"/>
    <mergeCell ref="L210:M210"/>
    <mergeCell ref="A211:B211"/>
    <mergeCell ref="L211:M211"/>
    <mergeCell ref="A212:B212"/>
    <mergeCell ref="L212:M212"/>
    <mergeCell ref="A187:B187"/>
    <mergeCell ref="L187:M187"/>
    <mergeCell ref="A188:B188"/>
    <mergeCell ref="L188:M188"/>
    <mergeCell ref="A189:B189"/>
    <mergeCell ref="L189:M189"/>
    <mergeCell ref="A67:B67"/>
    <mergeCell ref="C67:H67"/>
    <mergeCell ref="A69:B69"/>
    <mergeCell ref="C69:H69"/>
    <mergeCell ref="A70:B70"/>
    <mergeCell ref="E70:F70"/>
    <mergeCell ref="G70:H70"/>
    <mergeCell ref="A71:B71"/>
    <mergeCell ref="E71:F80"/>
    <mergeCell ref="G71:H80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B230:H230"/>
    <mergeCell ref="B229:H229"/>
    <mergeCell ref="A81:B81"/>
    <mergeCell ref="C81:H81"/>
    <mergeCell ref="A83:B83"/>
    <mergeCell ref="C83:H83"/>
    <mergeCell ref="A84:B84"/>
    <mergeCell ref="E84:F84"/>
    <mergeCell ref="G84:H84"/>
    <mergeCell ref="A85:B85"/>
    <mergeCell ref="E85:F94"/>
    <mergeCell ref="G85:H94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193:B193"/>
    <mergeCell ref="A104:B104"/>
    <mergeCell ref="A106:B106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42" max="16383" man="1"/>
    <brk id="285" max="16383" man="1"/>
    <brk id="32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7" t="s">
        <v>102</v>
      </c>
      <c r="C3" s="197"/>
      <c r="D3" s="197"/>
      <c r="E3" s="197"/>
      <c r="F3" s="197"/>
      <c r="G3" s="197"/>
      <c r="H3" s="197"/>
    </row>
    <row r="4" spans="1:9" x14ac:dyDescent="0.35">
      <c r="A4" s="2"/>
      <c r="B4" s="3" t="s">
        <v>103</v>
      </c>
      <c r="C4" s="3" t="s">
        <v>104</v>
      </c>
      <c r="D4" s="3" t="s">
        <v>70</v>
      </c>
      <c r="E4" s="3" t="s">
        <v>105</v>
      </c>
      <c r="F4" s="3" t="s">
        <v>111</v>
      </c>
      <c r="G4" s="3" t="s">
        <v>112</v>
      </c>
      <c r="H4" s="3" t="s">
        <v>106</v>
      </c>
    </row>
    <row r="5" spans="1:9" ht="15" customHeight="1" x14ac:dyDescent="0.35">
      <c r="A5" s="2"/>
      <c r="B5" s="5" t="s">
        <v>107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107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107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107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107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108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108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109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110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2025-04-19T10:06:37Z</cp:lastPrinted>
  <dcterms:created xsi:type="dcterms:W3CDTF">2019-07-16T09:29:46Z</dcterms:created>
  <dcterms:modified xsi:type="dcterms:W3CDTF">2025-08-23T10:02:21Z</dcterms:modified>
</cp:coreProperties>
</file>