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August 2025\24-08-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Report!$A$1:$H$662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35" i="1" l="1"/>
  <c r="G434" i="1"/>
  <c r="G433" i="1"/>
  <c r="G366" i="1"/>
  <c r="G365" i="1"/>
  <c r="G364" i="1"/>
  <c r="G363" i="1"/>
  <c r="G325" i="1"/>
  <c r="G324" i="1"/>
  <c r="G323" i="1"/>
  <c r="G283" i="1"/>
  <c r="G282" i="1"/>
  <c r="G281" i="1"/>
  <c r="G280" i="1"/>
  <c r="G279" i="1"/>
  <c r="I376" i="1"/>
  <c r="J376" i="1" s="1"/>
  <c r="D455" i="1" l="1"/>
  <c r="E258" i="1"/>
  <c r="D258" i="1"/>
  <c r="E257" i="1"/>
  <c r="D257" i="1"/>
  <c r="J240" i="1"/>
  <c r="I240" i="1"/>
  <c r="I155" i="1" l="1"/>
  <c r="E472" i="1"/>
  <c r="D472" i="1"/>
  <c r="E471" i="1"/>
  <c r="D471" i="1"/>
  <c r="F471" i="1" s="1"/>
  <c r="H471" i="1" s="1"/>
  <c r="E470" i="1"/>
  <c r="D470" i="1"/>
  <c r="E469" i="1"/>
  <c r="D469" i="1"/>
  <c r="E468" i="1"/>
  <c r="D468" i="1"/>
  <c r="E467" i="1"/>
  <c r="D467" i="1"/>
  <c r="F467" i="1" s="1"/>
  <c r="H467" i="1" s="1"/>
  <c r="E465" i="1"/>
  <c r="D465" i="1"/>
  <c r="E464" i="1"/>
  <c r="D464" i="1"/>
  <c r="E463" i="1"/>
  <c r="D463" i="1"/>
  <c r="E462" i="1"/>
  <c r="D462" i="1"/>
  <c r="F462" i="1" s="1"/>
  <c r="H462" i="1" s="1"/>
  <c r="E461" i="1"/>
  <c r="D461" i="1"/>
  <c r="E460" i="1"/>
  <c r="D460" i="1"/>
  <c r="E458" i="1"/>
  <c r="D458" i="1"/>
  <c r="E457" i="1"/>
  <c r="D457" i="1"/>
  <c r="E456" i="1"/>
  <c r="D456" i="1"/>
  <c r="E455" i="1"/>
  <c r="E454" i="1"/>
  <c r="D454" i="1"/>
  <c r="E453" i="1"/>
  <c r="D453" i="1"/>
  <c r="E451" i="1"/>
  <c r="D451" i="1"/>
  <c r="E450" i="1"/>
  <c r="D450" i="1"/>
  <c r="E449" i="1"/>
  <c r="D449" i="1"/>
  <c r="E448" i="1"/>
  <c r="D448" i="1"/>
  <c r="E447" i="1"/>
  <c r="D447" i="1"/>
  <c r="E446" i="1"/>
  <c r="D446" i="1"/>
  <c r="D443" i="1"/>
  <c r="E443" i="1"/>
  <c r="D444" i="1"/>
  <c r="E444" i="1"/>
  <c r="E442" i="1"/>
  <c r="D442" i="1"/>
  <c r="E441" i="1"/>
  <c r="D441" i="1"/>
  <c r="E440" i="1"/>
  <c r="D440" i="1"/>
  <c r="E439" i="1"/>
  <c r="D439" i="1"/>
  <c r="D436" i="1"/>
  <c r="D435" i="1"/>
  <c r="D434" i="1"/>
  <c r="D433" i="1"/>
  <c r="D429" i="1"/>
  <c r="D428" i="1"/>
  <c r="D423" i="1"/>
  <c r="D422" i="1"/>
  <c r="D420" i="1"/>
  <c r="D419" i="1"/>
  <c r="D414" i="1"/>
  <c r="D413" i="1"/>
  <c r="D411" i="1"/>
  <c r="C160" i="1" s="1"/>
  <c r="D410" i="1"/>
  <c r="D405" i="1"/>
  <c r="D404" i="1"/>
  <c r="D402" i="1"/>
  <c r="D401" i="1"/>
  <c r="D396" i="1"/>
  <c r="D395" i="1"/>
  <c r="D393" i="1"/>
  <c r="D392" i="1"/>
  <c r="D387" i="1"/>
  <c r="D386" i="1"/>
  <c r="D384" i="1"/>
  <c r="F384" i="1" s="1"/>
  <c r="H384" i="1" s="1"/>
  <c r="D383" i="1"/>
  <c r="D378" i="1"/>
  <c r="D377" i="1"/>
  <c r="D375" i="1"/>
  <c r="D374" i="1"/>
  <c r="D369" i="1"/>
  <c r="D368" i="1"/>
  <c r="D364" i="1"/>
  <c r="D363" i="1"/>
  <c r="E435" i="1"/>
  <c r="E436" i="1"/>
  <c r="E434" i="1"/>
  <c r="E433" i="1"/>
  <c r="E429" i="1"/>
  <c r="E428" i="1"/>
  <c r="E427" i="1"/>
  <c r="D427" i="1"/>
  <c r="E426" i="1"/>
  <c r="D426" i="1"/>
  <c r="E425" i="1"/>
  <c r="F425" i="1" s="1"/>
  <c r="H425" i="1" s="1"/>
  <c r="D425" i="1"/>
  <c r="E424" i="1"/>
  <c r="D424" i="1"/>
  <c r="E423" i="1"/>
  <c r="E422" i="1"/>
  <c r="E383" i="1"/>
  <c r="E420" i="1"/>
  <c r="E419" i="1"/>
  <c r="E414" i="1"/>
  <c r="E413" i="1"/>
  <c r="E411" i="1"/>
  <c r="E410" i="1"/>
  <c r="E405" i="1"/>
  <c r="E404" i="1"/>
  <c r="E364" i="1"/>
  <c r="E363" i="1"/>
  <c r="E369" i="1"/>
  <c r="E368" i="1"/>
  <c r="E375" i="1"/>
  <c r="E374" i="1"/>
  <c r="E378" i="1"/>
  <c r="E377" i="1"/>
  <c r="E387" i="1"/>
  <c r="E386" i="1"/>
  <c r="E393" i="1"/>
  <c r="E392" i="1"/>
  <c r="E402" i="1"/>
  <c r="E401" i="1"/>
  <c r="F401" i="1" s="1"/>
  <c r="H401" i="1" s="1"/>
  <c r="E396" i="1"/>
  <c r="E395" i="1"/>
  <c r="E418" i="1"/>
  <c r="D418" i="1"/>
  <c r="E417" i="1"/>
  <c r="D417" i="1"/>
  <c r="E416" i="1"/>
  <c r="D416" i="1"/>
  <c r="A414" i="1"/>
  <c r="A415" i="1" s="1"/>
  <c r="A416" i="1" s="1"/>
  <c r="A417" i="1" s="1"/>
  <c r="A418" i="1" s="1"/>
  <c r="A419" i="1" s="1"/>
  <c r="A420" i="1" s="1"/>
  <c r="E409" i="1"/>
  <c r="D409" i="1"/>
  <c r="E408" i="1"/>
  <c r="D408" i="1"/>
  <c r="E407" i="1"/>
  <c r="D407" i="1"/>
  <c r="E406" i="1"/>
  <c r="D406" i="1"/>
  <c r="A428" i="1"/>
  <c r="A429" i="1" s="1"/>
  <c r="A405" i="1"/>
  <c r="A406" i="1" s="1"/>
  <c r="A407" i="1" s="1"/>
  <c r="A408" i="1" s="1"/>
  <c r="A409" i="1" s="1"/>
  <c r="A410" i="1" s="1"/>
  <c r="A411" i="1" s="1"/>
  <c r="E400" i="1"/>
  <c r="D400" i="1"/>
  <c r="E399" i="1"/>
  <c r="D399" i="1"/>
  <c r="E398" i="1"/>
  <c r="D398" i="1"/>
  <c r="E397" i="1"/>
  <c r="D397" i="1"/>
  <c r="E391" i="1"/>
  <c r="D391" i="1"/>
  <c r="E390" i="1"/>
  <c r="D390" i="1"/>
  <c r="E389" i="1"/>
  <c r="D389" i="1"/>
  <c r="A387" i="1"/>
  <c r="A388" i="1" s="1"/>
  <c r="A389" i="1" s="1"/>
  <c r="A390" i="1" s="1"/>
  <c r="A391" i="1" s="1"/>
  <c r="A392" i="1" s="1"/>
  <c r="A393" i="1" s="1"/>
  <c r="A396" i="1"/>
  <c r="A397" i="1" s="1"/>
  <c r="A398" i="1" s="1"/>
  <c r="A399" i="1" s="1"/>
  <c r="A400" i="1" s="1"/>
  <c r="A401" i="1" s="1"/>
  <c r="A402" i="1" s="1"/>
  <c r="E382" i="1"/>
  <c r="D382" i="1"/>
  <c r="E381" i="1"/>
  <c r="D381" i="1"/>
  <c r="E380" i="1"/>
  <c r="D380" i="1"/>
  <c r="E379" i="1"/>
  <c r="D379" i="1"/>
  <c r="D372" i="1"/>
  <c r="E372" i="1"/>
  <c r="D373" i="1"/>
  <c r="E373" i="1"/>
  <c r="E371" i="1"/>
  <c r="D371" i="1"/>
  <c r="E370" i="1"/>
  <c r="D370" i="1"/>
  <c r="E366" i="1"/>
  <c r="D366" i="1"/>
  <c r="E365" i="1"/>
  <c r="D365" i="1"/>
  <c r="H437" i="1"/>
  <c r="H432" i="1"/>
  <c r="A383" i="1"/>
  <c r="A384" i="1" s="1"/>
  <c r="A369" i="1"/>
  <c r="A370" i="1" s="1"/>
  <c r="A371" i="1" s="1"/>
  <c r="A372" i="1" s="1"/>
  <c r="A373" i="1" s="1"/>
  <c r="A374" i="1" s="1"/>
  <c r="A375" i="1" s="1"/>
  <c r="E343" i="1"/>
  <c r="D343" i="1"/>
  <c r="E360" i="1"/>
  <c r="D360" i="1"/>
  <c r="E359" i="1"/>
  <c r="D359" i="1"/>
  <c r="E358" i="1"/>
  <c r="D358" i="1"/>
  <c r="E357" i="1"/>
  <c r="D357" i="1"/>
  <c r="E356" i="1"/>
  <c r="D356" i="1"/>
  <c r="E355" i="1"/>
  <c r="D355" i="1"/>
  <c r="E353" i="1"/>
  <c r="D353" i="1"/>
  <c r="E352" i="1"/>
  <c r="D352" i="1"/>
  <c r="E351" i="1"/>
  <c r="D351" i="1"/>
  <c r="E350" i="1"/>
  <c r="D350" i="1"/>
  <c r="E349" i="1"/>
  <c r="D349" i="1"/>
  <c r="E348" i="1"/>
  <c r="D348" i="1"/>
  <c r="D346" i="1"/>
  <c r="E346" i="1"/>
  <c r="E345" i="1"/>
  <c r="D345" i="1"/>
  <c r="E344" i="1"/>
  <c r="D344" i="1"/>
  <c r="E342" i="1"/>
  <c r="D342" i="1"/>
  <c r="E341" i="1"/>
  <c r="D341" i="1"/>
  <c r="E339" i="1"/>
  <c r="D339" i="1"/>
  <c r="E338" i="1"/>
  <c r="D338" i="1"/>
  <c r="E337" i="1"/>
  <c r="D337" i="1"/>
  <c r="E336" i="1"/>
  <c r="D336" i="1"/>
  <c r="E335" i="1"/>
  <c r="D335" i="1"/>
  <c r="E334" i="1"/>
  <c r="D334" i="1"/>
  <c r="D331" i="1"/>
  <c r="E331" i="1"/>
  <c r="D332" i="1"/>
  <c r="E332" i="1"/>
  <c r="E330" i="1"/>
  <c r="D330" i="1"/>
  <c r="E329" i="1"/>
  <c r="D329" i="1"/>
  <c r="E328" i="1"/>
  <c r="D328" i="1"/>
  <c r="E327" i="1"/>
  <c r="D327" i="1"/>
  <c r="A328" i="1"/>
  <c r="A329" i="1" s="1"/>
  <c r="A330" i="1" s="1"/>
  <c r="A331" i="1" s="1"/>
  <c r="A332" i="1" s="1"/>
  <c r="F477" i="1"/>
  <c r="H477" i="1" s="1"/>
  <c r="F476" i="1"/>
  <c r="H476" i="1" s="1"/>
  <c r="F475" i="1"/>
  <c r="H475" i="1" s="1"/>
  <c r="A475" i="1"/>
  <c r="A476" i="1" s="1"/>
  <c r="A477" i="1" s="1"/>
  <c r="F474" i="1"/>
  <c r="H474" i="1" s="1"/>
  <c r="D323" i="1"/>
  <c r="E323" i="1"/>
  <c r="D324" i="1"/>
  <c r="E324" i="1"/>
  <c r="D325" i="1"/>
  <c r="E325" i="1"/>
  <c r="E322" i="1"/>
  <c r="D322" i="1"/>
  <c r="E319" i="1"/>
  <c r="D319" i="1"/>
  <c r="E318" i="1"/>
  <c r="D318" i="1"/>
  <c r="E317" i="1"/>
  <c r="D317" i="1"/>
  <c r="E316" i="1"/>
  <c r="D316" i="1"/>
  <c r="E315" i="1"/>
  <c r="D315" i="1"/>
  <c r="E314" i="1"/>
  <c r="D314" i="1"/>
  <c r="E312" i="1"/>
  <c r="D312" i="1"/>
  <c r="E311" i="1"/>
  <c r="D311" i="1"/>
  <c r="E310" i="1"/>
  <c r="D310" i="1"/>
  <c r="E309" i="1"/>
  <c r="D309" i="1"/>
  <c r="E308" i="1"/>
  <c r="D308" i="1"/>
  <c r="E307" i="1"/>
  <c r="D307" i="1"/>
  <c r="E303" i="1"/>
  <c r="D303" i="1"/>
  <c r="E305" i="1"/>
  <c r="D305" i="1"/>
  <c r="E304" i="1"/>
  <c r="D304" i="1"/>
  <c r="D301" i="1"/>
  <c r="E301" i="1"/>
  <c r="D302" i="1"/>
  <c r="E302" i="1"/>
  <c r="E300" i="1"/>
  <c r="D300" i="1"/>
  <c r="E298" i="1"/>
  <c r="D298" i="1"/>
  <c r="E297" i="1"/>
  <c r="D297" i="1"/>
  <c r="E296" i="1"/>
  <c r="D296" i="1"/>
  <c r="E295" i="1"/>
  <c r="D295" i="1"/>
  <c r="E294" i="1"/>
  <c r="D294" i="1"/>
  <c r="E293" i="1"/>
  <c r="D293" i="1"/>
  <c r="E291" i="1"/>
  <c r="D291" i="1"/>
  <c r="E290" i="1"/>
  <c r="D290" i="1"/>
  <c r="E289" i="1"/>
  <c r="D289" i="1"/>
  <c r="E288" i="1"/>
  <c r="D288" i="1"/>
  <c r="E287" i="1"/>
  <c r="D287" i="1"/>
  <c r="E286" i="1"/>
  <c r="D286" i="1"/>
  <c r="D281" i="1"/>
  <c r="E281" i="1"/>
  <c r="D282" i="1"/>
  <c r="E282" i="1"/>
  <c r="D283" i="1"/>
  <c r="E283" i="1"/>
  <c r="E284" i="1"/>
  <c r="D284" i="1"/>
  <c r="D280" i="1"/>
  <c r="E280" i="1"/>
  <c r="E279" i="1"/>
  <c r="D279" i="1"/>
  <c r="I249" i="1"/>
  <c r="E262" i="1"/>
  <c r="D262" i="1"/>
  <c r="E261" i="1"/>
  <c r="D261" i="1"/>
  <c r="E260" i="1"/>
  <c r="D260" i="1"/>
  <c r="E276" i="1"/>
  <c r="D276" i="1"/>
  <c r="D275" i="1"/>
  <c r="E275" i="1"/>
  <c r="E274" i="1"/>
  <c r="D274" i="1"/>
  <c r="E273" i="1"/>
  <c r="D273" i="1"/>
  <c r="E272" i="1"/>
  <c r="D272" i="1"/>
  <c r="E271" i="1"/>
  <c r="D271" i="1"/>
  <c r="E269" i="1"/>
  <c r="D269" i="1"/>
  <c r="E268" i="1"/>
  <c r="D268" i="1"/>
  <c r="E267" i="1"/>
  <c r="D267" i="1"/>
  <c r="E266" i="1"/>
  <c r="D266" i="1"/>
  <c r="E265" i="1"/>
  <c r="D265" i="1"/>
  <c r="E264" i="1"/>
  <c r="D264" i="1"/>
  <c r="E255" i="1"/>
  <c r="D255" i="1"/>
  <c r="E254" i="1"/>
  <c r="D254" i="1"/>
  <c r="E253" i="1"/>
  <c r="D253" i="1"/>
  <c r="E252" i="1"/>
  <c r="D252" i="1"/>
  <c r="E251" i="1"/>
  <c r="D251" i="1"/>
  <c r="E250" i="1"/>
  <c r="D250" i="1"/>
  <c r="E248" i="1"/>
  <c r="D248" i="1"/>
  <c r="E247" i="1"/>
  <c r="D247" i="1"/>
  <c r="E246" i="1"/>
  <c r="D246" i="1"/>
  <c r="E245" i="1"/>
  <c r="D245" i="1"/>
  <c r="E244" i="1"/>
  <c r="D244" i="1"/>
  <c r="E243" i="1"/>
  <c r="D243" i="1"/>
  <c r="E241" i="1"/>
  <c r="D241" i="1"/>
  <c r="E240" i="1"/>
  <c r="D240" i="1"/>
  <c r="E239" i="1"/>
  <c r="D239" i="1"/>
  <c r="J239" i="1"/>
  <c r="J243" i="1"/>
  <c r="I239" i="1"/>
  <c r="I243" i="1"/>
  <c r="A272" i="1"/>
  <c r="A273" i="1" s="1"/>
  <c r="A274" i="1" s="1"/>
  <c r="A275" i="1" s="1"/>
  <c r="A276" i="1" s="1"/>
  <c r="F484" i="1"/>
  <c r="H484" i="1" s="1"/>
  <c r="F483" i="1"/>
  <c r="H483" i="1" s="1"/>
  <c r="F482" i="1"/>
  <c r="H482" i="1" s="1"/>
  <c r="F481" i="1"/>
  <c r="H481" i="1" s="1"/>
  <c r="F480" i="1"/>
  <c r="H480" i="1" s="1"/>
  <c r="A480" i="1"/>
  <c r="A481" i="1" s="1"/>
  <c r="A482" i="1" s="1"/>
  <c r="A483" i="1" s="1"/>
  <c r="A484" i="1" s="1"/>
  <c r="F479" i="1"/>
  <c r="H479" i="1" s="1"/>
  <c r="A265" i="1"/>
  <c r="A266" i="1" s="1"/>
  <c r="A267" i="1" s="1"/>
  <c r="A268" i="1" s="1"/>
  <c r="A269" i="1" s="1"/>
  <c r="I208" i="1"/>
  <c r="I201" i="1"/>
  <c r="I198" i="1"/>
  <c r="I189" i="1"/>
  <c r="I193" i="1"/>
  <c r="I220" i="1"/>
  <c r="I215" i="1"/>
  <c r="I211" i="1"/>
  <c r="I185" i="1"/>
  <c r="I178" i="1"/>
  <c r="I180" i="1"/>
  <c r="I176" i="1"/>
  <c r="D222" i="1"/>
  <c r="F222" i="1" s="1"/>
  <c r="H222" i="1" s="1"/>
  <c r="D221" i="1"/>
  <c r="F221" i="1" s="1"/>
  <c r="H221" i="1" s="1"/>
  <c r="D220" i="1"/>
  <c r="F220" i="1" s="1"/>
  <c r="H220" i="1" s="1"/>
  <c r="D219" i="1"/>
  <c r="F219" i="1" s="1"/>
  <c r="H219" i="1" s="1"/>
  <c r="D218" i="1"/>
  <c r="F218" i="1" s="1"/>
  <c r="H218" i="1" s="1"/>
  <c r="D217" i="1"/>
  <c r="D216" i="1"/>
  <c r="F216" i="1" s="1"/>
  <c r="H216" i="1" s="1"/>
  <c r="D215" i="1"/>
  <c r="F215" i="1" s="1"/>
  <c r="H215" i="1" s="1"/>
  <c r="D214" i="1"/>
  <c r="F214" i="1" s="1"/>
  <c r="H214" i="1" s="1"/>
  <c r="D213" i="1"/>
  <c r="F213" i="1" s="1"/>
  <c r="H213" i="1" s="1"/>
  <c r="D212" i="1"/>
  <c r="F212" i="1" s="1"/>
  <c r="H212" i="1" s="1"/>
  <c r="D211" i="1"/>
  <c r="F211" i="1" s="1"/>
  <c r="H211" i="1" s="1"/>
  <c r="D210" i="1"/>
  <c r="F210" i="1" s="1"/>
  <c r="H210" i="1" s="1"/>
  <c r="D209" i="1"/>
  <c r="F209" i="1" s="1"/>
  <c r="H209" i="1" s="1"/>
  <c r="D208" i="1"/>
  <c r="F208" i="1" s="1"/>
  <c r="H208" i="1" s="1"/>
  <c r="D207" i="1"/>
  <c r="F207" i="1" s="1"/>
  <c r="H207" i="1" s="1"/>
  <c r="D206" i="1"/>
  <c r="F206" i="1" s="1"/>
  <c r="H206" i="1" s="1"/>
  <c r="D205" i="1"/>
  <c r="F205" i="1" s="1"/>
  <c r="H205" i="1" s="1"/>
  <c r="D204" i="1"/>
  <c r="F204" i="1" s="1"/>
  <c r="H204" i="1" s="1"/>
  <c r="D203" i="1"/>
  <c r="F203" i="1" s="1"/>
  <c r="H203" i="1" s="1"/>
  <c r="D202" i="1"/>
  <c r="F202" i="1" s="1"/>
  <c r="H202" i="1" s="1"/>
  <c r="D201" i="1"/>
  <c r="F201" i="1" s="1"/>
  <c r="H201" i="1" s="1"/>
  <c r="D200" i="1"/>
  <c r="F200" i="1" s="1"/>
  <c r="H200" i="1" s="1"/>
  <c r="D199" i="1"/>
  <c r="F199" i="1" s="1"/>
  <c r="H199" i="1" s="1"/>
  <c r="D198" i="1"/>
  <c r="F198" i="1" s="1"/>
  <c r="H198" i="1" s="1"/>
  <c r="D197" i="1"/>
  <c r="F197" i="1" s="1"/>
  <c r="H197" i="1" s="1"/>
  <c r="D196" i="1"/>
  <c r="F196" i="1" s="1"/>
  <c r="H196" i="1" s="1"/>
  <c r="D195" i="1"/>
  <c r="F195" i="1" s="1"/>
  <c r="H195" i="1" s="1"/>
  <c r="F217" i="1"/>
  <c r="H217" i="1" s="1"/>
  <c r="F227" i="1"/>
  <c r="H227" i="1" s="1"/>
  <c r="F226" i="1"/>
  <c r="H226" i="1" s="1"/>
  <c r="F225" i="1"/>
  <c r="H225" i="1" s="1"/>
  <c r="A225" i="1"/>
  <c r="A226" i="1" s="1"/>
  <c r="A227" i="1" s="1"/>
  <c r="F224" i="1"/>
  <c r="H224" i="1" s="1"/>
  <c r="A212" i="1"/>
  <c r="A213" i="1" s="1"/>
  <c r="A214" i="1" s="1"/>
  <c r="A215" i="1" s="1"/>
  <c r="A216" i="1" s="1"/>
  <c r="A217" i="1" s="1"/>
  <c r="A218" i="1" s="1"/>
  <c r="A219" i="1" s="1"/>
  <c r="A220" i="1" s="1"/>
  <c r="A221" i="1" s="1"/>
  <c r="A222" i="1" s="1"/>
  <c r="D194" i="1"/>
  <c r="F194" i="1" s="1"/>
  <c r="H194" i="1" s="1"/>
  <c r="D193" i="1"/>
  <c r="F193" i="1" s="1"/>
  <c r="H193" i="1" s="1"/>
  <c r="D192" i="1"/>
  <c r="F192" i="1" s="1"/>
  <c r="H192" i="1" s="1"/>
  <c r="D191" i="1"/>
  <c r="F191" i="1" s="1"/>
  <c r="H191" i="1" s="1"/>
  <c r="D190" i="1"/>
  <c r="F190" i="1" s="1"/>
  <c r="H190" i="1" s="1"/>
  <c r="D189" i="1"/>
  <c r="F189" i="1" s="1"/>
  <c r="H189" i="1" s="1"/>
  <c r="D188" i="1"/>
  <c r="F188" i="1" s="1"/>
  <c r="H188" i="1" s="1"/>
  <c r="D187" i="1"/>
  <c r="F187" i="1" s="1"/>
  <c r="H187" i="1" s="1"/>
  <c r="D186" i="1"/>
  <c r="F186" i="1" s="1"/>
  <c r="H186" i="1" s="1"/>
  <c r="D185" i="1"/>
  <c r="F185" i="1" s="1"/>
  <c r="H185" i="1" s="1"/>
  <c r="D184" i="1"/>
  <c r="F184" i="1" s="1"/>
  <c r="H184" i="1" s="1"/>
  <c r="D183" i="1"/>
  <c r="F183" i="1" s="1"/>
  <c r="H183" i="1" s="1"/>
  <c r="D182" i="1"/>
  <c r="F182" i="1" s="1"/>
  <c r="H182" i="1" s="1"/>
  <c r="D181" i="1"/>
  <c r="F181" i="1" s="1"/>
  <c r="H181" i="1" s="1"/>
  <c r="D180" i="1"/>
  <c r="F180" i="1" s="1"/>
  <c r="H180" i="1" s="1"/>
  <c r="D179" i="1"/>
  <c r="F179" i="1" s="1"/>
  <c r="H179" i="1" s="1"/>
  <c r="D178" i="1"/>
  <c r="F178" i="1" s="1"/>
  <c r="H178" i="1" s="1"/>
  <c r="D177" i="1"/>
  <c r="F177" i="1" s="1"/>
  <c r="H177" i="1" s="1"/>
  <c r="D176" i="1"/>
  <c r="F176" i="1" s="1"/>
  <c r="H176" i="1" s="1"/>
  <c r="D175" i="1"/>
  <c r="F175" i="1" s="1"/>
  <c r="H175" i="1" s="1"/>
  <c r="D174" i="1"/>
  <c r="F174" i="1" s="1"/>
  <c r="A188" i="1"/>
  <c r="A189" i="1" s="1"/>
  <c r="A190" i="1" s="1"/>
  <c r="A191" i="1" s="1"/>
  <c r="A192" i="1" s="1"/>
  <c r="A193" i="1" s="1"/>
  <c r="A194" i="1" s="1"/>
  <c r="A175" i="1"/>
  <c r="A176" i="1" s="1"/>
  <c r="A177" i="1" s="1"/>
  <c r="A178" i="1" s="1"/>
  <c r="A179" i="1" s="1"/>
  <c r="A180" i="1" s="1"/>
  <c r="A181" i="1" s="1"/>
  <c r="A182" i="1" s="1"/>
  <c r="A183" i="1" s="1"/>
  <c r="A184" i="1" s="1"/>
  <c r="A185" i="1" s="1"/>
  <c r="A186" i="1" s="1"/>
  <c r="C119" i="1"/>
  <c r="E44" i="1"/>
  <c r="E45" i="1" s="1"/>
  <c r="L41" i="7"/>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s="1"/>
  <c r="F11" i="5"/>
  <c r="G11" i="5" s="1"/>
  <c r="F10" i="5"/>
  <c r="G10" i="5" s="1"/>
  <c r="F9" i="5"/>
  <c r="G9" i="5" s="1"/>
  <c r="F8" i="5"/>
  <c r="G8" i="5" s="1"/>
  <c r="F7" i="5"/>
  <c r="G7" i="5" s="1"/>
  <c r="F6" i="5"/>
  <c r="G6" i="5" s="1"/>
  <c r="F5" i="5"/>
  <c r="G5" i="5" s="1"/>
  <c r="G12" i="5" s="1"/>
  <c r="D537" i="1"/>
  <c r="B512" i="1"/>
  <c r="B511" i="1"/>
  <c r="F508" i="1"/>
  <c r="H508" i="1" s="1"/>
  <c r="F507" i="1"/>
  <c r="H507" i="1" s="1"/>
  <c r="F506" i="1"/>
  <c r="H506" i="1" s="1"/>
  <c r="F505" i="1"/>
  <c r="H505" i="1" s="1"/>
  <c r="F504" i="1"/>
  <c r="H504" i="1" s="1"/>
  <c r="F502" i="1"/>
  <c r="H502" i="1" s="1"/>
  <c r="F501" i="1"/>
  <c r="H501" i="1" s="1"/>
  <c r="F500" i="1"/>
  <c r="H500" i="1" s="1"/>
  <c r="F499" i="1"/>
  <c r="H499" i="1" s="1"/>
  <c r="F498" i="1"/>
  <c r="H498" i="1" s="1"/>
  <c r="F496" i="1"/>
  <c r="H496" i="1" s="1"/>
  <c r="F495" i="1"/>
  <c r="H495" i="1" s="1"/>
  <c r="F494" i="1"/>
  <c r="H494" i="1" s="1"/>
  <c r="F493" i="1"/>
  <c r="H493" i="1" s="1"/>
  <c r="F492" i="1"/>
  <c r="H492" i="1" s="1"/>
  <c r="F490" i="1"/>
  <c r="H490" i="1" s="1"/>
  <c r="F489" i="1"/>
  <c r="H489" i="1" s="1"/>
  <c r="F488" i="1"/>
  <c r="H488" i="1" s="1"/>
  <c r="F487" i="1"/>
  <c r="H487" i="1" s="1"/>
  <c r="F486" i="1"/>
  <c r="H486" i="1" s="1"/>
  <c r="A486" i="1"/>
  <c r="A487" i="1" s="1"/>
  <c r="A488" i="1" s="1"/>
  <c r="A489" i="1" s="1"/>
  <c r="A490" i="1" s="1"/>
  <c r="A237" i="1"/>
  <c r="A238" i="1" s="1"/>
  <c r="A239" i="1" s="1"/>
  <c r="A240" i="1" s="1"/>
  <c r="A241" i="1" s="1"/>
  <c r="A196" i="1"/>
  <c r="A197" i="1" s="1"/>
  <c r="A198" i="1" s="1"/>
  <c r="A199" i="1" s="1"/>
  <c r="A200" i="1" s="1"/>
  <c r="A201" i="1" s="1"/>
  <c r="A202" i="1" s="1"/>
  <c r="A203" i="1" s="1"/>
  <c r="A204" i="1" s="1"/>
  <c r="A205" i="1" s="1"/>
  <c r="A206" i="1" s="1"/>
  <c r="A207" i="1" s="1"/>
  <c r="A208" i="1" s="1"/>
  <c r="A209" i="1" s="1"/>
  <c r="A210" i="1" s="1"/>
  <c r="F145" i="1"/>
  <c r="B78" i="1"/>
  <c r="D71" i="1"/>
  <c r="D62" i="1"/>
  <c r="K53" i="1"/>
  <c r="G51" i="1"/>
  <c r="C51" i="1"/>
  <c r="S33" i="1"/>
  <c r="E31" i="1"/>
  <c r="E28" i="1"/>
  <c r="E26" i="1"/>
  <c r="C16" i="1"/>
  <c r="I15" i="1"/>
  <c r="Z13" i="1"/>
  <c r="E8" i="1"/>
  <c r="E3" i="1"/>
  <c r="B523" i="1" s="1"/>
  <c r="A492" i="1"/>
  <c r="A498" i="1"/>
  <c r="H92" i="1"/>
  <c r="H78" i="1"/>
  <c r="A504" i="1"/>
  <c r="F458" i="1" l="1"/>
  <c r="H458" i="1" s="1"/>
  <c r="F472" i="1"/>
  <c r="H472" i="1" s="1"/>
  <c r="C154" i="1"/>
  <c r="F423" i="1"/>
  <c r="H423" i="1" s="1"/>
  <c r="I42" i="7"/>
  <c r="H42" i="7" s="1"/>
  <c r="H174" i="1"/>
  <c r="G148" i="1" s="1"/>
  <c r="G149" i="1" s="1"/>
  <c r="E148" i="1"/>
  <c r="E149" i="1" s="1"/>
  <c r="L42" i="7"/>
  <c r="K42" i="7" s="1"/>
  <c r="C152" i="1"/>
  <c r="I425" i="1"/>
  <c r="J425" i="1"/>
  <c r="F434" i="1"/>
  <c r="H434" i="1" s="1"/>
  <c r="F420" i="1"/>
  <c r="H420" i="1" s="1"/>
  <c r="F442" i="1"/>
  <c r="H442" i="1" s="1"/>
  <c r="F460" i="1"/>
  <c r="H460" i="1" s="1"/>
  <c r="F464" i="1"/>
  <c r="H464" i="1" s="1"/>
  <c r="F469" i="1"/>
  <c r="H469" i="1" s="1"/>
  <c r="C161" i="1"/>
  <c r="C159" i="1"/>
  <c r="F389" i="1"/>
  <c r="H389" i="1" s="1"/>
  <c r="F391" i="1"/>
  <c r="F402" i="1"/>
  <c r="H402" i="1" s="1"/>
  <c r="F387" i="1"/>
  <c r="H387" i="1" s="1"/>
  <c r="F411" i="1"/>
  <c r="H411" i="1" s="1"/>
  <c r="G160" i="1" s="1"/>
  <c r="F410" i="1"/>
  <c r="H410" i="1" s="1"/>
  <c r="F435" i="1"/>
  <c r="H435" i="1" s="1"/>
  <c r="F439" i="1"/>
  <c r="H439" i="1" s="1"/>
  <c r="F440" i="1"/>
  <c r="H440" i="1" s="1"/>
  <c r="F441" i="1"/>
  <c r="H441" i="1" s="1"/>
  <c r="F444" i="1"/>
  <c r="H444" i="1" s="1"/>
  <c r="F443" i="1"/>
  <c r="H443" i="1" s="1"/>
  <c r="F447" i="1"/>
  <c r="H447" i="1" s="1"/>
  <c r="F449" i="1"/>
  <c r="H449" i="1" s="1"/>
  <c r="F451" i="1"/>
  <c r="H451" i="1" s="1"/>
  <c r="F454" i="1"/>
  <c r="H454" i="1" s="1"/>
  <c r="F456" i="1"/>
  <c r="H456" i="1" s="1"/>
  <c r="F407" i="1"/>
  <c r="H407" i="1" s="1"/>
  <c r="F409" i="1"/>
  <c r="H409" i="1" s="1"/>
  <c r="F418" i="1"/>
  <c r="H418" i="1" s="1"/>
  <c r="F446" i="1"/>
  <c r="H446" i="1" s="1"/>
  <c r="F448" i="1"/>
  <c r="H448" i="1" s="1"/>
  <c r="F450" i="1"/>
  <c r="H450" i="1" s="1"/>
  <c r="F453" i="1"/>
  <c r="H453" i="1" s="1"/>
  <c r="F455" i="1"/>
  <c r="H455" i="1" s="1"/>
  <c r="F457" i="1"/>
  <c r="H457" i="1" s="1"/>
  <c r="F461" i="1"/>
  <c r="H461" i="1" s="1"/>
  <c r="F463" i="1"/>
  <c r="H463" i="1" s="1"/>
  <c r="F465" i="1"/>
  <c r="H465" i="1" s="1"/>
  <c r="F468" i="1"/>
  <c r="H468" i="1" s="1"/>
  <c r="F470" i="1"/>
  <c r="H470" i="1" s="1"/>
  <c r="C158" i="1"/>
  <c r="F392" i="1"/>
  <c r="H392" i="1" s="1"/>
  <c r="F417" i="1"/>
  <c r="H417" i="1" s="1"/>
  <c r="F428" i="1"/>
  <c r="H428" i="1" s="1"/>
  <c r="F429" i="1"/>
  <c r="H429" i="1" s="1"/>
  <c r="F436" i="1"/>
  <c r="H436" i="1" s="1"/>
  <c r="F413" i="1"/>
  <c r="H413" i="1" s="1"/>
  <c r="F422" i="1"/>
  <c r="H422" i="1" s="1"/>
  <c r="F433" i="1"/>
  <c r="F390" i="1"/>
  <c r="H390" i="1" s="1"/>
  <c r="F400" i="1"/>
  <c r="H400" i="1" s="1"/>
  <c r="F427" i="1"/>
  <c r="H427" i="1" s="1"/>
  <c r="F416" i="1"/>
  <c r="H416" i="1" s="1"/>
  <c r="F424" i="1"/>
  <c r="H424" i="1" s="1"/>
  <c r="F426" i="1"/>
  <c r="H426" i="1" s="1"/>
  <c r="F414" i="1"/>
  <c r="H414" i="1" s="1"/>
  <c r="F393" i="1"/>
  <c r="H393" i="1" s="1"/>
  <c r="F396" i="1"/>
  <c r="H396" i="1" s="1"/>
  <c r="F397" i="1"/>
  <c r="H397" i="1" s="1"/>
  <c r="F399" i="1"/>
  <c r="H399" i="1" s="1"/>
  <c r="F406" i="1"/>
  <c r="H406" i="1" s="1"/>
  <c r="F408" i="1"/>
  <c r="H408" i="1" s="1"/>
  <c r="F398" i="1"/>
  <c r="H398" i="1" s="1"/>
  <c r="F405" i="1"/>
  <c r="H405" i="1" s="1"/>
  <c r="F404" i="1"/>
  <c r="H404" i="1" s="1"/>
  <c r="F419" i="1"/>
  <c r="H419" i="1" s="1"/>
  <c r="F395" i="1"/>
  <c r="H395" i="1" s="1"/>
  <c r="F386" i="1"/>
  <c r="H386" i="1" s="1"/>
  <c r="F366" i="1"/>
  <c r="H366" i="1" s="1"/>
  <c r="F372" i="1"/>
  <c r="F365" i="1"/>
  <c r="H365" i="1" s="1"/>
  <c r="F368" i="1"/>
  <c r="H368" i="1" s="1"/>
  <c r="I368" i="1" s="1"/>
  <c r="J368" i="1" s="1"/>
  <c r="F370" i="1"/>
  <c r="H370" i="1" s="1"/>
  <c r="I370" i="1" s="1"/>
  <c r="J370" i="1" s="1"/>
  <c r="F373" i="1"/>
  <c r="H373" i="1" s="1"/>
  <c r="I373" i="1" s="1"/>
  <c r="J373" i="1" s="1"/>
  <c r="F374" i="1"/>
  <c r="H374" i="1" s="1"/>
  <c r="I374" i="1" s="1"/>
  <c r="J374" i="1" s="1"/>
  <c r="F377" i="1"/>
  <c r="H377" i="1" s="1"/>
  <c r="I377" i="1" s="1"/>
  <c r="F379" i="1"/>
  <c r="H379" i="1" s="1"/>
  <c r="I379" i="1" s="1"/>
  <c r="F381" i="1"/>
  <c r="H381" i="1" s="1"/>
  <c r="I381" i="1" s="1"/>
  <c r="F383" i="1"/>
  <c r="F369" i="1"/>
  <c r="H369" i="1" s="1"/>
  <c r="I369" i="1" s="1"/>
  <c r="J369" i="1" s="1"/>
  <c r="F371" i="1"/>
  <c r="H371" i="1" s="1"/>
  <c r="I371" i="1" s="1"/>
  <c r="J371" i="1" s="1"/>
  <c r="F375" i="1"/>
  <c r="H375" i="1" s="1"/>
  <c r="I375" i="1" s="1"/>
  <c r="J375" i="1" s="1"/>
  <c r="F378" i="1"/>
  <c r="H378" i="1" s="1"/>
  <c r="I378" i="1" s="1"/>
  <c r="F380" i="1"/>
  <c r="H380" i="1" s="1"/>
  <c r="I380" i="1" s="1"/>
  <c r="F382" i="1"/>
  <c r="H382" i="1" s="1"/>
  <c r="I382" i="1" s="1"/>
  <c r="F337" i="1"/>
  <c r="H337" i="1" s="1"/>
  <c r="F348" i="1"/>
  <c r="H348" i="1" s="1"/>
  <c r="F352" i="1"/>
  <c r="H352" i="1" s="1"/>
  <c r="F355" i="1"/>
  <c r="H355" i="1" s="1"/>
  <c r="F357" i="1"/>
  <c r="H357" i="1" s="1"/>
  <c r="F359" i="1"/>
  <c r="H359" i="1" s="1"/>
  <c r="F343" i="1"/>
  <c r="H343" i="1" s="1"/>
  <c r="F363" i="1"/>
  <c r="F364" i="1"/>
  <c r="H364" i="1" s="1"/>
  <c r="F346" i="1"/>
  <c r="H346" i="1" s="1"/>
  <c r="F349" i="1"/>
  <c r="H349" i="1" s="1"/>
  <c r="F351" i="1"/>
  <c r="H351" i="1" s="1"/>
  <c r="F356" i="1"/>
  <c r="H356" i="1" s="1"/>
  <c r="F358" i="1"/>
  <c r="H358" i="1" s="1"/>
  <c r="F360" i="1"/>
  <c r="H360" i="1" s="1"/>
  <c r="F335" i="1"/>
  <c r="H335" i="1" s="1"/>
  <c r="F339" i="1"/>
  <c r="H339" i="1" s="1"/>
  <c r="F341" i="1"/>
  <c r="H341" i="1" s="1"/>
  <c r="F334" i="1"/>
  <c r="H334" i="1" s="1"/>
  <c r="F336" i="1"/>
  <c r="H336" i="1" s="1"/>
  <c r="F338" i="1"/>
  <c r="H338" i="1" s="1"/>
  <c r="F342" i="1"/>
  <c r="H342" i="1" s="1"/>
  <c r="C157" i="1"/>
  <c r="C156" i="1"/>
  <c r="F344" i="1"/>
  <c r="H344" i="1" s="1"/>
  <c r="F350" i="1"/>
  <c r="H350" i="1" s="1"/>
  <c r="F330" i="1"/>
  <c r="H330" i="1" s="1"/>
  <c r="F331" i="1"/>
  <c r="H331" i="1" s="1"/>
  <c r="F353" i="1"/>
  <c r="H353" i="1" s="1"/>
  <c r="F345" i="1"/>
  <c r="H345" i="1" s="1"/>
  <c r="F327" i="1"/>
  <c r="F329" i="1"/>
  <c r="H329" i="1" s="1"/>
  <c r="F332" i="1"/>
  <c r="H332" i="1" s="1"/>
  <c r="F328" i="1"/>
  <c r="H328" i="1" s="1"/>
  <c r="F325" i="1"/>
  <c r="H325" i="1" s="1"/>
  <c r="F303" i="1"/>
  <c r="H303" i="1" s="1"/>
  <c r="F323" i="1"/>
  <c r="F307" i="1"/>
  <c r="H307" i="1" s="1"/>
  <c r="F309" i="1"/>
  <c r="H309" i="1" s="1"/>
  <c r="F311" i="1"/>
  <c r="H311" i="1" s="1"/>
  <c r="F314" i="1"/>
  <c r="H314" i="1" s="1"/>
  <c r="F316" i="1"/>
  <c r="H316" i="1" s="1"/>
  <c r="F318" i="1"/>
  <c r="H318" i="1" s="1"/>
  <c r="F322" i="1"/>
  <c r="F324" i="1"/>
  <c r="H324" i="1" s="1"/>
  <c r="F308" i="1"/>
  <c r="H308" i="1" s="1"/>
  <c r="F310" i="1"/>
  <c r="H310" i="1" s="1"/>
  <c r="F312" i="1"/>
  <c r="H312" i="1" s="1"/>
  <c r="F315" i="1"/>
  <c r="H315" i="1" s="1"/>
  <c r="F317" i="1"/>
  <c r="H317" i="1" s="1"/>
  <c r="F319" i="1"/>
  <c r="H319" i="1" s="1"/>
  <c r="F302" i="1"/>
  <c r="H302" i="1" s="1"/>
  <c r="F304" i="1"/>
  <c r="H304" i="1" s="1"/>
  <c r="F282" i="1"/>
  <c r="H282" i="1" s="1"/>
  <c r="F300" i="1"/>
  <c r="H300" i="1" s="1"/>
  <c r="F301" i="1"/>
  <c r="H301" i="1" s="1"/>
  <c r="F305" i="1"/>
  <c r="H305" i="1" s="1"/>
  <c r="F283" i="1"/>
  <c r="H283" i="1" s="1"/>
  <c r="F287" i="1"/>
  <c r="H287" i="1" s="1"/>
  <c r="F291" i="1"/>
  <c r="H291" i="1" s="1"/>
  <c r="F294" i="1"/>
  <c r="H294" i="1" s="1"/>
  <c r="F298" i="1"/>
  <c r="H298" i="1" s="1"/>
  <c r="F280" i="1"/>
  <c r="H280" i="1" s="1"/>
  <c r="F286" i="1"/>
  <c r="H286" i="1" s="1"/>
  <c r="F288" i="1"/>
  <c r="H288" i="1" s="1"/>
  <c r="F290" i="1"/>
  <c r="H290" i="1" s="1"/>
  <c r="F293" i="1"/>
  <c r="H293" i="1" s="1"/>
  <c r="F295" i="1"/>
  <c r="H295" i="1" s="1"/>
  <c r="F297" i="1"/>
  <c r="H297" i="1" s="1"/>
  <c r="F281" i="1"/>
  <c r="E154" i="1" s="1"/>
  <c r="F289" i="1"/>
  <c r="H289" i="1" s="1"/>
  <c r="F296" i="1"/>
  <c r="H296" i="1" s="1"/>
  <c r="F246" i="1"/>
  <c r="H246" i="1" s="1"/>
  <c r="F255" i="1"/>
  <c r="H255" i="1" s="1"/>
  <c r="F265" i="1"/>
  <c r="H265" i="1" s="1"/>
  <c r="I265" i="1" s="1"/>
  <c r="F267" i="1"/>
  <c r="H267" i="1" s="1"/>
  <c r="I267" i="1" s="1"/>
  <c r="F269" i="1"/>
  <c r="H269" i="1" s="1"/>
  <c r="I269" i="1" s="1"/>
  <c r="F272" i="1"/>
  <c r="H272" i="1" s="1"/>
  <c r="F274" i="1"/>
  <c r="H274" i="1" s="1"/>
  <c r="F276" i="1"/>
  <c r="H276" i="1" s="1"/>
  <c r="F258" i="1"/>
  <c r="H258" i="1" s="1"/>
  <c r="F279" i="1"/>
  <c r="F284" i="1"/>
  <c r="H284" i="1" s="1"/>
  <c r="C153" i="1"/>
  <c r="F245" i="1"/>
  <c r="F266" i="1"/>
  <c r="H266" i="1" s="1"/>
  <c r="I266" i="1" s="1"/>
  <c r="J266" i="1" s="1"/>
  <c r="F271" i="1"/>
  <c r="H271" i="1" s="1"/>
  <c r="F273" i="1"/>
  <c r="H273" i="1" s="1"/>
  <c r="F275" i="1"/>
  <c r="H275" i="1" s="1"/>
  <c r="F262" i="1"/>
  <c r="H262" i="1" s="1"/>
  <c r="F261" i="1"/>
  <c r="H261" i="1" s="1"/>
  <c r="F239" i="1"/>
  <c r="F257" i="1"/>
  <c r="H257" i="1" s="1"/>
  <c r="F260" i="1"/>
  <c r="H260" i="1" s="1"/>
  <c r="F264" i="1"/>
  <c r="H264" i="1" s="1"/>
  <c r="I264" i="1" s="1"/>
  <c r="F268" i="1"/>
  <c r="H268" i="1" s="1"/>
  <c r="I268" i="1" s="1"/>
  <c r="F251" i="1"/>
  <c r="H251" i="1" s="1"/>
  <c r="F253" i="1"/>
  <c r="H253" i="1" s="1"/>
  <c r="F240" i="1"/>
  <c r="H240" i="1" s="1"/>
  <c r="F248" i="1"/>
  <c r="H248" i="1" s="1"/>
  <c r="F244" i="1"/>
  <c r="H244" i="1" s="1"/>
  <c r="F243" i="1"/>
  <c r="F250" i="1"/>
  <c r="F252" i="1"/>
  <c r="H252" i="1" s="1"/>
  <c r="F254" i="1"/>
  <c r="H254" i="1" s="1"/>
  <c r="F247" i="1"/>
  <c r="H247" i="1" s="1"/>
  <c r="F241" i="1"/>
  <c r="H241" i="1" s="1"/>
  <c r="C148" i="1"/>
  <c r="C149" i="1" s="1"/>
  <c r="J86" i="1"/>
  <c r="J91" i="1"/>
  <c r="J93" i="1" s="1"/>
  <c r="D100" i="1"/>
  <c r="D99" i="1"/>
  <c r="D104" i="1"/>
  <c r="D98" i="1"/>
  <c r="J94" i="1"/>
  <c r="D103" i="1"/>
  <c r="J96" i="1"/>
  <c r="C95" i="1" s="1"/>
  <c r="D97" i="1"/>
  <c r="D102" i="1"/>
  <c r="J95" i="1"/>
  <c r="D101" i="1"/>
  <c r="D86" i="1"/>
  <c r="J80" i="1"/>
  <c r="D85" i="1"/>
  <c r="D90" i="1"/>
  <c r="D84" i="1"/>
  <c r="D89" i="1"/>
  <c r="D83" i="1"/>
  <c r="J82" i="1"/>
  <c r="C81" i="1" s="1"/>
  <c r="D88" i="1"/>
  <c r="D87" i="1"/>
  <c r="J81" i="1"/>
  <c r="J77" i="1"/>
  <c r="J79" i="1" s="1"/>
  <c r="E44" i="7"/>
  <c r="D42" i="7"/>
  <c r="D44" i="7" s="1"/>
  <c r="L53" i="1"/>
  <c r="B92" i="1"/>
  <c r="J87" i="1"/>
  <c r="J88" i="1"/>
  <c r="I52" i="1"/>
  <c r="J83" i="1"/>
  <c r="J84" i="1" s="1"/>
  <c r="J89" i="1" s="1"/>
  <c r="A505" i="1"/>
  <c r="A499" i="1"/>
  <c r="A493" i="1"/>
  <c r="E160" i="1" l="1"/>
  <c r="C155" i="1"/>
  <c r="C163" i="1" s="1"/>
  <c r="E155" i="1"/>
  <c r="J154" i="1" s="1"/>
  <c r="C162" i="1"/>
  <c r="C165" i="1" s="1"/>
  <c r="H383" i="1"/>
  <c r="I383" i="1" s="1"/>
  <c r="I384" i="1"/>
  <c r="H250" i="1"/>
  <c r="I250" i="1"/>
  <c r="H327" i="1"/>
  <c r="I327" i="1"/>
  <c r="I428" i="1"/>
  <c r="J428" i="1"/>
  <c r="H245" i="1"/>
  <c r="I245" i="1"/>
  <c r="H391" i="1"/>
  <c r="I391" i="1"/>
  <c r="H433" i="1"/>
  <c r="G161" i="1" s="1"/>
  <c r="E161" i="1"/>
  <c r="H372" i="1"/>
  <c r="E159" i="1"/>
  <c r="H363" i="1"/>
  <c r="E158" i="1"/>
  <c r="H323" i="1"/>
  <c r="G156" i="1" s="1"/>
  <c r="E156" i="1"/>
  <c r="H322" i="1"/>
  <c r="G157" i="1" s="1"/>
  <c r="E157" i="1"/>
  <c r="H281" i="1"/>
  <c r="G154" i="1" s="1"/>
  <c r="H279" i="1"/>
  <c r="G155" i="1" s="1"/>
  <c r="H239" i="1"/>
  <c r="G153" i="1" s="1"/>
  <c r="E153" i="1"/>
  <c r="H243" i="1"/>
  <c r="E152" i="1"/>
  <c r="J85" i="1"/>
  <c r="D81" i="1"/>
  <c r="D95" i="1"/>
  <c r="J100" i="1"/>
  <c r="J97" i="1"/>
  <c r="J102" i="1"/>
  <c r="J101" i="1"/>
  <c r="A500" i="1"/>
  <c r="A494" i="1"/>
  <c r="A506" i="1"/>
  <c r="C164" i="1" l="1"/>
  <c r="E164" i="1"/>
  <c r="G152" i="1"/>
  <c r="G158" i="1"/>
  <c r="G162" i="1" s="1"/>
  <c r="G159" i="1"/>
  <c r="G164" i="1" s="1"/>
  <c r="I372" i="1"/>
  <c r="J372" i="1" s="1"/>
  <c r="J98" i="1"/>
  <c r="J103" i="1" s="1"/>
  <c r="G163" i="1"/>
  <c r="E162" i="1"/>
  <c r="E163" i="1"/>
  <c r="J90" i="1"/>
  <c r="C82" i="1" s="1"/>
  <c r="E81" i="1" s="1"/>
  <c r="B120" i="1"/>
  <c r="B106" i="1"/>
  <c r="H106" i="1"/>
  <c r="A507" i="1"/>
  <c r="A495" i="1"/>
  <c r="A501" i="1"/>
  <c r="H120" i="1"/>
  <c r="E165" i="1" l="1"/>
  <c r="G165" i="1"/>
  <c r="J99" i="1"/>
  <c r="J104" i="1" s="1"/>
  <c r="C96" i="1" s="1"/>
  <c r="G95" i="1" s="1"/>
  <c r="J78" i="1"/>
  <c r="G81" i="1"/>
  <c r="D75" i="1" s="1"/>
  <c r="D76" i="1" s="1"/>
  <c r="D82" i="1"/>
  <c r="I78" i="1" s="1"/>
  <c r="I79" i="1" s="1"/>
  <c r="J124" i="1"/>
  <c r="J122" i="1"/>
  <c r="J119" i="1"/>
  <c r="J121" i="1" s="1"/>
  <c r="D132" i="1"/>
  <c r="D130" i="1"/>
  <c r="D128" i="1"/>
  <c r="D126" i="1"/>
  <c r="D131" i="1"/>
  <c r="D129" i="1"/>
  <c r="D127" i="1"/>
  <c r="D125" i="1"/>
  <c r="J123" i="1"/>
  <c r="C123" i="1" s="1"/>
  <c r="J130" i="1"/>
  <c r="J128" i="1"/>
  <c r="C124" i="1" s="1"/>
  <c r="J129" i="1"/>
  <c r="J125" i="1"/>
  <c r="J126" i="1" s="1"/>
  <c r="J131" i="1" s="1"/>
  <c r="J110" i="1"/>
  <c r="C109" i="1" s="1"/>
  <c r="J108" i="1"/>
  <c r="J105" i="1"/>
  <c r="J107" i="1" s="1"/>
  <c r="D117" i="1"/>
  <c r="D115" i="1"/>
  <c r="D113" i="1"/>
  <c r="D111" i="1"/>
  <c r="J109" i="1"/>
  <c r="D118" i="1"/>
  <c r="D116" i="1"/>
  <c r="D114" i="1"/>
  <c r="D112" i="1"/>
  <c r="J116" i="1"/>
  <c r="J114" i="1"/>
  <c r="J115" i="1"/>
  <c r="J111" i="1"/>
  <c r="A496" i="1"/>
  <c r="A508" i="1"/>
  <c r="A502" i="1"/>
  <c r="J112" i="1" l="1"/>
  <c r="J117" i="1" s="1"/>
  <c r="D109" i="1"/>
  <c r="D96" i="1"/>
  <c r="I92" i="1" s="1"/>
  <c r="I93" i="1" s="1"/>
  <c r="F76" i="1"/>
  <c r="I77" i="1"/>
  <c r="C79" i="1" s="1"/>
  <c r="D123" i="1"/>
  <c r="E95" i="1"/>
  <c r="J92" i="1"/>
  <c r="J127" i="1"/>
  <c r="J132" i="1" s="1"/>
  <c r="J113" i="1" l="1"/>
  <c r="J118" i="1" s="1"/>
  <c r="I91" i="1"/>
  <c r="C93" i="1" s="1"/>
  <c r="E123" i="1"/>
  <c r="D124" i="1"/>
  <c r="I120" i="1" s="1"/>
  <c r="I121" i="1" s="1"/>
  <c r="J120" i="1"/>
  <c r="G123" i="1"/>
  <c r="C110" i="1" l="1"/>
  <c r="I119" i="1"/>
  <c r="C121" i="1" s="1"/>
  <c r="E109" i="1" l="1"/>
  <c r="J106" i="1"/>
  <c r="D110" i="1"/>
  <c r="I106" i="1" s="1"/>
  <c r="G109" i="1"/>
  <c r="I107" i="1" l="1"/>
  <c r="I105" i="1" s="1"/>
  <c r="C107"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38"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230"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<sst xmlns="http://schemas.openxmlformats.org/spreadsheetml/2006/main" count="1240" uniqueCount="451">
  <si>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</si>
  <si>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</si>
  <si>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</si>
  <si>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</si>
  <si>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</si>
  <si>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</si>
  <si>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</si>
  <si>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</si>
  <si>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</si>
  <si>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</si>
  <si>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</si>
  <si>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</si>
  <si>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</si>
  <si>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</si>
  <si>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</si>
  <si>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</si>
  <si>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</si>
  <si>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</si>
  <si>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</si>
  <si>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</si>
  <si>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</si>
  <si>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</si>
  <si>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</si>
  <si>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</si>
  <si>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</si>
  <si>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</si>
  <si>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</si>
  <si>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</si>
  <si>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</si>
  <si>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</si>
  <si>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</si>
  <si>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</si>
  <si>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</si>
  <si>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</si>
  <si>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</si>
  <si>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</si>
  <si>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</si>
  <si>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</si>
  <si>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</si>
  <si>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</si>
  <si>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</si>
  <si>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</si>
  <si>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</si>
  <si>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</si>
  <si>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</si>
  <si>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</si>
  <si>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</si>
  <si>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</si>
  <si>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</si>
  <si>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</si>
  <si>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</si>
  <si>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</si>
  <si>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</si>
  <si>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</si>
  <si>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</si>
  <si>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</si>
  <si>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</si>
  <si>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</si>
  <si>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</si>
  <si>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</si>
  <si>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</si>
  <si>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</si>
  <si>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</si>
  <si>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</si>
  <si>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</si>
  <si>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</si>
  <si>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</si>
  <si>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</si>
  <si>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</si>
  <si>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</si>
  <si>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</si>
  <si>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</si>
  <si>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</si>
  <si>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</si>
  <si>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</si>
  <si>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</si>
  <si>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</si>
  <si>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</si>
  <si>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</si>
  <si>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</si>
  <si>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</si>
  <si>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</si>
  <si>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</si>
  <si>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</si>
  <si>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</si>
  <si>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</si>
  <si>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</si>
  <si>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</si>
  <si>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</si>
  <si>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</si>
  <si>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</si>
  <si>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</si>
  <si>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</si>
  <si>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</si>
  <si>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</si>
  <si>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</si>
  <si>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</si>
  <si>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</si>
  <si>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</si>
  <si>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</si>
  <si>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</si>
  <si>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</si>
  <si>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</si>
  <si>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</si>
  <si>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</si>
  <si>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</si>
  <si>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</si>
  <si>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</si>
  <si>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</si>
  <si>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</si>
  <si>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</si>
  <si>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</si>
  <si>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</si>
  <si>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</si>
  <si>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</si>
  <si>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</si>
  <si>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</si>
  <si>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</si>
  <si>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</si>
  <si>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</si>
  <si>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</si>
  <si>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</si>
  <si>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</si>
  <si>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</si>
  <si>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</si>
  <si>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</si>
  <si>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</si>
  <si>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</si>
  <si>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</si>
  <si>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</si>
  <si>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</si>
  <si>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</si>
  <si>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</si>
  <si>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</si>
  <si>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</si>
  <si>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</si>
  <si>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</si>
  <si>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</si>
  <si>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</si>
  <si>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</si>
  <si>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</si>
  <si>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</si>
  <si>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</si>
  <si>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</si>
  <si>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</si>
  <si>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</si>
  <si>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</si>
  <si>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</si>
  <si>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</si>
  <si>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</si>
  <si>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</si>
  <si>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</si>
  <si>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</si>
  <si>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</si>
  <si>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</si>
  <si>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</si>
  <si>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</si>
  <si>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</si>
  <si>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</si>
  <si>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</si>
  <si>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</si>
  <si>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</si>
  <si>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</si>
  <si>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</si>
  <si>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</si>
  <si>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</si>
  <si>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</si>
  <si>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</si>
  <si>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</si>
  <si>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</si>
  <si>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</si>
  <si>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</si>
  <si>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</si>
  <si>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</si>
  <si>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</si>
  <si>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</si>
  <si>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</si>
  <si>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</si>
  <si>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</si>
  <si>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</si>
  <si>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</si>
  <si>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</si>
  <si>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</si>
  <si>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</si>
  <si>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</si>
  <si>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</si>
  <si>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</si>
  <si>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</si>
  <si>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</si>
  <si>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</si>
  <si>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</si>
  <si>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</si>
  <si>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</si>
  <si>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</si>
  <si>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</si>
  <si>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</si>
  <si>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</si>
  <si>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</si>
  <si>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</si>
  <si>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</si>
  <si>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</si>
  <si>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</si>
  <si>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</si>
  <si>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</si>
  <si>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</si>
  <si>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</si>
  <si>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</si>
  <si>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</si>
  <si>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</si>
  <si>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</si>
  <si>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</si>
  <si>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</si>
  <si>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</si>
  <si>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</si>
  <si>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</si>
  <si>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</si>
  <si>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</si>
  <si>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</si>
  <si>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</si>
  <si>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</si>
  <si>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</si>
  <si>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</si>
  <si>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</si>
  <si>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</si>
  <si>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</si>
  <si>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</si>
  <si>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</si>
  <si>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</si>
  <si>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</si>
  <si>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</si>
  <si>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</si>
  <si>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</si>
  <si>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</si>
  <si>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</si>
  <si>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</si>
  <si>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</si>
  <si>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</si>
  <si>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</si>
  <si>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</si>
  <si>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</si>
  <si>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</si>
  <si>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</si>
  <si>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</si>
  <si>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</si>
  <si>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</si>
  <si>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</si>
  <si>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</si>
  <si>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</si>
  <si>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</si>
  <si>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</si>
  <si>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</si>
  <si>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</si>
  <si>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</si>
  <si>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</si>
  <si>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</si>
  <si>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</si>
  <si>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</si>
  <si>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</si>
  <si>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</si>
  <si>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</si>
  <si>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</si>
  <si>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</si>
  <si>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</si>
  <si>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</si>
  <si>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</si>
  <si>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</si>
  <si>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</si>
  <si>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</si>
  <si>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</si>
  <si>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</si>
  <si>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</si>
  <si>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</si>
  <si>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</si>
  <si>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</si>
  <si>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</si>
  <si>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</si>
  <si>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</si>
  <si>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</si>
  <si>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</si>
  <si>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</si>
  <si>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</si>
  <si>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</si>
  <si>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</si>
  <si>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</si>
  <si>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</si>
  <si>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</si>
  <si>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</si>
  <si>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</si>
  <si>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</si>
  <si>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</si>
  <si>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</si>
  <si>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</si>
  <si>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</si>
  <si>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</si>
  <si>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</si>
  <si>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</si>
  <si>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</si>
  <si>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</si>
  <si>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</si>
  <si>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</si>
  <si>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</si>
  <si>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</si>
  <si>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</si>
  <si>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</si>
  <si>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</si>
  <si>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</si>
  <si>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</si>
  <si>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</si>
  <si>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</si>
  <si>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</si>
  <si>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</si>
  <si>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</si>
  <si>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</si>
  <si>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</si>
  <si>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</si>
  <si>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</si>
  <si>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</si>
  <si>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</si>
  <si>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</si>
  <si>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</si>
  <si>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</si>
  <si>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</si>
  <si>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</si>
  <si>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</si>
  <si>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</si>
  <si>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</si>
  <si>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</si>
  <si>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</si>
  <si>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</si>
  <si>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</si>
  <si>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</si>
  <si>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</si>
  <si>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</si>
  <si>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</si>
  <si>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</si>
  <si>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</si>
  <si>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</si>
  <si>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</si>
  <si>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</si>
  <si>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</si>
  <si>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</si>
  <si>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</si>
  <si>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</si>
  <si>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</si>
  <si>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</si>
  <si>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</si>
  <si>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</si>
  <si>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</si>
  <si>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</si>
  <si>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As per Approved Floor Plan, In C to E wing on Ground floor Shop No. 19 &amp; 20 are merged into single shop.</t>
  </si>
  <si>
    <t>Palghar Muncipal Council</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</si>
  <si>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</si>
  <si>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</si>
  <si>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</si>
  <si>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</si>
  <si>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 xml:space="preserve">Site Elevation = 
Permissible Top Elevation = </t>
  </si>
  <si>
    <t>P51700056125</t>
  </si>
  <si>
    <t>Tulsi Homemaker LLP</t>
  </si>
  <si>
    <t>Tulsi Sahyadri</t>
  </si>
  <si>
    <t>Mr. Yash Patel  8828805353</t>
  </si>
  <si>
    <t>As per RERA -  31/12/2027</t>
  </si>
  <si>
    <t>Wing A to E</t>
  </si>
  <si>
    <t>Sahyadri Co-operative Housing Society Ltd</t>
  </si>
  <si>
    <t>Approved Plans, CC, Cost Sheet, EC</t>
  </si>
  <si>
    <t>Plot No</t>
  </si>
  <si>
    <t>14/1(PL-06A, Bldg no.1 to 12), Sector No.14, Redevelopement of " Sahyadri Co-operative Housing Society Ltd  "</t>
  </si>
  <si>
    <t>Khanda Colony</t>
  </si>
  <si>
    <t>19.005840,73.108841</t>
  </si>
  <si>
    <t>https://maps.app.goo.gl/hsJg5izujVsep6qj8</t>
  </si>
  <si>
    <t>Siddhivinayak Tower</t>
  </si>
  <si>
    <t>05 Wings</t>
  </si>
  <si>
    <t>PMP/NRV/5023/939/2024</t>
  </si>
  <si>
    <t>PMC/TP/New Panvel/14/14/1/22-24/5023/939/2024</t>
  </si>
  <si>
    <t>SIA/MH/INFRA2/447228/2023</t>
  </si>
  <si>
    <t>Wing A, B, C, D &amp; E = 2B + G + 1st to 14th Floor</t>
  </si>
  <si>
    <t>Wing  B  = 2B + G + 1st to 14th Floor</t>
  </si>
  <si>
    <t>Wing  C  = 2B + G + 1st to 14th Floor</t>
  </si>
  <si>
    <t>Wing  E  = 2B + G + 1st to 14th Floor</t>
  </si>
  <si>
    <t>Wing B</t>
  </si>
  <si>
    <t>1st Basement Floor For Parking</t>
  </si>
  <si>
    <t>2nd Basement Floor For Parking</t>
  </si>
  <si>
    <t>Ground Floor For Commercial, Entrance Lobby, Meter Room &amp; Parking</t>
  </si>
  <si>
    <t>Wing C</t>
  </si>
  <si>
    <t>RERA Carpet area</t>
  </si>
  <si>
    <t>Shop</t>
  </si>
  <si>
    <t>Wing D</t>
  </si>
  <si>
    <t>Wing E</t>
  </si>
  <si>
    <t>Wing B + Wing C + Wing D + Wing E</t>
  </si>
  <si>
    <t>Wing (B+C+D+E)</t>
  </si>
  <si>
    <t>Wing A</t>
  </si>
  <si>
    <t xml:space="preserve">Ground Floor </t>
  </si>
  <si>
    <t xml:space="preserve">1st Floor For Residential ( Double Height Stilt at Ground Floor) </t>
  </si>
  <si>
    <t>Double Height Stilt</t>
  </si>
  <si>
    <t>-</t>
  </si>
  <si>
    <t>3BHK</t>
  </si>
  <si>
    <t>Rehab</t>
  </si>
  <si>
    <t>Sale</t>
  </si>
  <si>
    <t xml:space="preserve">3rd to 6th &amp; 8th to 11th Floor </t>
  </si>
  <si>
    <t>2BHK</t>
  </si>
  <si>
    <t>Refuge Area</t>
  </si>
  <si>
    <t>7th &amp; 12th Floor  (Part Refuge Area)</t>
  </si>
  <si>
    <t xml:space="preserve">13th Floor </t>
  </si>
  <si>
    <t xml:space="preserve">14th Floor </t>
  </si>
  <si>
    <t xml:space="preserve">Balcony Area </t>
  </si>
  <si>
    <t xml:space="preserve"> Rehab = Society Member </t>
  </si>
  <si>
    <t xml:space="preserve">1st Floor For Residential  </t>
  </si>
  <si>
    <t xml:space="preserve">1st Floor For Residential </t>
  </si>
  <si>
    <t xml:space="preserve">3rd to 6th Floor </t>
  </si>
  <si>
    <t xml:space="preserve">8th to 9th Floor </t>
  </si>
  <si>
    <t>CIDCO</t>
  </si>
  <si>
    <t xml:space="preserve">10th &amp; 11th Floor </t>
  </si>
  <si>
    <t>PMC</t>
  </si>
  <si>
    <t>7th Floor (Part Refuge Area)</t>
  </si>
  <si>
    <t>12th Floor (Part Refuge Area)</t>
  </si>
  <si>
    <t xml:space="preserve">13th &amp; 14th Floor </t>
  </si>
  <si>
    <t xml:space="preserve">2nd Floor </t>
  </si>
  <si>
    <t>Sale / Rehab / CIDCO / PMC</t>
  </si>
  <si>
    <t>Sale Flats - 230, Rehab Flats - 192 , CIDCO Flats - 09, PMC Flats  02-,  Shops - 49</t>
  </si>
  <si>
    <t>We considered Gross carpet area = Net carpet + Balcony Area .</t>
  </si>
  <si>
    <t>Khandeshwar Park Road</t>
  </si>
  <si>
    <t>Siddhivinyak Tower</t>
  </si>
  <si>
    <t>Dr. Babasaheb Ambedkar Flyover</t>
  </si>
  <si>
    <t>Temple, MultiFunctional Court, Landscaped Garden, Gymnasium, Swimming Pool, Party Hall, Kids Play Area, Indoor Games etc.</t>
  </si>
  <si>
    <t>https://www.99acres.com/raj-tulsi-sahyadri-khanda-colony-navi-mumbai-npxid-r428358#showModal</t>
  </si>
  <si>
    <t>30.00M Wide Road</t>
  </si>
  <si>
    <t>Other Plot</t>
  </si>
  <si>
    <t>20.00M Wide Road</t>
  </si>
  <si>
    <t>1.80KM from Khandeshwar Railway Station</t>
  </si>
  <si>
    <r>
      <t xml:space="preserve">Proposed Amenities :                                                                                                                                                                                                                         </t>
    </r>
    <r>
      <rPr>
        <b/>
        <sz val="12"/>
        <color theme="1"/>
        <rFont val="Times New Roman"/>
        <family val="1"/>
      </rPr>
      <t xml:space="preserve">                                               </t>
    </r>
  </si>
  <si>
    <t>Wing  D &amp; E = 2B + G + 1st to 14th Floor</t>
  </si>
  <si>
    <t>Total Sale Flats</t>
  </si>
  <si>
    <t>Total Rehab Flats</t>
  </si>
  <si>
    <t>Ground Floor For Entrance Lobby, Fire Control Room, Meter Room &amp; Parking</t>
  </si>
  <si>
    <t>7th &amp; 12th Floor  (Refuge Area at Midlanding of  staircase)</t>
  </si>
  <si>
    <t>Query sent for Fire NOC, Airport NOC.</t>
  </si>
  <si>
    <t>New Panvel</t>
  </si>
  <si>
    <t>Mumbai Panvel Highway</t>
  </si>
  <si>
    <t>Wing A, B, C, D &amp; E = Basement 1+ Basement 2 + Ground + 1st to 14th Floor
(Total B.U.A = 47663.760 Sq.mt)
Residential Units = 433, Commercial Units = 49</t>
  </si>
  <si>
    <t xml:space="preserve">Plot Area = 9869.420 Sq.mt
Wing A, B, C, D &amp; E = Basement 1+ Basement 2 + Ground + 1st to 14th Floor </t>
  </si>
  <si>
    <t>Total Flats</t>
  </si>
  <si>
    <t xml:space="preserve">Please check for Fire NOC &amp; Airport NOC.
</t>
  </si>
  <si>
    <t>We have not referred builder salebale area because its more than 85%</t>
  </si>
  <si>
    <t>Development + Society Formation + Club Membership Charges</t>
  </si>
  <si>
    <t>Mumbai - Panvel Highway</t>
  </si>
  <si>
    <t>Wing D &amp; E = 2B + G + 1st to 14th Floor</t>
  </si>
  <si>
    <t>Construction work is in process at the time of Visit (Labour found).</t>
  </si>
  <si>
    <t>Pooja Kawale</t>
  </si>
  <si>
    <t>Mr. Umesh : 9326023838</t>
  </si>
  <si>
    <t>Wing  A &amp; B = 2B + G + 1st to 14th Floor</t>
  </si>
  <si>
    <t>Wing  C = 2B + G + 1st to 14th Floor</t>
  </si>
  <si>
    <t>Adarsh Dada Gorad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</si>
</sst>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5"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8"/>
      <color rgb="FFFF0000"/>
      <name val="Times New Roman"/>
      <family val="1"/>
    </font>
    <font>
      <sz val="8"/>
      <name val="Calibri"/>
      <family val="2"/>
    </font>
    <font>
      <sz val="12"/>
      <color rgb="FF000000"/>
      <name val="Times New Roman"/>
      <family val="1"/>
    </font>
    <font>
      <b/>
      <sz val="11"/>
      <color theme="1"/>
      <name val="Times New Roman"/>
      <family val="1"/>
    </font>
  </fonts>
  <fills count="7">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302">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12" fillId="0" borderId="1"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6" fillId="0" borderId="1" xfId="1" applyNumberFormat="1" applyFont="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0" fontId="12" fillId="0" borderId="1" xfId="1" applyFont="1" applyBorder="1"/>
    <xf numFmtId="0" fontId="7" fillId="0" borderId="1" xfId="1" applyFont="1" applyBorder="1"/>
    <xf numFmtId="0" fontId="0" fillId="0" borderId="8" xfId="0" applyBorder="1" applyAlignment="1">
      <alignment vertical="top"/>
    </xf>
    <xf numFmtId="0" fontId="0" fillId="0" borderId="25" xfId="0" applyFill="1" applyBorder="1" applyAlignment="1">
      <alignment horizontal="center" vertical="top"/>
    </xf>
    <xf numFmtId="0" fontId="0" fillId="0" borderId="8" xfId="0" applyFill="1" applyBorder="1" applyAlignment="1">
      <alignment horizontal="left" vertical="top"/>
    </xf>
    <xf numFmtId="1" fontId="6"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15" fillId="2" borderId="0" xfId="1" applyFont="1" applyFill="1"/>
    <xf numFmtId="14" fontId="12" fillId="0" borderId="0" xfId="1" applyNumberFormat="1" applyFont="1"/>
    <xf numFmtId="0" fontId="0" fillId="0" borderId="1" xfId="0" applyBorder="1" applyAlignment="1">
      <alignment horizontal="left" vertical="top"/>
    </xf>
    <xf numFmtId="1" fontId="6" fillId="0" borderId="1"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0" fontId="7" fillId="0" borderId="7"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31" fillId="0" borderId="0" xfId="1" applyFont="1"/>
    <xf numFmtId="0" fontId="15" fillId="0" borderId="1" xfId="1" applyFont="1" applyBorder="1" applyAlignment="1" applyProtection="1">
      <alignment vertical="top" wrapText="1"/>
      <protection locked="0"/>
    </xf>
    <xf numFmtId="1" fontId="7" fillId="0" borderId="1" xfId="1" applyNumberFormat="1" applyFont="1" applyBorder="1" applyAlignment="1" applyProtection="1">
      <alignment horizontal="center" vertical="top" wrapText="1"/>
      <protection locked="0"/>
    </xf>
    <xf numFmtId="2" fontId="7" fillId="0" borderId="0" xfId="1" applyNumberFormat="1" applyFont="1" applyAlignment="1">
      <alignment horizontal="center" vertical="center"/>
    </xf>
    <xf numFmtId="0" fontId="7" fillId="0" borderId="0" xfId="1" applyFont="1" applyAlignment="1">
      <alignment horizontal="left" vertical="center"/>
    </xf>
    <xf numFmtId="1" fontId="6" fillId="0" borderId="3" xfId="0" applyNumberFormat="1" applyFont="1" applyBorder="1" applyAlignment="1" applyProtection="1">
      <alignment horizontal="center" vertical="center" wrapText="1"/>
      <protection locked="0"/>
    </xf>
    <xf numFmtId="0" fontId="15" fillId="0" borderId="0" xfId="0" applyFont="1" applyAlignment="1">
      <alignment horizontal="center" vertical="center"/>
    </xf>
    <xf numFmtId="0" fontId="17" fillId="0" borderId="0" xfId="0" applyFont="1" applyAlignment="1">
      <alignment horizontal="center" vertical="center"/>
    </xf>
    <xf numFmtId="1" fontId="33" fillId="0" borderId="1" xfId="1" applyNumberFormat="1" applyFont="1" applyBorder="1" applyAlignment="1" applyProtection="1">
      <alignment horizontal="center" vertical="center"/>
      <protection locked="0"/>
    </xf>
    <xf numFmtId="0" fontId="27" fillId="0" borderId="0" xfId="10"/>
    <xf numFmtId="0" fontId="7" fillId="0" borderId="1" xfId="1" applyFont="1" applyBorder="1" applyAlignment="1" applyProtection="1">
      <alignment horizontal="center" vertical="top"/>
      <protection locked="0"/>
    </xf>
    <xf numFmtId="0" fontId="7" fillId="0" borderId="5" xfId="1" applyFont="1" applyBorder="1" applyAlignment="1" applyProtection="1">
      <alignment horizontal="center" vertical="top"/>
      <protection locked="0"/>
    </xf>
    <xf numFmtId="1" fontId="33" fillId="0" borderId="1" xfId="0" applyNumberFormat="1" applyFont="1" applyBorder="1" applyAlignment="1" applyProtection="1">
      <alignment horizontal="center" vertical="center" wrapText="1"/>
      <protection locked="0"/>
    </xf>
    <xf numFmtId="0" fontId="17" fillId="0" borderId="0" xfId="1" applyFont="1"/>
    <xf numFmtId="1" fontId="10" fillId="0" borderId="3" xfId="1" applyNumberFormat="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6" fillId="0" borderId="3"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9" fontId="10" fillId="0" borderId="16" xfId="8" applyFont="1" applyFill="1" applyBorder="1" applyAlignment="1" applyProtection="1">
      <alignment horizontal="center" vertical="top" wrapText="1"/>
      <protection locked="0"/>
    </xf>
    <xf numFmtId="164" fontId="7" fillId="0" borderId="0" xfId="1" applyNumberFormat="1" applyFont="1" applyAlignment="1">
      <alignment horizontal="center" vertical="center"/>
    </xf>
    <xf numFmtId="1" fontId="15" fillId="0" borderId="0" xfId="1" applyNumberFormat="1" applyFont="1" applyAlignment="1">
      <alignment horizontal="center" vertical="center"/>
    </xf>
    <xf numFmtId="0" fontId="15" fillId="0" borderId="0" xfId="1" applyFont="1" applyAlignment="1">
      <alignment horizontal="center" vertical="center"/>
    </xf>
    <xf numFmtId="1" fontId="7" fillId="0" borderId="1" xfId="1" applyNumberFormat="1" applyFont="1" applyBorder="1" applyAlignment="1">
      <alignment horizontal="center" vertical="center"/>
    </xf>
    <xf numFmtId="0" fontId="7" fillId="0" borderId="1" xfId="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1" fontId="7" fillId="0" borderId="0" xfId="0" applyNumberFormat="1" applyFont="1" applyAlignment="1">
      <alignment horizontal="center" vertical="center"/>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10" fillId="0" borderId="3" xfId="1" applyNumberFormat="1" applyFont="1" applyBorder="1" applyAlignment="1" applyProtection="1">
      <alignment horizontal="center" vertical="top" wrapText="1"/>
      <protection locked="0"/>
    </xf>
    <xf numFmtId="1" fontId="10" fillId="0" borderId="16" xfId="1" applyNumberFormat="1" applyFont="1" applyBorder="1" applyAlignment="1" applyProtection="1">
      <alignment horizontal="center" vertical="top" wrapText="1"/>
      <protection locked="0"/>
    </xf>
    <xf numFmtId="1" fontId="10" fillId="0" borderId="8" xfId="0" applyNumberFormat="1" applyFont="1" applyBorder="1" applyAlignment="1" applyProtection="1">
      <alignment vertical="top" wrapText="1"/>
      <protection locked="0"/>
    </xf>
    <xf numFmtId="1" fontId="10" fillId="0" borderId="21" xfId="0" applyNumberFormat="1" applyFont="1" applyBorder="1" applyAlignment="1" applyProtection="1">
      <alignment vertical="top" wrapText="1"/>
      <protection locked="0"/>
    </xf>
    <xf numFmtId="1" fontId="10" fillId="0" borderId="9" xfId="0" applyNumberFormat="1" applyFont="1" applyBorder="1" applyAlignment="1" applyProtection="1">
      <alignment vertical="top"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10" fillId="0" borderId="13" xfId="1" applyFont="1" applyBorder="1" applyAlignment="1" applyProtection="1">
      <alignment horizontal="left" vertical="top" wrapText="1"/>
      <protection locked="0"/>
    </xf>
    <xf numFmtId="0" fontId="10" fillId="0" borderId="14" xfId="1" applyFont="1" applyBorder="1" applyAlignment="1" applyProtection="1">
      <alignment horizontal="left" vertical="top" wrapText="1"/>
      <protection locked="0"/>
    </xf>
    <xf numFmtId="0" fontId="10" fillId="0" borderId="23" xfId="1" applyFont="1" applyBorder="1" applyAlignment="1" applyProtection="1">
      <alignment horizontal="left"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0" fillId="0" borderId="1" xfId="1" applyFont="1" applyBorder="1" applyAlignment="1" applyProtection="1">
      <alignment horizontal="left" vertical="top" wrapText="1"/>
      <protection locked="0"/>
    </xf>
    <xf numFmtId="0" fontId="10" fillId="0" borderId="5" xfId="1" applyFont="1" applyBorder="1" applyAlignment="1" applyProtection="1">
      <alignment horizontal="left" vertical="top" wrapText="1"/>
      <protection locked="0"/>
    </xf>
    <xf numFmtId="0" fontId="7" fillId="0" borderId="5" xfId="1" applyFont="1" applyBorder="1" applyAlignment="1" applyProtection="1">
      <alignment horizontal="center" vertical="top" wrapText="1"/>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1" fontId="10" fillId="0" borderId="33" xfId="0" applyNumberFormat="1" applyFont="1" applyBorder="1" applyAlignment="1" applyProtection="1">
      <alignment horizontal="center" vertical="center"/>
      <protection locked="0"/>
    </xf>
    <xf numFmtId="0" fontId="10" fillId="0" borderId="33" xfId="0" applyFont="1" applyBorder="1" applyAlignment="1" applyProtection="1">
      <alignment horizontal="center" vertical="center"/>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8" fillId="0" borderId="3" xfId="0" applyNumberFormat="1" applyFont="1" applyBorder="1" applyAlignment="1" applyProtection="1">
      <alignment horizontal="center" vertical="center" wrapText="1"/>
      <protection locked="0"/>
    </xf>
    <xf numFmtId="1" fontId="10" fillId="0" borderId="3" xfId="0" applyNumberFormat="1"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6" fillId="0" borderId="1" xfId="1" applyFont="1" applyBorder="1" applyAlignment="1" applyProtection="1">
      <alignment horizontal="left" vertical="top"/>
      <protection locked="0"/>
    </xf>
    <xf numFmtId="167" fontId="12" fillId="0" borderId="1" xfId="9" applyNumberFormat="1" applyFont="1" applyFill="1" applyBorder="1" applyAlignment="1" applyProtection="1">
      <alignment horizontal="left" vertical="top"/>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7" fillId="0" borderId="3" xfId="0" applyNumberFormat="1" applyFont="1" applyBorder="1" applyAlignment="1" applyProtection="1">
      <alignment horizontal="center" vertical="center"/>
      <protection locked="0"/>
    </xf>
    <xf numFmtId="1" fontId="10" fillId="0" borderId="1" xfId="0" applyNumberFormat="1"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1" fontId="8" fillId="0" borderId="1"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0" fontId="7" fillId="0" borderId="0" xfId="1" applyFont="1" applyAlignment="1">
      <alignment horizontal="center" vertical="center"/>
    </xf>
    <xf numFmtId="0" fontId="27"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7" fillId="0" borderId="1" xfId="0" applyFont="1" applyBorder="1" applyAlignment="1" applyProtection="1">
      <alignment horizontal="center" vertical="center"/>
      <protection locked="0"/>
    </xf>
    <xf numFmtId="0" fontId="10" fillId="0" borderId="35" xfId="0" applyFont="1" applyBorder="1" applyAlignment="1" applyProtection="1">
      <alignment horizontal="center" vertical="center"/>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1" fontId="34" fillId="0" borderId="3" xfId="1" applyNumberFormat="1" applyFont="1" applyBorder="1" applyAlignment="1" applyProtection="1">
      <alignment horizontal="center" vertical="top" wrapText="1"/>
      <protection locked="0"/>
    </xf>
    <xf numFmtId="1" fontId="34" fillId="0" borderId="16" xfId="1" applyNumberFormat="1" applyFont="1" applyBorder="1" applyAlignment="1" applyProtection="1">
      <alignment horizontal="center" vertical="top" wrapText="1"/>
      <protection locked="0"/>
    </xf>
    <xf numFmtId="0" fontId="12" fillId="0" borderId="1" xfId="1" applyFont="1" applyBorder="1" applyAlignment="1" applyProtection="1">
      <alignment horizontal="center"/>
      <protection locked="0"/>
    </xf>
    <xf numFmtId="2" fontId="6" fillId="0" borderId="1" xfId="1" applyNumberFormat="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0" fontId="7" fillId="0" borderId="1"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15" fillId="0" borderId="8" xfId="1" applyFont="1" applyBorder="1" applyAlignment="1" applyProtection="1">
      <alignment horizontal="left" vertical="top" wrapText="1"/>
      <protection locked="0"/>
    </xf>
    <xf numFmtId="0" fontId="15" fillId="0" borderId="21" xfId="1" applyFont="1" applyBorder="1" applyAlignment="1" applyProtection="1">
      <alignment horizontal="left" vertical="top" wrapText="1"/>
      <protection locked="0"/>
    </xf>
    <xf numFmtId="0" fontId="15" fillId="0" borderId="9"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1"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7" fillId="0" borderId="1" xfId="1" applyFont="1" applyBorder="1" applyAlignment="1" applyProtection="1">
      <alignment horizontal="left" vertical="top"/>
      <protection locked="0"/>
    </xf>
    <xf numFmtId="0" fontId="7"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0" fillId="0" borderId="8" xfId="1" applyFont="1" applyBorder="1" applyAlignment="1" applyProtection="1">
      <alignment horizontal="left" vertical="top"/>
      <protection locked="0"/>
    </xf>
    <xf numFmtId="0" fontId="10" fillId="0" borderId="21" xfId="1" applyFont="1" applyBorder="1" applyAlignment="1" applyProtection="1">
      <alignment horizontal="left" vertical="top"/>
      <protection locked="0"/>
    </xf>
    <xf numFmtId="0" fontId="10" fillId="0" borderId="9" xfId="1" applyFont="1" applyBorder="1" applyAlignment="1" applyProtection="1">
      <alignment horizontal="left" vertical="top"/>
      <protection locked="0"/>
    </xf>
    <xf numFmtId="0" fontId="7" fillId="0" borderId="17" xfId="1" applyFont="1" applyBorder="1" applyAlignment="1" applyProtection="1">
      <alignment horizontal="left" vertical="top"/>
      <protection locked="0"/>
    </xf>
    <xf numFmtId="0" fontId="7" fillId="0" borderId="24" xfId="1" applyFont="1" applyBorder="1" applyAlignment="1" applyProtection="1">
      <alignment horizontal="left" vertical="top"/>
      <protection locked="0"/>
    </xf>
    <xf numFmtId="0" fontId="7" fillId="0" borderId="18" xfId="1" applyFont="1" applyBorder="1" applyAlignment="1" applyProtection="1">
      <alignment horizontal="left" vertical="top"/>
      <protection locked="0"/>
    </xf>
    <xf numFmtId="0" fontId="8" fillId="0" borderId="1" xfId="1" applyFont="1" applyBorder="1" applyAlignment="1" applyProtection="1">
      <alignment vertical="top"/>
      <protection locked="0"/>
    </xf>
    <xf numFmtId="0" fontId="6" fillId="0" borderId="1" xfId="1" applyFont="1" applyBorder="1" applyAlignment="1" applyProtection="1">
      <alignment horizontal="left" vertical="top" wrapText="1"/>
      <protection locked="0"/>
    </xf>
    <xf numFmtId="0" fontId="13" fillId="0" borderId="1" xfId="1" applyFont="1" applyBorder="1" applyAlignment="1" applyProtection="1">
      <alignment horizontal="center"/>
      <protection locked="0"/>
    </xf>
    <xf numFmtId="0" fontId="7" fillId="0" borderId="1" xfId="1" applyFont="1" applyBorder="1" applyAlignment="1" applyProtection="1">
      <alignment horizontal="left"/>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16" fillId="0" borderId="1" xfId="1" applyFont="1" applyBorder="1" applyAlignment="1" applyProtection="1">
      <alignment horizontal="center" vertical="top" wrapText="1"/>
      <protection locked="0"/>
    </xf>
    <xf numFmtId="167" fontId="7" fillId="0" borderId="1" xfId="9" applyNumberFormat="1" applyFont="1" applyFill="1" applyBorder="1" applyAlignment="1" applyProtection="1">
      <alignment horizontal="left" vertical="top"/>
      <protection locked="0"/>
    </xf>
    <xf numFmtId="1" fontId="8"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top" wrapText="1"/>
      <protection locked="0"/>
    </xf>
    <xf numFmtId="0" fontId="8" fillId="0" borderId="16"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1" fontId="8" fillId="6" borderId="8" xfId="1" applyNumberFormat="1" applyFont="1" applyFill="1" applyBorder="1" applyAlignment="1" applyProtection="1">
      <alignment horizontal="center" vertical="center" wrapText="1"/>
      <protection locked="0"/>
    </xf>
    <xf numFmtId="1" fontId="8" fillId="6" borderId="21" xfId="1" applyNumberFormat="1" applyFont="1" applyFill="1" applyBorder="1" applyAlignment="1" applyProtection="1">
      <alignment horizontal="center" vertical="center" wrapText="1"/>
      <protection locked="0"/>
    </xf>
    <xf numFmtId="1" fontId="8" fillId="6" borderId="9" xfId="1" applyNumberFormat="1" applyFont="1" applyFill="1" applyBorder="1" applyAlignment="1" applyProtection="1">
      <alignment horizontal="center" vertical="center" wrapText="1"/>
      <protection locked="0"/>
    </xf>
    <xf numFmtId="0" fontId="6" fillId="0" borderId="1" xfId="1" applyFont="1" applyBorder="1" applyAlignment="1" applyProtection="1">
      <alignment vertical="top"/>
      <protection locked="0"/>
    </xf>
    <xf numFmtId="1" fontId="6" fillId="0" borderId="3" xfId="0" applyNumberFormat="1" applyFont="1" applyBorder="1" applyAlignment="1" applyProtection="1">
      <alignment horizontal="center" vertical="center" wrapText="1"/>
      <protection locked="0"/>
    </xf>
    <xf numFmtId="1" fontId="6" fillId="0" borderId="16" xfId="0" applyNumberFormat="1" applyFont="1" applyBorder="1" applyAlignment="1" applyProtection="1">
      <alignment horizontal="center" vertical="center" wrapText="1"/>
      <protection locked="0"/>
    </xf>
    <xf numFmtId="0" fontId="7" fillId="0" borderId="25" xfId="1" applyFont="1" applyBorder="1" applyAlignment="1">
      <alignment horizontal="center"/>
    </xf>
    <xf numFmtId="0" fontId="7" fillId="0" borderId="0" xfId="1" applyFont="1" applyAlignment="1">
      <alignment horizontal="center"/>
    </xf>
    <xf numFmtId="0" fontId="10" fillId="0" borderId="1" xfId="1" applyFont="1" applyBorder="1" applyAlignment="1" applyProtection="1">
      <alignment horizontal="center"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14" fontId="8" fillId="0" borderId="8" xfId="1" applyNumberFormat="1" applyFont="1" applyBorder="1" applyAlignment="1" applyProtection="1">
      <alignment horizontal="left" vertical="top"/>
      <protection locked="0"/>
    </xf>
    <xf numFmtId="14" fontId="8" fillId="0" borderId="9" xfId="1" applyNumberFormat="1" applyFont="1" applyBorder="1" applyAlignment="1" applyProtection="1">
      <alignment horizontal="left" vertical="top"/>
      <protection locked="0"/>
    </xf>
    <xf numFmtId="0" fontId="15" fillId="0" borderId="1" xfId="1" applyFont="1" applyBorder="1" applyAlignment="1" applyProtection="1">
      <alignment horizontal="left" vertical="top" wrapText="1"/>
      <protection locked="0"/>
    </xf>
    <xf numFmtId="0" fontId="7" fillId="0" borderId="17" xfId="1" applyFont="1" applyBorder="1" applyAlignment="1" applyProtection="1">
      <alignment horizontal="left" vertical="top" wrapText="1"/>
      <protection locked="0"/>
    </xf>
    <xf numFmtId="0" fontId="7" fillId="0" borderId="18" xfId="1" applyFont="1" applyBorder="1" applyAlignment="1" applyProtection="1">
      <alignment horizontal="left" vertical="top" wrapText="1"/>
      <protection locked="0"/>
    </xf>
    <xf numFmtId="0" fontId="7" fillId="0" borderId="19"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1" fontId="8" fillId="0" borderId="1" xfId="0" applyNumberFormat="1" applyFont="1" applyBorder="1" applyAlignment="1" applyProtection="1">
      <alignment horizontal="left" vertical="top" wrapText="1"/>
      <protection locked="0"/>
    </xf>
    <xf numFmtId="0" fontId="12" fillId="0" borderId="25" xfId="1" applyFont="1" applyBorder="1" applyAlignment="1" applyProtection="1">
      <alignment horizontal="left" vertical="top" wrapText="1"/>
      <protection locked="0"/>
    </xf>
    <xf numFmtId="0" fontId="12" fillId="0" borderId="0"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1" fontId="6" fillId="0" borderId="17" xfId="1" applyNumberFormat="1" applyFont="1" applyBorder="1" applyAlignment="1" applyProtection="1">
      <alignment horizontal="center" vertical="center" wrapText="1"/>
      <protection locked="0"/>
    </xf>
    <xf numFmtId="1" fontId="6" fillId="0" borderId="24"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25" xfId="1" applyNumberFormat="1" applyFont="1" applyBorder="1" applyAlignment="1" applyProtection="1">
      <alignment horizontal="center" vertical="center" wrapText="1"/>
      <protection locked="0"/>
    </xf>
    <xf numFmtId="1" fontId="6" fillId="0" borderId="0" xfId="1" applyNumberFormat="1" applyFont="1" applyBorder="1" applyAlignment="1" applyProtection="1">
      <alignment horizontal="center" vertical="center" wrapText="1"/>
      <protection locked="0"/>
    </xf>
    <xf numFmtId="1" fontId="6" fillId="0" borderId="26"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2"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6" fillId="0" borderId="3" xfId="1" applyNumberFormat="1" applyFont="1" applyBorder="1" applyAlignment="1" applyProtection="1">
      <alignment horizontal="center" vertical="center" wrapText="1"/>
      <protection locked="0"/>
    </xf>
    <xf numFmtId="1" fontId="6" fillId="0" borderId="34" xfId="1" applyNumberFormat="1" applyFont="1" applyBorder="1" applyAlignment="1" applyProtection="1">
      <alignment horizontal="center" vertical="center" wrapText="1"/>
      <protection locked="0"/>
    </xf>
    <xf numFmtId="1" fontId="6" fillId="0" borderId="16" xfId="1" applyNumberFormat="1" applyFont="1" applyBorder="1" applyAlignment="1" applyProtection="1">
      <alignment horizontal="center" vertical="center" wrapText="1"/>
      <protection locked="0"/>
    </xf>
    <xf numFmtId="1" fontId="6" fillId="0" borderId="34" xfId="0" applyNumberFormat="1" applyFont="1" applyBorder="1" applyAlignment="1" applyProtection="1">
      <alignment horizontal="center" vertical="center" wrapText="1"/>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xf numFmtId="0" fontId="13"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0" fontId="25" fillId="2" borderId="15" xfId="0" applyFont="1" applyFill="1" applyBorder="1"/>
    <xf numFmtId="0" fontId="26" fillId="0" borderId="9" xfId="0" applyFont="1" applyBorder="1"/>
    <xf numFmtId="0" fontId="8" fillId="0" borderId="36" xfId="1" applyFont="1" applyBorder="1" applyAlignment="1" applyProtection="1">
      <alignment horizontal="left" vertical="top" wrapText="1"/>
      <protection locked="0"/>
    </xf>
    <xf numFmtId="0" fontId="8" fillId="0" borderId="20" xfId="1" applyFont="1" applyBorder="1" applyAlignment="1" applyProtection="1">
      <alignment horizontal="left" vertical="top" wrapText="1"/>
      <protection locked="0"/>
    </xf>
    <xf numFmtId="0" fontId="8" fillId="0" borderId="19" xfId="1" applyFont="1" applyBorder="1" applyAlignment="1" applyProtection="1">
      <alignment horizontal="left" vertical="top" wrapText="1"/>
      <protection locked="0"/>
    </xf>
    <xf numFmtId="0" fontId="8" fillId="0" borderId="2" xfId="1" applyFont="1" applyBorder="1" applyAlignment="1" applyProtection="1">
      <alignment horizontal="left" vertical="top" wrapText="1"/>
      <protection locked="0"/>
    </xf>
    <xf numFmtId="0" fontId="8" fillId="0" borderId="37" xfId="1" applyFont="1" applyBorder="1" applyAlignment="1" applyProtection="1">
      <alignment horizontal="left" vertical="top" wrapText="1"/>
      <protection locked="0"/>
    </xf>
    <xf numFmtId="0" fontId="8" fillId="0" borderId="1" xfId="1" applyFont="1" applyBorder="1" applyAlignment="1" applyProtection="1">
      <alignment horizontal="left" vertical="top" wrapText="1"/>
      <protection locked="0"/>
    </xf>
    <xf numFmtId="9" fontId="7" fillId="0" borderId="1" xfId="8" applyFont="1" applyFill="1" applyBorder="1" applyAlignment="1" applyProtection="1">
      <alignment horizontal="center" vertical="center" wrapText="1"/>
      <protection locked="0"/>
    </xf>
    <xf numFmtId="1" fontId="8" fillId="0" borderId="1" xfId="1" applyNumberFormat="1" applyFont="1" applyBorder="1" applyAlignment="1" applyProtection="1">
      <alignment horizontal="center" vertical="top" wrapText="1"/>
      <protection locked="0"/>
    </xf>
    <xf numFmtId="1" fontId="10" fillId="0" borderId="1" xfId="1" applyNumberFormat="1" applyFont="1" applyBorder="1" applyAlignment="1" applyProtection="1">
      <alignment horizontal="center" vertical="top" wrapText="1"/>
      <protection locked="0"/>
    </xf>
    <xf numFmtId="1" fontId="4" fillId="0" borderId="1" xfId="1" applyNumberFormat="1" applyFont="1" applyBorder="1" applyAlignment="1" applyProtection="1">
      <alignment horizontal="center" vertical="top" wrapText="1"/>
      <protection locked="0"/>
    </xf>
    <xf numFmtId="1" fontId="8" fillId="0" borderId="1" xfId="1" applyNumberFormat="1" applyFont="1" applyBorder="1" applyAlignment="1" applyProtection="1">
      <alignment horizontal="center" vertical="top" wrapText="1"/>
      <protection locked="0"/>
    </xf>
    <xf numFmtId="9" fontId="10" fillId="0" borderId="1" xfId="8" applyFont="1" applyFill="1" applyBorder="1" applyAlignment="1" applyProtection="1">
      <alignment horizontal="center" vertical="top" wrapText="1"/>
      <protection locked="0"/>
    </xf>
    <xf numFmtId="1" fontId="8" fillId="6" borderId="1" xfId="1" applyNumberFormat="1" applyFont="1" applyFill="1" applyBorder="1" applyAlignment="1" applyProtection="1">
      <alignment horizontal="center" vertical="center"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jpeg"/><Relationship Id="rId30" Type="http://schemas.openxmlformats.org/officeDocument/2006/relationships/image" Target="../media/image30.png"/><Relationship Id="rId35" Type="http://schemas.openxmlformats.org/officeDocument/2006/relationships/image" Target="../media/image35.png"/><Relationship Id="rId8" Type="http://schemas.openxmlformats.org/officeDocument/2006/relationships/image" Target="../media/image8.png"/></Relationships>
</file>

<file path=xl/drawings/_rels/drawing2.xml.rels><?xml version="1.0" encoding="UTF-8" standalone="yes"?>
<Relationships xmlns="http://schemas.openxmlformats.org/package/2006/relationships"><Relationship Id="rId1" Type="http://schemas.openxmlformats.org/officeDocument/2006/relationships/image" Target="../media/image38.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7.png"/><Relationship Id="rId1" Type="http://schemas.openxmlformats.org/officeDocument/2006/relationships/image" Target="../media/image36.png"/></Relationships>
</file>

<file path=xl/drawings/drawing1.xml><?xml version="1.0" encoding="utf-8"?>
<xdr:wsDr xmlns:xdr="http://schemas.openxmlformats.org/drawingml/2006/spreadsheetDrawing" xmlns:a="http://schemas.openxmlformats.org/drawingml/2006/main">
  <xdr:twoCellAnchor editAs="oneCell">
    <xdr:from>
      <xdr:col>8</xdr:col>
      <xdr:colOff>685800</xdr:colOff>
      <xdr:row>2</xdr:row>
      <xdr:rowOff>9525</xdr:rowOff>
    </xdr:from>
    <xdr:to>
      <xdr:col>13</xdr:col>
      <xdr:colOff>794775</xdr:colOff>
      <xdr:row>15</xdr:row>
      <xdr:rowOff>733668</xdr:rowOff>
    </xdr:to>
    <xdr:pic>
      <xdr:nvPicPr>
        <xdr:cNvPr id="2" name="Picture 1">
          <a:extLst>
            <a:ext uri="{FF2B5EF4-FFF2-40B4-BE49-F238E27FC236}">
              <a16:creationId xmlns:a16="http://schemas.microsoft.com/office/drawing/2014/main" id="{786D2177-C5D1-4287-BA0C-E8C9300A6B15}"/>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7000875" y="809625"/>
          <a:ext cx="4500000" cy="3308219"/>
        </a:xfrm>
        <a:prstGeom prst="rect">
          <a:avLst/>
        </a:prstGeom>
        <a:ln>
          <a:solidFill>
            <a:schemeClr val="tx1"/>
          </a:solidFill>
        </a:ln>
      </xdr:spPr>
    </xdr:pic>
    <xdr:clientData/>
  </xdr:twoCellAnchor>
  <xdr:twoCellAnchor editAs="oneCell">
    <xdr:from>
      <xdr:col>8</xdr:col>
      <xdr:colOff>561975</xdr:colOff>
      <xdr:row>16</xdr:row>
      <xdr:rowOff>257175</xdr:rowOff>
    </xdr:from>
    <xdr:to>
      <xdr:col>12</xdr:col>
      <xdr:colOff>267161</xdr:colOff>
      <xdr:row>21</xdr:row>
      <xdr:rowOff>219235</xdr:rowOff>
    </xdr:to>
    <xdr:pic>
      <xdr:nvPicPr>
        <xdr:cNvPr id="3" name="Picture 2">
          <a:extLst>
            <a:ext uri="{FF2B5EF4-FFF2-40B4-BE49-F238E27FC236}">
              <a16:creationId xmlns:a16="http://schemas.microsoft.com/office/drawing/2014/main" id="{9A1E9BD7-2D94-43EE-9E5B-3386EDDA6AE5}"/>
            </a:ext>
          </a:extLst>
        </xdr:cNvPr>
        <xdr:cNvPicPr>
          <a:picLocks noChangeAspect="1"/>
        </xdr:cNvPicPr>
      </xdr:nvPicPr>
      <xdr:blipFill>
        <a:blip xmlns:r="http://schemas.openxmlformats.org/officeDocument/2006/relationships" r:embed="rId2"/>
        <a:stretch>
          <a:fillRect/>
        </a:stretch>
      </xdr:blipFill>
      <xdr:spPr>
        <a:xfrm>
          <a:off x="6877050" y="4257675"/>
          <a:ext cx="3305636" cy="1152686"/>
        </a:xfrm>
        <a:prstGeom prst="rect">
          <a:avLst/>
        </a:prstGeom>
        <a:ln>
          <a:solidFill>
            <a:schemeClr val="tx1"/>
          </a:solidFill>
        </a:ln>
      </xdr:spPr>
    </xdr:pic>
    <xdr:clientData/>
  </xdr:twoCellAnchor>
  <xdr:twoCellAnchor editAs="oneCell">
    <xdr:from>
      <xdr:col>8</xdr:col>
      <xdr:colOff>714375</xdr:colOff>
      <xdr:row>171</xdr:row>
      <xdr:rowOff>76200</xdr:rowOff>
    </xdr:from>
    <xdr:to>
      <xdr:col>13</xdr:col>
      <xdr:colOff>476830</xdr:colOff>
      <xdr:row>186</xdr:row>
      <xdr:rowOff>76619</xdr:rowOff>
    </xdr:to>
    <xdr:pic>
      <xdr:nvPicPr>
        <xdr:cNvPr id="4" name="Picture 3">
          <a:extLst>
            <a:ext uri="{FF2B5EF4-FFF2-40B4-BE49-F238E27FC236}">
              <a16:creationId xmlns:a16="http://schemas.microsoft.com/office/drawing/2014/main" id="{F20E60AC-57CF-49D7-B24C-A7C1B1206501}"/>
            </a:ext>
          </a:extLst>
        </xdr:cNvPr>
        <xdr:cNvPicPr>
          <a:picLocks noChangeAspect="1"/>
        </xdr:cNvPicPr>
      </xdr:nvPicPr>
      <xdr:blipFill>
        <a:blip xmlns:r="http://schemas.openxmlformats.org/officeDocument/2006/relationships" r:embed="rId3"/>
        <a:stretch>
          <a:fillRect/>
        </a:stretch>
      </xdr:blipFill>
      <xdr:spPr>
        <a:xfrm>
          <a:off x="7029450" y="41128950"/>
          <a:ext cx="4153480" cy="3000794"/>
        </a:xfrm>
        <a:prstGeom prst="rect">
          <a:avLst/>
        </a:prstGeom>
        <a:ln>
          <a:solidFill>
            <a:schemeClr val="tx1"/>
          </a:solidFill>
        </a:ln>
      </xdr:spPr>
    </xdr:pic>
    <xdr:clientData/>
  </xdr:twoCellAnchor>
  <xdr:twoCellAnchor editAs="oneCell">
    <xdr:from>
      <xdr:col>8</xdr:col>
      <xdr:colOff>714375</xdr:colOff>
      <xdr:row>185</xdr:row>
      <xdr:rowOff>85725</xdr:rowOff>
    </xdr:from>
    <xdr:to>
      <xdr:col>13</xdr:col>
      <xdr:colOff>438724</xdr:colOff>
      <xdr:row>192</xdr:row>
      <xdr:rowOff>152605</xdr:rowOff>
    </xdr:to>
    <xdr:pic>
      <xdr:nvPicPr>
        <xdr:cNvPr id="5" name="Picture 4">
          <a:extLst>
            <a:ext uri="{FF2B5EF4-FFF2-40B4-BE49-F238E27FC236}">
              <a16:creationId xmlns:a16="http://schemas.microsoft.com/office/drawing/2014/main" id="{8CB49DB3-7051-466E-87A1-DABC76CA362D}"/>
            </a:ext>
          </a:extLst>
        </xdr:cNvPr>
        <xdr:cNvPicPr>
          <a:picLocks noChangeAspect="1"/>
        </xdr:cNvPicPr>
      </xdr:nvPicPr>
      <xdr:blipFill>
        <a:blip xmlns:r="http://schemas.openxmlformats.org/officeDocument/2006/relationships" r:embed="rId4"/>
        <a:stretch>
          <a:fillRect/>
        </a:stretch>
      </xdr:blipFill>
      <xdr:spPr>
        <a:xfrm>
          <a:off x="7029450" y="44138850"/>
          <a:ext cx="4115374" cy="1467055"/>
        </a:xfrm>
        <a:prstGeom prst="rect">
          <a:avLst/>
        </a:prstGeom>
        <a:ln>
          <a:solidFill>
            <a:schemeClr val="tx1"/>
          </a:solidFill>
        </a:ln>
      </xdr:spPr>
    </xdr:pic>
    <xdr:clientData/>
  </xdr:twoCellAnchor>
  <xdr:twoCellAnchor editAs="oneCell">
    <xdr:from>
      <xdr:col>9</xdr:col>
      <xdr:colOff>361950</xdr:colOff>
      <xdr:row>192</xdr:row>
      <xdr:rowOff>171450</xdr:rowOff>
    </xdr:from>
    <xdr:to>
      <xdr:col>13</xdr:col>
      <xdr:colOff>438611</xdr:colOff>
      <xdr:row>207</xdr:row>
      <xdr:rowOff>152817</xdr:rowOff>
    </xdr:to>
    <xdr:pic>
      <xdr:nvPicPr>
        <xdr:cNvPr id="6" name="Picture 5">
          <a:extLst>
            <a:ext uri="{FF2B5EF4-FFF2-40B4-BE49-F238E27FC236}">
              <a16:creationId xmlns:a16="http://schemas.microsoft.com/office/drawing/2014/main" id="{D277C5E0-E938-487C-A640-837AE0A64BEF}"/>
            </a:ext>
          </a:extLst>
        </xdr:cNvPr>
        <xdr:cNvPicPr>
          <a:picLocks noChangeAspect="1"/>
        </xdr:cNvPicPr>
      </xdr:nvPicPr>
      <xdr:blipFill>
        <a:blip xmlns:r="http://schemas.openxmlformats.org/officeDocument/2006/relationships" r:embed="rId5"/>
        <a:stretch>
          <a:fillRect/>
        </a:stretch>
      </xdr:blipFill>
      <xdr:spPr>
        <a:xfrm>
          <a:off x="7839075" y="45624750"/>
          <a:ext cx="3305636" cy="2981741"/>
        </a:xfrm>
        <a:prstGeom prst="rect">
          <a:avLst/>
        </a:prstGeom>
        <a:ln>
          <a:solidFill>
            <a:schemeClr val="tx1"/>
          </a:solidFill>
        </a:ln>
      </xdr:spPr>
    </xdr:pic>
    <xdr:clientData/>
  </xdr:twoCellAnchor>
  <xdr:twoCellAnchor editAs="oneCell">
    <xdr:from>
      <xdr:col>9</xdr:col>
      <xdr:colOff>361950</xdr:colOff>
      <xdr:row>207</xdr:row>
      <xdr:rowOff>171450</xdr:rowOff>
    </xdr:from>
    <xdr:to>
      <xdr:col>13</xdr:col>
      <xdr:colOff>467190</xdr:colOff>
      <xdr:row>219</xdr:row>
      <xdr:rowOff>47942</xdr:rowOff>
    </xdr:to>
    <xdr:pic>
      <xdr:nvPicPr>
        <xdr:cNvPr id="7" name="Picture 6">
          <a:extLst>
            <a:ext uri="{FF2B5EF4-FFF2-40B4-BE49-F238E27FC236}">
              <a16:creationId xmlns:a16="http://schemas.microsoft.com/office/drawing/2014/main" id="{A6AB5245-70B6-4D7C-9D1F-8D75AA5ED4F2}"/>
            </a:ext>
          </a:extLst>
        </xdr:cNvPr>
        <xdr:cNvPicPr>
          <a:picLocks noChangeAspect="1"/>
        </xdr:cNvPicPr>
      </xdr:nvPicPr>
      <xdr:blipFill>
        <a:blip xmlns:r="http://schemas.openxmlformats.org/officeDocument/2006/relationships" r:embed="rId6"/>
        <a:stretch>
          <a:fillRect/>
        </a:stretch>
      </xdr:blipFill>
      <xdr:spPr>
        <a:xfrm>
          <a:off x="7839075" y="48625125"/>
          <a:ext cx="3334215" cy="2276793"/>
        </a:xfrm>
        <a:prstGeom prst="rect">
          <a:avLst/>
        </a:prstGeom>
        <a:ln>
          <a:solidFill>
            <a:schemeClr val="tx1"/>
          </a:solidFill>
        </a:ln>
      </xdr:spPr>
    </xdr:pic>
    <xdr:clientData/>
  </xdr:twoCellAnchor>
  <xdr:twoCellAnchor editAs="oneCell">
    <xdr:from>
      <xdr:col>10</xdr:col>
      <xdr:colOff>76200</xdr:colOff>
      <xdr:row>219</xdr:row>
      <xdr:rowOff>171450</xdr:rowOff>
    </xdr:from>
    <xdr:to>
      <xdr:col>14</xdr:col>
      <xdr:colOff>695873</xdr:colOff>
      <xdr:row>248</xdr:row>
      <xdr:rowOff>162650</xdr:rowOff>
    </xdr:to>
    <xdr:pic>
      <xdr:nvPicPr>
        <xdr:cNvPr id="8" name="Picture 7">
          <a:extLst>
            <a:ext uri="{FF2B5EF4-FFF2-40B4-BE49-F238E27FC236}">
              <a16:creationId xmlns:a16="http://schemas.microsoft.com/office/drawing/2014/main" id="{DF60FF82-8761-408B-A155-BFC1AFA50AC0}"/>
            </a:ext>
          </a:extLst>
        </xdr:cNvPr>
        <xdr:cNvPicPr>
          <a:picLocks noChangeAspect="1"/>
        </xdr:cNvPicPr>
      </xdr:nvPicPr>
      <xdr:blipFill>
        <a:blip xmlns:r="http://schemas.openxmlformats.org/officeDocument/2006/relationships" r:embed="rId7"/>
        <a:stretch>
          <a:fillRect/>
        </a:stretch>
      </xdr:blipFill>
      <xdr:spPr>
        <a:xfrm>
          <a:off x="8315325" y="43738800"/>
          <a:ext cx="3924848" cy="5191850"/>
        </a:xfrm>
        <a:prstGeom prst="rect">
          <a:avLst/>
        </a:prstGeom>
      </xdr:spPr>
    </xdr:pic>
    <xdr:clientData/>
  </xdr:twoCellAnchor>
  <xdr:twoCellAnchor editAs="oneCell">
    <xdr:from>
      <xdr:col>10</xdr:col>
      <xdr:colOff>266700</xdr:colOff>
      <xdr:row>260</xdr:row>
      <xdr:rowOff>123825</xdr:rowOff>
    </xdr:from>
    <xdr:to>
      <xdr:col>15</xdr:col>
      <xdr:colOff>29116</xdr:colOff>
      <xdr:row>275</xdr:row>
      <xdr:rowOff>143297</xdr:rowOff>
    </xdr:to>
    <xdr:pic>
      <xdr:nvPicPr>
        <xdr:cNvPr id="9" name="Picture 8">
          <a:extLst>
            <a:ext uri="{FF2B5EF4-FFF2-40B4-BE49-F238E27FC236}">
              <a16:creationId xmlns:a16="http://schemas.microsoft.com/office/drawing/2014/main" id="{C542C3B8-9711-420F-B701-AFE9D816C972}"/>
            </a:ext>
          </a:extLst>
        </xdr:cNvPr>
        <xdr:cNvPicPr>
          <a:picLocks noChangeAspect="1"/>
        </xdr:cNvPicPr>
      </xdr:nvPicPr>
      <xdr:blipFill>
        <a:blip xmlns:r="http://schemas.openxmlformats.org/officeDocument/2006/relationships" r:embed="rId8"/>
        <a:stretch>
          <a:fillRect/>
        </a:stretch>
      </xdr:blipFill>
      <xdr:spPr>
        <a:xfrm>
          <a:off x="8505825" y="53882925"/>
          <a:ext cx="3877216" cy="3019847"/>
        </a:xfrm>
        <a:prstGeom prst="rect">
          <a:avLst/>
        </a:prstGeom>
        <a:ln>
          <a:solidFill>
            <a:schemeClr val="tx1"/>
          </a:solidFill>
        </a:ln>
      </xdr:spPr>
    </xdr:pic>
    <xdr:clientData/>
  </xdr:twoCellAnchor>
  <xdr:twoCellAnchor editAs="oneCell">
    <xdr:from>
      <xdr:col>8</xdr:col>
      <xdr:colOff>885825</xdr:colOff>
      <xdr:row>248</xdr:row>
      <xdr:rowOff>28575</xdr:rowOff>
    </xdr:from>
    <xdr:to>
      <xdr:col>13</xdr:col>
      <xdr:colOff>152911</xdr:colOff>
      <xdr:row>260</xdr:row>
      <xdr:rowOff>95593</xdr:rowOff>
    </xdr:to>
    <xdr:pic>
      <xdr:nvPicPr>
        <xdr:cNvPr id="10" name="Picture 9">
          <a:extLst>
            <a:ext uri="{FF2B5EF4-FFF2-40B4-BE49-F238E27FC236}">
              <a16:creationId xmlns:a16="http://schemas.microsoft.com/office/drawing/2014/main" id="{37328356-A6D2-403C-BACD-E07DA1057FBE}"/>
            </a:ext>
          </a:extLst>
        </xdr:cNvPr>
        <xdr:cNvPicPr>
          <a:picLocks noChangeAspect="1"/>
        </xdr:cNvPicPr>
      </xdr:nvPicPr>
      <xdr:blipFill>
        <a:blip xmlns:r="http://schemas.openxmlformats.org/officeDocument/2006/relationships" r:embed="rId9"/>
        <a:stretch>
          <a:fillRect/>
        </a:stretch>
      </xdr:blipFill>
      <xdr:spPr>
        <a:xfrm>
          <a:off x="7200900" y="56311800"/>
          <a:ext cx="3658111" cy="2467319"/>
        </a:xfrm>
        <a:prstGeom prst="rect">
          <a:avLst/>
        </a:prstGeom>
        <a:ln>
          <a:solidFill>
            <a:schemeClr val="tx1"/>
          </a:solidFill>
        </a:ln>
      </xdr:spPr>
    </xdr:pic>
    <xdr:clientData/>
  </xdr:twoCellAnchor>
  <xdr:twoCellAnchor editAs="oneCell">
    <xdr:from>
      <xdr:col>8</xdr:col>
      <xdr:colOff>476250</xdr:colOff>
      <xdr:row>61</xdr:row>
      <xdr:rowOff>123825</xdr:rowOff>
    </xdr:from>
    <xdr:to>
      <xdr:col>13</xdr:col>
      <xdr:colOff>600705</xdr:colOff>
      <xdr:row>62</xdr:row>
      <xdr:rowOff>333432</xdr:rowOff>
    </xdr:to>
    <xdr:pic>
      <xdr:nvPicPr>
        <xdr:cNvPr id="11" name="Picture 10">
          <a:extLst>
            <a:ext uri="{FF2B5EF4-FFF2-40B4-BE49-F238E27FC236}">
              <a16:creationId xmlns:a16="http://schemas.microsoft.com/office/drawing/2014/main" id="{742E5229-B9E6-4F1E-9CA9-D2D397DC18E0}"/>
            </a:ext>
          </a:extLst>
        </xdr:cNvPr>
        <xdr:cNvPicPr>
          <a:picLocks noChangeAspect="1"/>
        </xdr:cNvPicPr>
      </xdr:nvPicPr>
      <xdr:blipFill>
        <a:blip xmlns:r="http://schemas.openxmlformats.org/officeDocument/2006/relationships" r:embed="rId10"/>
        <a:stretch>
          <a:fillRect/>
        </a:stretch>
      </xdr:blipFill>
      <xdr:spPr>
        <a:xfrm>
          <a:off x="6791325" y="15306675"/>
          <a:ext cx="4515480" cy="409632"/>
        </a:xfrm>
        <a:prstGeom prst="rect">
          <a:avLst/>
        </a:prstGeom>
      </xdr:spPr>
    </xdr:pic>
    <xdr:clientData/>
  </xdr:twoCellAnchor>
  <xdr:twoCellAnchor editAs="oneCell">
    <xdr:from>
      <xdr:col>8</xdr:col>
      <xdr:colOff>495300</xdr:colOff>
      <xdr:row>63</xdr:row>
      <xdr:rowOff>0</xdr:rowOff>
    </xdr:from>
    <xdr:to>
      <xdr:col>11</xdr:col>
      <xdr:colOff>467095</xdr:colOff>
      <xdr:row>64</xdr:row>
      <xdr:rowOff>104818</xdr:rowOff>
    </xdr:to>
    <xdr:pic>
      <xdr:nvPicPr>
        <xdr:cNvPr id="12" name="Picture 11">
          <a:extLst>
            <a:ext uri="{FF2B5EF4-FFF2-40B4-BE49-F238E27FC236}">
              <a16:creationId xmlns:a16="http://schemas.microsoft.com/office/drawing/2014/main" id="{DA395BFE-38DF-4E2A-BEC0-94929E4176D4}"/>
            </a:ext>
          </a:extLst>
        </xdr:cNvPr>
        <xdr:cNvPicPr>
          <a:picLocks noChangeAspect="1"/>
        </xdr:cNvPicPr>
      </xdr:nvPicPr>
      <xdr:blipFill>
        <a:blip xmlns:r="http://schemas.openxmlformats.org/officeDocument/2006/relationships" r:embed="rId11"/>
        <a:stretch>
          <a:fillRect/>
        </a:stretch>
      </xdr:blipFill>
      <xdr:spPr>
        <a:xfrm>
          <a:off x="6810375" y="15782925"/>
          <a:ext cx="2648320" cy="304843"/>
        </a:xfrm>
        <a:prstGeom prst="rect">
          <a:avLst/>
        </a:prstGeom>
        <a:ln>
          <a:solidFill>
            <a:schemeClr val="tx1"/>
          </a:solidFill>
        </a:ln>
      </xdr:spPr>
    </xdr:pic>
    <xdr:clientData/>
  </xdr:twoCellAnchor>
  <xdr:twoCellAnchor editAs="oneCell">
    <xdr:from>
      <xdr:col>8</xdr:col>
      <xdr:colOff>485775</xdr:colOff>
      <xdr:row>65</xdr:row>
      <xdr:rowOff>57150</xdr:rowOff>
    </xdr:from>
    <xdr:to>
      <xdr:col>11</xdr:col>
      <xdr:colOff>467096</xdr:colOff>
      <xdr:row>70</xdr:row>
      <xdr:rowOff>38133</xdr:rowOff>
    </xdr:to>
    <xdr:pic>
      <xdr:nvPicPr>
        <xdr:cNvPr id="13" name="Picture 12">
          <a:extLst>
            <a:ext uri="{FF2B5EF4-FFF2-40B4-BE49-F238E27FC236}">
              <a16:creationId xmlns:a16="http://schemas.microsoft.com/office/drawing/2014/main" id="{BAE32981-AC5E-4DDA-818D-C7621050B06F}"/>
            </a:ext>
          </a:extLst>
        </xdr:cNvPr>
        <xdr:cNvPicPr>
          <a:picLocks noChangeAspect="1"/>
        </xdr:cNvPicPr>
      </xdr:nvPicPr>
      <xdr:blipFill>
        <a:blip xmlns:r="http://schemas.openxmlformats.org/officeDocument/2006/relationships" r:embed="rId12"/>
        <a:stretch>
          <a:fillRect/>
        </a:stretch>
      </xdr:blipFill>
      <xdr:spPr>
        <a:xfrm>
          <a:off x="6800850" y="16240125"/>
          <a:ext cx="2657846" cy="238158"/>
        </a:xfrm>
        <a:prstGeom prst="rect">
          <a:avLst/>
        </a:prstGeom>
        <a:ln>
          <a:solidFill>
            <a:schemeClr val="tx1"/>
          </a:solidFill>
        </a:ln>
      </xdr:spPr>
    </xdr:pic>
    <xdr:clientData/>
  </xdr:twoCellAnchor>
  <xdr:twoCellAnchor editAs="oneCell">
    <xdr:from>
      <xdr:col>8</xdr:col>
      <xdr:colOff>476250</xdr:colOff>
      <xdr:row>67</xdr:row>
      <xdr:rowOff>9525</xdr:rowOff>
    </xdr:from>
    <xdr:to>
      <xdr:col>11</xdr:col>
      <xdr:colOff>476624</xdr:colOff>
      <xdr:row>69</xdr:row>
      <xdr:rowOff>190500</xdr:rowOff>
    </xdr:to>
    <xdr:pic>
      <xdr:nvPicPr>
        <xdr:cNvPr id="14" name="Picture 13">
          <a:extLst>
            <a:ext uri="{FF2B5EF4-FFF2-40B4-BE49-F238E27FC236}">
              <a16:creationId xmlns:a16="http://schemas.microsoft.com/office/drawing/2014/main" id="{31CFE0C2-4536-49A5-8EE7-2E8B14527473}"/>
            </a:ext>
          </a:extLst>
        </xdr:cNvPr>
        <xdr:cNvPicPr>
          <a:picLocks noChangeAspect="1"/>
        </xdr:cNvPicPr>
      </xdr:nvPicPr>
      <xdr:blipFill>
        <a:blip xmlns:r="http://schemas.openxmlformats.org/officeDocument/2006/relationships" r:embed="rId13"/>
        <a:stretch>
          <a:fillRect/>
        </a:stretch>
      </xdr:blipFill>
      <xdr:spPr>
        <a:xfrm>
          <a:off x="6791325" y="16592550"/>
          <a:ext cx="2676899" cy="200053"/>
        </a:xfrm>
        <a:prstGeom prst="rect">
          <a:avLst/>
        </a:prstGeom>
        <a:ln>
          <a:solidFill>
            <a:schemeClr val="tx1"/>
          </a:solidFill>
        </a:ln>
      </xdr:spPr>
    </xdr:pic>
    <xdr:clientData/>
  </xdr:twoCellAnchor>
  <xdr:twoCellAnchor editAs="oneCell">
    <xdr:from>
      <xdr:col>8</xdr:col>
      <xdr:colOff>609600</xdr:colOff>
      <xdr:row>287</xdr:row>
      <xdr:rowOff>19050</xdr:rowOff>
    </xdr:from>
    <xdr:to>
      <xdr:col>13</xdr:col>
      <xdr:colOff>29107</xdr:colOff>
      <xdr:row>311</xdr:row>
      <xdr:rowOff>124510</xdr:rowOff>
    </xdr:to>
    <xdr:pic>
      <xdr:nvPicPr>
        <xdr:cNvPr id="15" name="Picture 14">
          <a:extLst>
            <a:ext uri="{FF2B5EF4-FFF2-40B4-BE49-F238E27FC236}">
              <a16:creationId xmlns:a16="http://schemas.microsoft.com/office/drawing/2014/main" id="{435E451F-E118-4E83-89F9-F9A1DBE8415E}"/>
            </a:ext>
          </a:extLst>
        </xdr:cNvPr>
        <xdr:cNvPicPr>
          <a:picLocks noChangeAspect="1"/>
        </xdr:cNvPicPr>
      </xdr:nvPicPr>
      <xdr:blipFill>
        <a:blip xmlns:r="http://schemas.openxmlformats.org/officeDocument/2006/relationships" r:embed="rId14"/>
        <a:stretch>
          <a:fillRect/>
        </a:stretch>
      </xdr:blipFill>
      <xdr:spPr>
        <a:xfrm>
          <a:off x="6924675" y="64103250"/>
          <a:ext cx="3810532" cy="4906060"/>
        </a:xfrm>
        <a:prstGeom prst="rect">
          <a:avLst/>
        </a:prstGeom>
        <a:ln>
          <a:solidFill>
            <a:schemeClr val="tx1"/>
          </a:solidFill>
        </a:ln>
      </xdr:spPr>
    </xdr:pic>
    <xdr:clientData/>
  </xdr:twoCellAnchor>
  <xdr:twoCellAnchor editAs="oneCell">
    <xdr:from>
      <xdr:col>8</xdr:col>
      <xdr:colOff>609600</xdr:colOff>
      <xdr:row>278</xdr:row>
      <xdr:rowOff>76200</xdr:rowOff>
    </xdr:from>
    <xdr:to>
      <xdr:col>12</xdr:col>
      <xdr:colOff>514839</xdr:colOff>
      <xdr:row>286</xdr:row>
      <xdr:rowOff>9739</xdr:rowOff>
    </xdr:to>
    <xdr:pic>
      <xdr:nvPicPr>
        <xdr:cNvPr id="16" name="Picture 15">
          <a:extLst>
            <a:ext uri="{FF2B5EF4-FFF2-40B4-BE49-F238E27FC236}">
              <a16:creationId xmlns:a16="http://schemas.microsoft.com/office/drawing/2014/main" id="{7228D0CD-C81F-4440-ABB5-1B6C440DAF9F}"/>
            </a:ext>
          </a:extLst>
        </xdr:cNvPr>
        <xdr:cNvPicPr>
          <a:picLocks noChangeAspect="1"/>
        </xdr:cNvPicPr>
      </xdr:nvPicPr>
      <xdr:blipFill>
        <a:blip xmlns:r="http://schemas.openxmlformats.org/officeDocument/2006/relationships" r:embed="rId15"/>
        <a:stretch>
          <a:fillRect/>
        </a:stretch>
      </xdr:blipFill>
      <xdr:spPr>
        <a:xfrm>
          <a:off x="6924675" y="62360175"/>
          <a:ext cx="3505689" cy="1533739"/>
        </a:xfrm>
        <a:prstGeom prst="rect">
          <a:avLst/>
        </a:prstGeom>
        <a:ln>
          <a:solidFill>
            <a:schemeClr val="tx1"/>
          </a:solidFill>
        </a:ln>
      </xdr:spPr>
    </xdr:pic>
    <xdr:clientData/>
  </xdr:twoCellAnchor>
  <xdr:twoCellAnchor editAs="oneCell">
    <xdr:from>
      <xdr:col>8</xdr:col>
      <xdr:colOff>695325</xdr:colOff>
      <xdr:row>320</xdr:row>
      <xdr:rowOff>171450</xdr:rowOff>
    </xdr:from>
    <xdr:to>
      <xdr:col>12</xdr:col>
      <xdr:colOff>638670</xdr:colOff>
      <xdr:row>328</xdr:row>
      <xdr:rowOff>95463</xdr:rowOff>
    </xdr:to>
    <xdr:pic>
      <xdr:nvPicPr>
        <xdr:cNvPr id="17" name="Picture 16">
          <a:extLst>
            <a:ext uri="{FF2B5EF4-FFF2-40B4-BE49-F238E27FC236}">
              <a16:creationId xmlns:a16="http://schemas.microsoft.com/office/drawing/2014/main" id="{4B3EF23B-9B25-4EFB-9D0F-08D652CCDFC9}"/>
            </a:ext>
          </a:extLst>
        </xdr:cNvPr>
        <xdr:cNvPicPr>
          <a:picLocks noChangeAspect="1"/>
        </xdr:cNvPicPr>
      </xdr:nvPicPr>
      <xdr:blipFill>
        <a:blip xmlns:r="http://schemas.openxmlformats.org/officeDocument/2006/relationships" r:embed="rId16"/>
        <a:stretch>
          <a:fillRect/>
        </a:stretch>
      </xdr:blipFill>
      <xdr:spPr>
        <a:xfrm>
          <a:off x="7010400" y="70856475"/>
          <a:ext cx="3543795" cy="1524213"/>
        </a:xfrm>
        <a:prstGeom prst="rect">
          <a:avLst/>
        </a:prstGeom>
        <a:ln>
          <a:solidFill>
            <a:schemeClr val="tx1"/>
          </a:solidFill>
        </a:ln>
      </xdr:spPr>
    </xdr:pic>
    <xdr:clientData/>
  </xdr:twoCellAnchor>
  <xdr:twoCellAnchor editAs="oneCell">
    <xdr:from>
      <xdr:col>8</xdr:col>
      <xdr:colOff>542925</xdr:colOff>
      <xdr:row>328</xdr:row>
      <xdr:rowOff>161925</xdr:rowOff>
    </xdr:from>
    <xdr:to>
      <xdr:col>12</xdr:col>
      <xdr:colOff>629164</xdr:colOff>
      <xdr:row>352</xdr:row>
      <xdr:rowOff>67333</xdr:rowOff>
    </xdr:to>
    <xdr:pic>
      <xdr:nvPicPr>
        <xdr:cNvPr id="18" name="Picture 17">
          <a:extLst>
            <a:ext uri="{FF2B5EF4-FFF2-40B4-BE49-F238E27FC236}">
              <a16:creationId xmlns:a16="http://schemas.microsoft.com/office/drawing/2014/main" id="{1D778BF6-2F39-4C21-9EA9-BEB4163AE089}"/>
            </a:ext>
          </a:extLst>
        </xdr:cNvPr>
        <xdr:cNvPicPr>
          <a:picLocks noChangeAspect="1"/>
        </xdr:cNvPicPr>
      </xdr:nvPicPr>
      <xdr:blipFill>
        <a:blip xmlns:r="http://schemas.openxmlformats.org/officeDocument/2006/relationships" r:embed="rId17"/>
        <a:stretch>
          <a:fillRect/>
        </a:stretch>
      </xdr:blipFill>
      <xdr:spPr>
        <a:xfrm>
          <a:off x="6858000" y="72447150"/>
          <a:ext cx="3686689" cy="4706007"/>
        </a:xfrm>
        <a:prstGeom prst="rect">
          <a:avLst/>
        </a:prstGeom>
        <a:ln>
          <a:solidFill>
            <a:schemeClr val="tx1"/>
          </a:solidFill>
        </a:ln>
      </xdr:spPr>
    </xdr:pic>
    <xdr:clientData/>
  </xdr:twoCellAnchor>
  <xdr:twoCellAnchor editAs="oneCell">
    <xdr:from>
      <xdr:col>10</xdr:col>
      <xdr:colOff>352425</xdr:colOff>
      <xdr:row>361</xdr:row>
      <xdr:rowOff>76200</xdr:rowOff>
    </xdr:from>
    <xdr:to>
      <xdr:col>13</xdr:col>
      <xdr:colOff>629033</xdr:colOff>
      <xdr:row>383</xdr:row>
      <xdr:rowOff>57761</xdr:rowOff>
    </xdr:to>
    <xdr:pic>
      <xdr:nvPicPr>
        <xdr:cNvPr id="19" name="Picture 18">
          <a:extLst>
            <a:ext uri="{FF2B5EF4-FFF2-40B4-BE49-F238E27FC236}">
              <a16:creationId xmlns:a16="http://schemas.microsoft.com/office/drawing/2014/main" id="{50C67BA0-D9AB-4ABB-8D21-3EFBDC3EC74B}"/>
            </a:ext>
          </a:extLst>
        </xdr:cNvPr>
        <xdr:cNvPicPr>
          <a:picLocks noChangeAspect="1"/>
        </xdr:cNvPicPr>
      </xdr:nvPicPr>
      <xdr:blipFill>
        <a:blip xmlns:r="http://schemas.openxmlformats.org/officeDocument/2006/relationships" r:embed="rId18"/>
        <a:stretch>
          <a:fillRect/>
        </a:stretch>
      </xdr:blipFill>
      <xdr:spPr>
        <a:xfrm>
          <a:off x="8591550" y="72637650"/>
          <a:ext cx="2743583" cy="4382111"/>
        </a:xfrm>
        <a:prstGeom prst="rect">
          <a:avLst/>
        </a:prstGeom>
        <a:ln>
          <a:solidFill>
            <a:schemeClr val="tx1"/>
          </a:solidFill>
        </a:ln>
      </xdr:spPr>
    </xdr:pic>
    <xdr:clientData/>
  </xdr:twoCellAnchor>
  <xdr:twoCellAnchor editAs="oneCell">
    <xdr:from>
      <xdr:col>11</xdr:col>
      <xdr:colOff>323850</xdr:colOff>
      <xdr:row>362</xdr:row>
      <xdr:rowOff>38100</xdr:rowOff>
    </xdr:from>
    <xdr:to>
      <xdr:col>14</xdr:col>
      <xdr:colOff>676680</xdr:colOff>
      <xdr:row>370</xdr:row>
      <xdr:rowOff>162167</xdr:rowOff>
    </xdr:to>
    <xdr:pic>
      <xdr:nvPicPr>
        <xdr:cNvPr id="20" name="Picture 19">
          <a:extLst>
            <a:ext uri="{FF2B5EF4-FFF2-40B4-BE49-F238E27FC236}">
              <a16:creationId xmlns:a16="http://schemas.microsoft.com/office/drawing/2014/main" id="{FAFEA0D8-A1A7-4F37-BB01-B31BE4425198}"/>
            </a:ext>
          </a:extLst>
        </xdr:cNvPr>
        <xdr:cNvPicPr>
          <a:picLocks noChangeAspect="1"/>
        </xdr:cNvPicPr>
      </xdr:nvPicPr>
      <xdr:blipFill>
        <a:blip xmlns:r="http://schemas.openxmlformats.org/officeDocument/2006/relationships" r:embed="rId19"/>
        <a:stretch>
          <a:fillRect/>
        </a:stretch>
      </xdr:blipFill>
      <xdr:spPr>
        <a:xfrm>
          <a:off x="9315450" y="79124175"/>
          <a:ext cx="2905530" cy="1724266"/>
        </a:xfrm>
        <a:prstGeom prst="rect">
          <a:avLst/>
        </a:prstGeom>
        <a:ln>
          <a:solidFill>
            <a:schemeClr val="tx1"/>
          </a:solidFill>
        </a:ln>
      </xdr:spPr>
    </xdr:pic>
    <xdr:clientData/>
  </xdr:twoCellAnchor>
  <xdr:twoCellAnchor editAs="oneCell">
    <xdr:from>
      <xdr:col>9</xdr:col>
      <xdr:colOff>438150</xdr:colOff>
      <xdr:row>429</xdr:row>
      <xdr:rowOff>47625</xdr:rowOff>
    </xdr:from>
    <xdr:to>
      <xdr:col>12</xdr:col>
      <xdr:colOff>743333</xdr:colOff>
      <xdr:row>450</xdr:row>
      <xdr:rowOff>10106</xdr:rowOff>
    </xdr:to>
    <xdr:pic>
      <xdr:nvPicPr>
        <xdr:cNvPr id="21" name="Picture 20">
          <a:extLst>
            <a:ext uri="{FF2B5EF4-FFF2-40B4-BE49-F238E27FC236}">
              <a16:creationId xmlns:a16="http://schemas.microsoft.com/office/drawing/2014/main" id="{0BB64395-38A5-471C-AA17-D546AA8378F0}"/>
            </a:ext>
          </a:extLst>
        </xdr:cNvPr>
        <xdr:cNvPicPr>
          <a:picLocks noChangeAspect="1"/>
        </xdr:cNvPicPr>
      </xdr:nvPicPr>
      <xdr:blipFill>
        <a:blip xmlns:r="http://schemas.openxmlformats.org/officeDocument/2006/relationships" r:embed="rId20"/>
        <a:stretch>
          <a:fillRect/>
        </a:stretch>
      </xdr:blipFill>
      <xdr:spPr>
        <a:xfrm>
          <a:off x="7915275" y="87610950"/>
          <a:ext cx="2743583" cy="4163006"/>
        </a:xfrm>
        <a:prstGeom prst="rect">
          <a:avLst/>
        </a:prstGeom>
        <a:ln>
          <a:solidFill>
            <a:schemeClr val="tx1"/>
          </a:solidFill>
        </a:ln>
      </xdr:spPr>
    </xdr:pic>
    <xdr:clientData/>
  </xdr:twoCellAnchor>
  <xdr:twoCellAnchor editAs="oneCell">
    <xdr:from>
      <xdr:col>10</xdr:col>
      <xdr:colOff>333375</xdr:colOff>
      <xdr:row>69</xdr:row>
      <xdr:rowOff>38100</xdr:rowOff>
    </xdr:from>
    <xdr:to>
      <xdr:col>19</xdr:col>
      <xdr:colOff>562961</xdr:colOff>
      <xdr:row>90</xdr:row>
      <xdr:rowOff>187089</xdr:rowOff>
    </xdr:to>
    <xdr:pic>
      <xdr:nvPicPr>
        <xdr:cNvPr id="40" name="Picture 39">
          <a:extLst>
            <a:ext uri="{FF2B5EF4-FFF2-40B4-BE49-F238E27FC236}">
              <a16:creationId xmlns:a16="http://schemas.microsoft.com/office/drawing/2014/main" id="{9DD1F1F1-988B-4813-A1EA-4AC3EC90AE78}"/>
            </a:ext>
          </a:extLst>
        </xdr:cNvPr>
        <xdr:cNvPicPr>
          <a:picLocks noChangeAspect="1"/>
        </xdr:cNvPicPr>
      </xdr:nvPicPr>
      <xdr:blipFill>
        <a:blip xmlns:r="http://schemas.openxmlformats.org/officeDocument/2006/relationships" r:embed="rId21"/>
        <a:stretch>
          <a:fillRect/>
        </a:stretch>
      </xdr:blipFill>
      <xdr:spPr>
        <a:xfrm>
          <a:off x="8572500" y="17021175"/>
          <a:ext cx="7068536" cy="5001323"/>
        </a:xfrm>
        <a:prstGeom prst="rect">
          <a:avLst/>
        </a:prstGeom>
        <a:ln>
          <a:solidFill>
            <a:schemeClr val="tx1"/>
          </a:solidFill>
        </a:ln>
      </xdr:spPr>
    </xdr:pic>
    <xdr:clientData/>
  </xdr:twoCellAnchor>
  <xdr:twoCellAnchor editAs="oneCell">
    <xdr:from>
      <xdr:col>0</xdr:col>
      <xdr:colOff>217278</xdr:colOff>
      <xdr:row>624</xdr:row>
      <xdr:rowOff>114300</xdr:rowOff>
    </xdr:from>
    <xdr:to>
      <xdr:col>7</xdr:col>
      <xdr:colOff>395628</xdr:colOff>
      <xdr:row>635</xdr:row>
      <xdr:rowOff>151380</xdr:rowOff>
    </xdr:to>
    <xdr:pic>
      <xdr:nvPicPr>
        <xdr:cNvPr id="41" name="Picture 40">
          <a:extLst>
            <a:ext uri="{FF2B5EF4-FFF2-40B4-BE49-F238E27FC236}">
              <a16:creationId xmlns:a16="http://schemas.microsoft.com/office/drawing/2014/main" id="{944FB1CB-3A03-4B6B-9689-979933C28683}"/>
            </a:ext>
          </a:extLst>
        </xdr:cNvPr>
        <xdr:cNvPicPr>
          <a:picLocks noChangeAspect="1"/>
        </xdr:cNvPicPr>
      </xdr:nvPicPr>
      <xdr:blipFill rotWithShape="1">
        <a:blip xmlns:r="http://schemas.openxmlformats.org/officeDocument/2006/relationships" r:embed="rId22" cstate="screen">
          <a:extLst>
            <a:ext uri="{28A0092B-C50C-407E-A947-70E740481C1C}">
              <a14:useLocalDpi xmlns:a14="http://schemas.microsoft.com/office/drawing/2010/main"/>
            </a:ext>
          </a:extLst>
        </a:blip>
        <a:srcRect/>
        <a:stretch/>
      </xdr:blipFill>
      <xdr:spPr>
        <a:xfrm>
          <a:off x="217278" y="124463175"/>
          <a:ext cx="5760000" cy="2237355"/>
        </a:xfrm>
        <a:prstGeom prst="rect">
          <a:avLst/>
        </a:prstGeom>
        <a:ln>
          <a:solidFill>
            <a:schemeClr val="tx1"/>
          </a:solidFill>
        </a:ln>
      </xdr:spPr>
    </xdr:pic>
    <xdr:clientData/>
  </xdr:twoCellAnchor>
  <xdr:twoCellAnchor>
    <xdr:from>
      <xdr:col>0</xdr:col>
      <xdr:colOff>228600</xdr:colOff>
      <xdr:row>637</xdr:row>
      <xdr:rowOff>28575</xdr:rowOff>
    </xdr:from>
    <xdr:to>
      <xdr:col>7</xdr:col>
      <xdr:colOff>406950</xdr:colOff>
      <xdr:row>656</xdr:row>
      <xdr:rowOff>180926</xdr:rowOff>
    </xdr:to>
    <xdr:grpSp>
      <xdr:nvGrpSpPr>
        <xdr:cNvPr id="42" name="Group 41">
          <a:extLst>
            <a:ext uri="{FF2B5EF4-FFF2-40B4-BE49-F238E27FC236}">
              <a16:creationId xmlns:a16="http://schemas.microsoft.com/office/drawing/2014/main" id="{1ABF5D09-0694-4EC4-B863-C445D2969572}"/>
            </a:ext>
          </a:extLst>
        </xdr:cNvPr>
        <xdr:cNvGrpSpPr/>
      </xdr:nvGrpSpPr>
      <xdr:grpSpPr>
        <a:xfrm>
          <a:off x="228600" y="116341525"/>
          <a:ext cx="6033050" cy="3892501"/>
          <a:chOff x="2840661" y="1191645"/>
          <a:chExt cx="5760000" cy="3952826"/>
        </a:xfrm>
      </xdr:grpSpPr>
      <xdr:pic>
        <xdr:nvPicPr>
          <xdr:cNvPr id="43" name="Picture 42">
            <a:extLst>
              <a:ext uri="{FF2B5EF4-FFF2-40B4-BE49-F238E27FC236}">
                <a16:creationId xmlns:a16="http://schemas.microsoft.com/office/drawing/2014/main" id="{BE742A15-60F3-468E-994F-1D8F181B156A}"/>
              </a:ext>
            </a:extLst>
          </xdr:cNvPr>
          <xdr:cNvPicPr>
            <a:picLocks noChangeAspect="1"/>
          </xdr:cNvPicPr>
        </xdr:nvPicPr>
        <xdr:blipFill rotWithShape="1">
          <a:blip xmlns:r="http://schemas.openxmlformats.org/officeDocument/2006/relationships" r:embed="rId23" cstate="email">
            <a:extLst>
              <a:ext uri="{28A0092B-C50C-407E-A947-70E740481C1C}">
                <a14:useLocalDpi xmlns:a14="http://schemas.microsoft.com/office/drawing/2010/main"/>
              </a:ext>
            </a:extLst>
          </a:blip>
          <a:srcRect/>
          <a:stretch/>
        </xdr:blipFill>
        <xdr:spPr>
          <a:xfrm>
            <a:off x="2840661" y="1191645"/>
            <a:ext cx="5760000" cy="3952826"/>
          </a:xfrm>
          <a:prstGeom prst="rect">
            <a:avLst/>
          </a:prstGeom>
          <a:ln>
            <a:solidFill>
              <a:schemeClr val="tx1"/>
            </a:solidFill>
          </a:ln>
        </xdr:spPr>
      </xdr:pic>
      <xdr:sp macro="" textlink="">
        <xdr:nvSpPr>
          <xdr:cNvPr id="44" name="Freeform: Shape 43">
            <a:extLst>
              <a:ext uri="{FF2B5EF4-FFF2-40B4-BE49-F238E27FC236}">
                <a16:creationId xmlns:a16="http://schemas.microsoft.com/office/drawing/2014/main" id="{84DB3A77-FB20-4E3E-BD31-C172966E64D1}"/>
              </a:ext>
            </a:extLst>
          </xdr:cNvPr>
          <xdr:cNvSpPr/>
        </xdr:nvSpPr>
        <xdr:spPr>
          <a:xfrm>
            <a:off x="4867275" y="2778125"/>
            <a:ext cx="1244600" cy="600075"/>
          </a:xfrm>
          <a:custGeom>
            <a:avLst/>
            <a:gdLst>
              <a:gd name="connsiteX0" fmla="*/ 44450 w 1244600"/>
              <a:gd name="connsiteY0" fmla="*/ 0 h 600075"/>
              <a:gd name="connsiteX1" fmla="*/ 0 w 1244600"/>
              <a:gd name="connsiteY1" fmla="*/ 593725 h 600075"/>
              <a:gd name="connsiteX2" fmla="*/ 320675 w 1244600"/>
              <a:gd name="connsiteY2" fmla="*/ 600075 h 600075"/>
              <a:gd name="connsiteX3" fmla="*/ 441325 w 1244600"/>
              <a:gd name="connsiteY3" fmla="*/ 295275 h 600075"/>
              <a:gd name="connsiteX4" fmla="*/ 1244600 w 1244600"/>
              <a:gd name="connsiteY4" fmla="*/ 327025 h 600075"/>
              <a:gd name="connsiteX5" fmla="*/ 1225550 w 1244600"/>
              <a:gd name="connsiteY5" fmla="*/ 25400 h 600075"/>
              <a:gd name="connsiteX6" fmla="*/ 44450 w 1244600"/>
              <a:gd name="connsiteY6" fmla="*/ 0 h 6000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244600" h="600075">
                <a:moveTo>
                  <a:pt x="44450" y="0"/>
                </a:moveTo>
                <a:lnTo>
                  <a:pt x="0" y="593725"/>
                </a:lnTo>
                <a:lnTo>
                  <a:pt x="320675" y="600075"/>
                </a:lnTo>
                <a:lnTo>
                  <a:pt x="441325" y="295275"/>
                </a:lnTo>
                <a:lnTo>
                  <a:pt x="1244600" y="327025"/>
                </a:lnTo>
                <a:lnTo>
                  <a:pt x="1225550" y="25400"/>
                </a:lnTo>
                <a:lnTo>
                  <a:pt x="44450" y="0"/>
                </a:lnTo>
                <a:close/>
              </a:path>
            </a:pathLst>
          </a:custGeom>
          <a:noFill/>
          <a:ln w="190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xdr:from>
      <xdr:col>0</xdr:col>
      <xdr:colOff>266700</xdr:colOff>
      <xdr:row>581</xdr:row>
      <xdr:rowOff>38100</xdr:rowOff>
    </xdr:from>
    <xdr:to>
      <xdr:col>7</xdr:col>
      <xdr:colOff>445050</xdr:colOff>
      <xdr:row>598</xdr:row>
      <xdr:rowOff>1031</xdr:rowOff>
    </xdr:to>
    <xdr:grpSp>
      <xdr:nvGrpSpPr>
        <xdr:cNvPr id="45" name="Group 44">
          <a:extLst>
            <a:ext uri="{FF2B5EF4-FFF2-40B4-BE49-F238E27FC236}">
              <a16:creationId xmlns:a16="http://schemas.microsoft.com/office/drawing/2014/main" id="{2D80151E-48AC-48B2-80ED-2E45B6F3EB5D}"/>
            </a:ext>
          </a:extLst>
        </xdr:cNvPr>
        <xdr:cNvGrpSpPr/>
      </xdr:nvGrpSpPr>
      <xdr:grpSpPr>
        <a:xfrm>
          <a:off x="266700" y="105327450"/>
          <a:ext cx="6033050" cy="3309381"/>
          <a:chOff x="3380804" y="1131554"/>
          <a:chExt cx="5760000" cy="3363356"/>
        </a:xfrm>
      </xdr:grpSpPr>
      <xdr:grpSp>
        <xdr:nvGrpSpPr>
          <xdr:cNvPr id="47" name="Group 46">
            <a:extLst>
              <a:ext uri="{FF2B5EF4-FFF2-40B4-BE49-F238E27FC236}">
                <a16:creationId xmlns:a16="http://schemas.microsoft.com/office/drawing/2014/main" id="{2D1778CE-35C8-4BD0-88A5-6DD2B3DBD1D4}"/>
              </a:ext>
            </a:extLst>
          </xdr:cNvPr>
          <xdr:cNvGrpSpPr/>
        </xdr:nvGrpSpPr>
        <xdr:grpSpPr>
          <a:xfrm>
            <a:off x="3380804" y="1131554"/>
            <a:ext cx="5760000" cy="3363356"/>
            <a:chOff x="3380804" y="1131554"/>
            <a:chExt cx="5760000" cy="3363356"/>
          </a:xfrm>
        </xdr:grpSpPr>
        <xdr:pic>
          <xdr:nvPicPr>
            <xdr:cNvPr id="50" name="Picture 49">
              <a:extLst>
                <a:ext uri="{FF2B5EF4-FFF2-40B4-BE49-F238E27FC236}">
                  <a16:creationId xmlns:a16="http://schemas.microsoft.com/office/drawing/2014/main" id="{474F6FCF-C565-43AE-A47A-73AEE64EC8C7}"/>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a:off x="3380804" y="1131554"/>
              <a:ext cx="5760000" cy="3363356"/>
            </a:xfrm>
            <a:prstGeom prst="rect">
              <a:avLst/>
            </a:prstGeom>
            <a:ln>
              <a:solidFill>
                <a:schemeClr val="tx1"/>
              </a:solidFill>
            </a:ln>
          </xdr:spPr>
        </xdr:pic>
        <xdr:sp macro="" textlink="">
          <xdr:nvSpPr>
            <xdr:cNvPr id="51" name="Freeform: Shape 50">
              <a:extLst>
                <a:ext uri="{FF2B5EF4-FFF2-40B4-BE49-F238E27FC236}">
                  <a16:creationId xmlns:a16="http://schemas.microsoft.com/office/drawing/2014/main" id="{F4F4B0A0-5E89-48F7-B8D8-FD3CE7D197B5}"/>
                </a:ext>
              </a:extLst>
            </xdr:cNvPr>
            <xdr:cNvSpPr/>
          </xdr:nvSpPr>
          <xdr:spPr>
            <a:xfrm>
              <a:off x="3657600" y="1231900"/>
              <a:ext cx="5372100" cy="2146300"/>
            </a:xfrm>
            <a:custGeom>
              <a:avLst/>
              <a:gdLst>
                <a:gd name="connsiteX0" fmla="*/ 0 w 5372100"/>
                <a:gd name="connsiteY0" fmla="*/ 203200 h 2146300"/>
                <a:gd name="connsiteX1" fmla="*/ 0 w 5372100"/>
                <a:gd name="connsiteY1" fmla="*/ 2133600 h 2146300"/>
                <a:gd name="connsiteX2" fmla="*/ 1308100 w 5372100"/>
                <a:gd name="connsiteY2" fmla="*/ 2146300 h 2146300"/>
                <a:gd name="connsiteX3" fmla="*/ 1320800 w 5372100"/>
                <a:gd name="connsiteY3" fmla="*/ 1384300 h 2146300"/>
                <a:gd name="connsiteX4" fmla="*/ 5359400 w 5372100"/>
                <a:gd name="connsiteY4" fmla="*/ 1473200 h 2146300"/>
                <a:gd name="connsiteX5" fmla="*/ 5372100 w 5372100"/>
                <a:gd name="connsiteY5" fmla="*/ 254000 h 2146300"/>
                <a:gd name="connsiteX6" fmla="*/ 5105400 w 5372100"/>
                <a:gd name="connsiteY6" fmla="*/ 25400 h 2146300"/>
                <a:gd name="connsiteX7" fmla="*/ 0 w 5372100"/>
                <a:gd name="connsiteY7" fmla="*/ 0 h 2146300"/>
                <a:gd name="connsiteX8" fmla="*/ 0 w 5372100"/>
                <a:gd name="connsiteY8" fmla="*/ 203200 h 2146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5372100" h="2146300">
                  <a:moveTo>
                    <a:pt x="0" y="203200"/>
                  </a:moveTo>
                  <a:lnTo>
                    <a:pt x="0" y="2133600"/>
                  </a:lnTo>
                  <a:lnTo>
                    <a:pt x="1308100" y="2146300"/>
                  </a:lnTo>
                  <a:lnTo>
                    <a:pt x="1320800" y="1384300"/>
                  </a:lnTo>
                  <a:lnTo>
                    <a:pt x="5359400" y="1473200"/>
                  </a:lnTo>
                  <a:lnTo>
                    <a:pt x="5372100" y="254000"/>
                  </a:lnTo>
                  <a:lnTo>
                    <a:pt x="5105400" y="25400"/>
                  </a:lnTo>
                  <a:lnTo>
                    <a:pt x="0" y="0"/>
                  </a:lnTo>
                  <a:lnTo>
                    <a:pt x="0" y="203200"/>
                  </a:lnTo>
                  <a:close/>
                </a:path>
              </a:pathLst>
            </a:cu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52" name="Freeform: Shape 51">
              <a:extLst>
                <a:ext uri="{FF2B5EF4-FFF2-40B4-BE49-F238E27FC236}">
                  <a16:creationId xmlns:a16="http://schemas.microsoft.com/office/drawing/2014/main" id="{5B8A6511-194C-4B34-A30F-11B46C6205C6}"/>
                </a:ext>
              </a:extLst>
            </xdr:cNvPr>
            <xdr:cNvSpPr/>
          </xdr:nvSpPr>
          <xdr:spPr>
            <a:xfrm>
              <a:off x="3670300" y="2343150"/>
              <a:ext cx="1263650" cy="1009650"/>
            </a:xfrm>
            <a:custGeom>
              <a:avLst/>
              <a:gdLst>
                <a:gd name="connsiteX0" fmla="*/ 25400 w 1263650"/>
                <a:gd name="connsiteY0" fmla="*/ 0 h 1009650"/>
                <a:gd name="connsiteX1" fmla="*/ 520700 w 1263650"/>
                <a:gd name="connsiteY1" fmla="*/ 6350 h 1009650"/>
                <a:gd name="connsiteX2" fmla="*/ 533400 w 1263650"/>
                <a:gd name="connsiteY2" fmla="*/ 520700 h 1009650"/>
                <a:gd name="connsiteX3" fmla="*/ 1263650 w 1263650"/>
                <a:gd name="connsiteY3" fmla="*/ 527050 h 1009650"/>
                <a:gd name="connsiteX4" fmla="*/ 1263650 w 1263650"/>
                <a:gd name="connsiteY4" fmla="*/ 1009650 h 1009650"/>
                <a:gd name="connsiteX5" fmla="*/ 0 w 1263650"/>
                <a:gd name="connsiteY5" fmla="*/ 996950 h 1009650"/>
                <a:gd name="connsiteX6" fmla="*/ 25400 w 1263650"/>
                <a:gd name="connsiteY6" fmla="*/ 0 h 10096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263650" h="1009650">
                  <a:moveTo>
                    <a:pt x="25400" y="0"/>
                  </a:moveTo>
                  <a:lnTo>
                    <a:pt x="520700" y="6350"/>
                  </a:lnTo>
                  <a:lnTo>
                    <a:pt x="533400" y="520700"/>
                  </a:lnTo>
                  <a:lnTo>
                    <a:pt x="1263650" y="527050"/>
                  </a:lnTo>
                  <a:lnTo>
                    <a:pt x="1263650" y="1009650"/>
                  </a:lnTo>
                  <a:lnTo>
                    <a:pt x="0" y="996950"/>
                  </a:lnTo>
                  <a:lnTo>
                    <a:pt x="25400" y="0"/>
                  </a:lnTo>
                  <a:close/>
                </a:path>
              </a:pathLst>
            </a:cu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53" name="TextBox 52">
              <a:extLst>
                <a:ext uri="{FF2B5EF4-FFF2-40B4-BE49-F238E27FC236}">
                  <a16:creationId xmlns:a16="http://schemas.microsoft.com/office/drawing/2014/main" id="{88AD15CF-7046-43FF-AE81-24073E1320D0}"/>
                </a:ext>
              </a:extLst>
            </xdr:cNvPr>
            <xdr:cNvSpPr txBox="1"/>
          </xdr:nvSpPr>
          <xdr:spPr>
            <a:xfrm>
              <a:off x="4163799" y="2513048"/>
              <a:ext cx="87556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A</a:t>
              </a:r>
              <a:endParaRPr lang="en-IN" b="1">
                <a:solidFill>
                  <a:srgbClr val="FF0000"/>
                </a:solidFill>
              </a:endParaRPr>
            </a:p>
          </xdr:txBody>
        </xdr:sp>
        <xdr:sp macro="" textlink="">
          <xdr:nvSpPr>
            <xdr:cNvPr id="54" name="TextBox 54">
              <a:extLst>
                <a:ext uri="{FF2B5EF4-FFF2-40B4-BE49-F238E27FC236}">
                  <a16:creationId xmlns:a16="http://schemas.microsoft.com/office/drawing/2014/main" id="{0060481E-32A9-46F6-954C-D842A6C1BD83}"/>
                </a:ext>
              </a:extLst>
            </xdr:cNvPr>
            <xdr:cNvSpPr txBox="1"/>
          </xdr:nvSpPr>
          <xdr:spPr>
            <a:xfrm>
              <a:off x="3642557" y="1131554"/>
              <a:ext cx="865943"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B</a:t>
              </a:r>
              <a:endParaRPr lang="en-IN" b="1">
                <a:solidFill>
                  <a:srgbClr val="FF0000"/>
                </a:solidFill>
              </a:endParaRPr>
            </a:p>
          </xdr:txBody>
        </xdr:sp>
        <xdr:sp macro="" textlink="">
          <xdr:nvSpPr>
            <xdr:cNvPr id="55" name="Freeform: Shape 54">
              <a:extLst>
                <a:ext uri="{FF2B5EF4-FFF2-40B4-BE49-F238E27FC236}">
                  <a16:creationId xmlns:a16="http://schemas.microsoft.com/office/drawing/2014/main" id="{AB80F72F-5736-434C-BDD5-7E678F7BACA7}"/>
                </a:ext>
              </a:extLst>
            </xdr:cNvPr>
            <xdr:cNvSpPr/>
          </xdr:nvSpPr>
          <xdr:spPr>
            <a:xfrm>
              <a:off x="3683000" y="1403350"/>
              <a:ext cx="1130300" cy="889000"/>
            </a:xfrm>
            <a:custGeom>
              <a:avLst/>
              <a:gdLst>
                <a:gd name="connsiteX0" fmla="*/ 0 w 1130300"/>
                <a:gd name="connsiteY0" fmla="*/ 0 h 889000"/>
                <a:gd name="connsiteX1" fmla="*/ 6350 w 1130300"/>
                <a:gd name="connsiteY1" fmla="*/ 889000 h 889000"/>
                <a:gd name="connsiteX2" fmla="*/ 508000 w 1130300"/>
                <a:gd name="connsiteY2" fmla="*/ 889000 h 889000"/>
                <a:gd name="connsiteX3" fmla="*/ 501650 w 1130300"/>
                <a:gd name="connsiteY3" fmla="*/ 533400 h 889000"/>
                <a:gd name="connsiteX4" fmla="*/ 679450 w 1130300"/>
                <a:gd name="connsiteY4" fmla="*/ 527050 h 889000"/>
                <a:gd name="connsiteX5" fmla="*/ 679450 w 1130300"/>
                <a:gd name="connsiteY5" fmla="*/ 228600 h 889000"/>
                <a:gd name="connsiteX6" fmla="*/ 800100 w 1130300"/>
                <a:gd name="connsiteY6" fmla="*/ 222250 h 889000"/>
                <a:gd name="connsiteX7" fmla="*/ 800100 w 1130300"/>
                <a:gd name="connsiteY7" fmla="*/ 336550 h 889000"/>
                <a:gd name="connsiteX8" fmla="*/ 1066800 w 1130300"/>
                <a:gd name="connsiteY8" fmla="*/ 330200 h 889000"/>
                <a:gd name="connsiteX9" fmla="*/ 1117600 w 1130300"/>
                <a:gd name="connsiteY9" fmla="*/ 330200 h 889000"/>
                <a:gd name="connsiteX10" fmla="*/ 1130300 w 1130300"/>
                <a:gd name="connsiteY10" fmla="*/ 25400 h 889000"/>
                <a:gd name="connsiteX11" fmla="*/ 0 w 1130300"/>
                <a:gd name="connsiteY11" fmla="*/ 0 h 8890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1130300" h="889000">
                  <a:moveTo>
                    <a:pt x="0" y="0"/>
                  </a:moveTo>
                  <a:cubicBezTo>
                    <a:pt x="2117" y="296333"/>
                    <a:pt x="4233" y="592667"/>
                    <a:pt x="6350" y="889000"/>
                  </a:cubicBezTo>
                  <a:lnTo>
                    <a:pt x="508000" y="889000"/>
                  </a:lnTo>
                  <a:lnTo>
                    <a:pt x="501650" y="533400"/>
                  </a:lnTo>
                  <a:lnTo>
                    <a:pt x="679450" y="527050"/>
                  </a:lnTo>
                  <a:lnTo>
                    <a:pt x="679450" y="228600"/>
                  </a:lnTo>
                  <a:lnTo>
                    <a:pt x="800100" y="222250"/>
                  </a:lnTo>
                  <a:lnTo>
                    <a:pt x="800100" y="336550"/>
                  </a:lnTo>
                  <a:lnTo>
                    <a:pt x="1066800" y="330200"/>
                  </a:lnTo>
                  <a:lnTo>
                    <a:pt x="1117600" y="330200"/>
                  </a:lnTo>
                  <a:lnTo>
                    <a:pt x="1130300" y="25400"/>
                  </a:lnTo>
                  <a:lnTo>
                    <a:pt x="0" y="0"/>
                  </a:lnTo>
                  <a:close/>
                </a:path>
              </a:pathLst>
            </a:cu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56" name="Freeform: Shape 55">
              <a:extLst>
                <a:ext uri="{FF2B5EF4-FFF2-40B4-BE49-F238E27FC236}">
                  <a16:creationId xmlns:a16="http://schemas.microsoft.com/office/drawing/2014/main" id="{A4343182-6EAE-438A-BFFF-B2233CE7E44A}"/>
                </a:ext>
              </a:extLst>
            </xdr:cNvPr>
            <xdr:cNvSpPr/>
          </xdr:nvSpPr>
          <xdr:spPr>
            <a:xfrm>
              <a:off x="4806950" y="1409700"/>
              <a:ext cx="1492250" cy="1073150"/>
            </a:xfrm>
            <a:custGeom>
              <a:avLst/>
              <a:gdLst>
                <a:gd name="connsiteX0" fmla="*/ 38100 w 1492250"/>
                <a:gd name="connsiteY0" fmla="*/ 0 h 1073150"/>
                <a:gd name="connsiteX1" fmla="*/ 1492250 w 1492250"/>
                <a:gd name="connsiteY1" fmla="*/ 31750 h 1073150"/>
                <a:gd name="connsiteX2" fmla="*/ 1473200 w 1492250"/>
                <a:gd name="connsiteY2" fmla="*/ 1073150 h 1073150"/>
                <a:gd name="connsiteX3" fmla="*/ 971550 w 1492250"/>
                <a:gd name="connsiteY3" fmla="*/ 1028700 h 1073150"/>
                <a:gd name="connsiteX4" fmla="*/ 1016000 w 1492250"/>
                <a:gd name="connsiteY4" fmla="*/ 431800 h 1073150"/>
                <a:gd name="connsiteX5" fmla="*/ 0 w 1492250"/>
                <a:gd name="connsiteY5" fmla="*/ 431800 h 1073150"/>
                <a:gd name="connsiteX6" fmla="*/ 38100 w 1492250"/>
                <a:gd name="connsiteY6" fmla="*/ 0 h 1073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492250" h="1073150">
                  <a:moveTo>
                    <a:pt x="38100" y="0"/>
                  </a:moveTo>
                  <a:lnTo>
                    <a:pt x="1492250" y="31750"/>
                  </a:lnTo>
                  <a:lnTo>
                    <a:pt x="1473200" y="1073150"/>
                  </a:lnTo>
                  <a:lnTo>
                    <a:pt x="971550" y="1028700"/>
                  </a:lnTo>
                  <a:lnTo>
                    <a:pt x="1016000" y="431800"/>
                  </a:lnTo>
                  <a:lnTo>
                    <a:pt x="0" y="431800"/>
                  </a:lnTo>
                  <a:lnTo>
                    <a:pt x="38100" y="0"/>
                  </a:lnTo>
                  <a:close/>
                </a:path>
              </a:pathLst>
            </a:cu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57" name="TextBox 58">
              <a:extLst>
                <a:ext uri="{FF2B5EF4-FFF2-40B4-BE49-F238E27FC236}">
                  <a16:creationId xmlns:a16="http://schemas.microsoft.com/office/drawing/2014/main" id="{DD8F426E-3B13-4A41-98AE-019F712C8C3D}"/>
                </a:ext>
              </a:extLst>
            </xdr:cNvPr>
            <xdr:cNvSpPr txBox="1"/>
          </xdr:nvSpPr>
          <xdr:spPr>
            <a:xfrm>
              <a:off x="5018251" y="1854159"/>
              <a:ext cx="857927"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C</a:t>
              </a:r>
              <a:endParaRPr lang="en-IN" b="1">
                <a:solidFill>
                  <a:srgbClr val="FF0000"/>
                </a:solidFill>
              </a:endParaRPr>
            </a:p>
          </xdr:txBody>
        </xdr:sp>
        <xdr:sp macro="" textlink="">
          <xdr:nvSpPr>
            <xdr:cNvPr id="58" name="Freeform: Shape 57">
              <a:extLst>
                <a:ext uri="{FF2B5EF4-FFF2-40B4-BE49-F238E27FC236}">
                  <a16:creationId xmlns:a16="http://schemas.microsoft.com/office/drawing/2014/main" id="{80FC8884-4C59-46D0-A7CF-CA1844D3D29B}"/>
                </a:ext>
              </a:extLst>
            </xdr:cNvPr>
            <xdr:cNvSpPr/>
          </xdr:nvSpPr>
          <xdr:spPr>
            <a:xfrm>
              <a:off x="6311900" y="1422400"/>
              <a:ext cx="1282700" cy="1009650"/>
            </a:xfrm>
            <a:custGeom>
              <a:avLst/>
              <a:gdLst>
                <a:gd name="connsiteX0" fmla="*/ 0 w 1282700"/>
                <a:gd name="connsiteY0" fmla="*/ 1009650 h 1009650"/>
                <a:gd name="connsiteX1" fmla="*/ 539750 w 1282700"/>
                <a:gd name="connsiteY1" fmla="*/ 996950 h 1009650"/>
                <a:gd name="connsiteX2" fmla="*/ 520700 w 1282700"/>
                <a:gd name="connsiteY2" fmla="*/ 514350 h 1009650"/>
                <a:gd name="connsiteX3" fmla="*/ 1282700 w 1282700"/>
                <a:gd name="connsiteY3" fmla="*/ 501650 h 1009650"/>
                <a:gd name="connsiteX4" fmla="*/ 1282700 w 1282700"/>
                <a:gd name="connsiteY4" fmla="*/ 0 h 1009650"/>
                <a:gd name="connsiteX5" fmla="*/ 25400 w 1282700"/>
                <a:gd name="connsiteY5" fmla="*/ 19050 h 1009650"/>
                <a:gd name="connsiteX6" fmla="*/ 0 w 1282700"/>
                <a:gd name="connsiteY6" fmla="*/ 1009650 h 10096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282700" h="1009650">
                  <a:moveTo>
                    <a:pt x="0" y="1009650"/>
                  </a:moveTo>
                  <a:lnTo>
                    <a:pt x="539750" y="996950"/>
                  </a:lnTo>
                  <a:lnTo>
                    <a:pt x="520700" y="514350"/>
                  </a:lnTo>
                  <a:lnTo>
                    <a:pt x="1282700" y="501650"/>
                  </a:lnTo>
                  <a:lnTo>
                    <a:pt x="1282700" y="0"/>
                  </a:lnTo>
                  <a:lnTo>
                    <a:pt x="25400" y="19050"/>
                  </a:lnTo>
                  <a:lnTo>
                    <a:pt x="0" y="1009650"/>
                  </a:lnTo>
                  <a:close/>
                </a:path>
              </a:pathLst>
            </a:cu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59" name="TextBox 60">
              <a:extLst>
                <a:ext uri="{FF2B5EF4-FFF2-40B4-BE49-F238E27FC236}">
                  <a16:creationId xmlns:a16="http://schemas.microsoft.com/office/drawing/2014/main" id="{02F2A848-FC58-4F71-BD4C-14A86704C0FE}"/>
                </a:ext>
              </a:extLst>
            </xdr:cNvPr>
            <xdr:cNvSpPr txBox="1"/>
          </xdr:nvSpPr>
          <xdr:spPr>
            <a:xfrm>
              <a:off x="6795169" y="1904911"/>
              <a:ext cx="881973" cy="35103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D</a:t>
              </a:r>
              <a:endParaRPr lang="en-IN" b="1">
                <a:solidFill>
                  <a:srgbClr val="FF0000"/>
                </a:solidFill>
              </a:endParaRPr>
            </a:p>
          </xdr:txBody>
        </xdr:sp>
        <xdr:sp macro="" textlink="">
          <xdr:nvSpPr>
            <xdr:cNvPr id="60" name="Freeform: Shape 59">
              <a:extLst>
                <a:ext uri="{FF2B5EF4-FFF2-40B4-BE49-F238E27FC236}">
                  <a16:creationId xmlns:a16="http://schemas.microsoft.com/office/drawing/2014/main" id="{19FCCD54-B52C-4992-A958-BA7D091C897F}"/>
                </a:ext>
              </a:extLst>
            </xdr:cNvPr>
            <xdr:cNvSpPr/>
          </xdr:nvSpPr>
          <xdr:spPr>
            <a:xfrm>
              <a:off x="7613650" y="1428750"/>
              <a:ext cx="1250950" cy="1016000"/>
            </a:xfrm>
            <a:custGeom>
              <a:avLst/>
              <a:gdLst>
                <a:gd name="connsiteX0" fmla="*/ 0 w 1250950"/>
                <a:gd name="connsiteY0" fmla="*/ 0 h 1016000"/>
                <a:gd name="connsiteX1" fmla="*/ 0 w 1250950"/>
                <a:gd name="connsiteY1" fmla="*/ 520700 h 1016000"/>
                <a:gd name="connsiteX2" fmla="*/ 762000 w 1250950"/>
                <a:gd name="connsiteY2" fmla="*/ 514350 h 1016000"/>
                <a:gd name="connsiteX3" fmla="*/ 768350 w 1250950"/>
                <a:gd name="connsiteY3" fmla="*/ 1016000 h 1016000"/>
                <a:gd name="connsiteX4" fmla="*/ 1250950 w 1250950"/>
                <a:gd name="connsiteY4" fmla="*/ 990600 h 1016000"/>
                <a:gd name="connsiteX5" fmla="*/ 1244600 w 1250950"/>
                <a:gd name="connsiteY5" fmla="*/ 107950 h 1016000"/>
                <a:gd name="connsiteX6" fmla="*/ 1162050 w 1250950"/>
                <a:gd name="connsiteY6" fmla="*/ 19050 h 1016000"/>
                <a:gd name="connsiteX7" fmla="*/ 0 w 1250950"/>
                <a:gd name="connsiteY7" fmla="*/ 0 h 10160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250950" h="1016000">
                  <a:moveTo>
                    <a:pt x="0" y="0"/>
                  </a:moveTo>
                  <a:lnTo>
                    <a:pt x="0" y="520700"/>
                  </a:lnTo>
                  <a:lnTo>
                    <a:pt x="762000" y="514350"/>
                  </a:lnTo>
                  <a:cubicBezTo>
                    <a:pt x="764117" y="681567"/>
                    <a:pt x="766233" y="848783"/>
                    <a:pt x="768350" y="1016000"/>
                  </a:cubicBezTo>
                  <a:lnTo>
                    <a:pt x="1250950" y="990600"/>
                  </a:lnTo>
                  <a:cubicBezTo>
                    <a:pt x="1248833" y="696383"/>
                    <a:pt x="1246717" y="402167"/>
                    <a:pt x="1244600" y="107950"/>
                  </a:cubicBezTo>
                  <a:lnTo>
                    <a:pt x="1162050" y="19050"/>
                  </a:lnTo>
                  <a:lnTo>
                    <a:pt x="0" y="0"/>
                  </a:lnTo>
                  <a:close/>
                </a:path>
              </a:pathLst>
            </a:cu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61" name="TextBox 62">
              <a:extLst>
                <a:ext uri="{FF2B5EF4-FFF2-40B4-BE49-F238E27FC236}">
                  <a16:creationId xmlns:a16="http://schemas.microsoft.com/office/drawing/2014/main" id="{11788B8A-61F4-47CE-BA01-F9587CF57F5D}"/>
                </a:ext>
              </a:extLst>
            </xdr:cNvPr>
            <xdr:cNvSpPr txBox="1"/>
          </xdr:nvSpPr>
          <xdr:spPr>
            <a:xfrm>
              <a:off x="7983582" y="2376407"/>
              <a:ext cx="914334" cy="371618"/>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E</a:t>
              </a:r>
              <a:endParaRPr lang="en-IN" b="1">
                <a:solidFill>
                  <a:srgbClr val="FF0000"/>
                </a:solidFill>
              </a:endParaRPr>
            </a:p>
          </xdr:txBody>
        </xdr:sp>
      </xdr:grpSp>
      <xdr:sp macro="" textlink="">
        <xdr:nvSpPr>
          <xdr:cNvPr id="48" name="Arrow: Down 47">
            <a:extLst>
              <a:ext uri="{FF2B5EF4-FFF2-40B4-BE49-F238E27FC236}">
                <a16:creationId xmlns:a16="http://schemas.microsoft.com/office/drawing/2014/main" id="{DBB06D89-959B-4319-ACFA-046865D87BC6}"/>
              </a:ext>
            </a:extLst>
          </xdr:cNvPr>
          <xdr:cNvSpPr/>
        </xdr:nvSpPr>
        <xdr:spPr>
          <a:xfrm rot="10800000">
            <a:off x="5893992" y="3533775"/>
            <a:ext cx="268683" cy="26670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49" name="TextBox 65">
            <a:extLst>
              <a:ext uri="{FF2B5EF4-FFF2-40B4-BE49-F238E27FC236}">
                <a16:creationId xmlns:a16="http://schemas.microsoft.com/office/drawing/2014/main" id="{48282B64-BB68-4723-8D89-0B925C2CECF0}"/>
              </a:ext>
            </a:extLst>
          </xdr:cNvPr>
          <xdr:cNvSpPr txBox="1"/>
        </xdr:nvSpPr>
        <xdr:spPr>
          <a:xfrm>
            <a:off x="5893992" y="3800475"/>
            <a:ext cx="33374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N</a:t>
            </a:r>
            <a:endParaRPr lang="en-IN" b="1"/>
          </a:p>
        </xdr:txBody>
      </xdr:sp>
    </xdr:grpSp>
    <xdr:clientData/>
  </xdr:twoCellAnchor>
  <xdr:twoCellAnchor editAs="oneCell">
    <xdr:from>
      <xdr:col>1</xdr:col>
      <xdr:colOff>708684</xdr:colOff>
      <xdr:row>598</xdr:row>
      <xdr:rowOff>105030</xdr:rowOff>
    </xdr:from>
    <xdr:to>
      <xdr:col>6</xdr:col>
      <xdr:colOff>222459</xdr:colOff>
      <xdr:row>616</xdr:row>
      <xdr:rowOff>104580</xdr:rowOff>
    </xdr:to>
    <xdr:pic>
      <xdr:nvPicPr>
        <xdr:cNvPr id="46" name="Picture 45">
          <a:extLst>
            <a:ext uri="{FF2B5EF4-FFF2-40B4-BE49-F238E27FC236}">
              <a16:creationId xmlns:a16="http://schemas.microsoft.com/office/drawing/2014/main" id="{5FBCE68D-DCFF-409E-884A-BF87D7C11E75}"/>
            </a:ext>
          </a:extLst>
        </xdr:cNvPr>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xfrm>
          <a:off x="1470684" y="111728505"/>
          <a:ext cx="3600000" cy="3600000"/>
        </a:xfrm>
        <a:prstGeom prst="rect">
          <a:avLst/>
        </a:prstGeom>
        <a:ln>
          <a:solidFill>
            <a:schemeClr val="tx1"/>
          </a:solidFill>
        </a:ln>
      </xdr:spPr>
    </xdr:pic>
    <xdr:clientData/>
  </xdr:twoCellAnchor>
  <xdr:twoCellAnchor editAs="oneCell">
    <xdr:from>
      <xdr:col>8</xdr:col>
      <xdr:colOff>254000</xdr:colOff>
      <xdr:row>46</xdr:row>
      <xdr:rowOff>107951</xdr:rowOff>
    </xdr:from>
    <xdr:to>
      <xdr:col>12</xdr:col>
      <xdr:colOff>32275</xdr:colOff>
      <xdr:row>55</xdr:row>
      <xdr:rowOff>245767</xdr:rowOff>
    </xdr:to>
    <xdr:pic>
      <xdr:nvPicPr>
        <xdr:cNvPr id="62" name="Picture 61"/>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6877050" y="10769601"/>
          <a:ext cx="3550175" cy="2360316"/>
        </a:xfrm>
        <a:prstGeom prst="rect">
          <a:avLst/>
        </a:prstGeom>
        <a:ln>
          <a:solidFill>
            <a:schemeClr val="tx1"/>
          </a:solidFill>
        </a:ln>
      </xdr:spPr>
    </xdr:pic>
    <xdr:clientData/>
  </xdr:twoCellAnchor>
  <xdr:twoCellAnchor editAs="oneCell">
    <xdr:from>
      <xdr:col>8</xdr:col>
      <xdr:colOff>561975</xdr:colOff>
      <xdr:row>34</xdr:row>
      <xdr:rowOff>152400</xdr:rowOff>
    </xdr:from>
    <xdr:to>
      <xdr:col>10</xdr:col>
      <xdr:colOff>617925</xdr:colOff>
      <xdr:row>45</xdr:row>
      <xdr:rowOff>12178</xdr:rowOff>
    </xdr:to>
    <xdr:pic>
      <xdr:nvPicPr>
        <xdr:cNvPr id="63" name="Picture 62"/>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xfrm>
          <a:off x="6877050" y="8343900"/>
          <a:ext cx="1980000" cy="2060054"/>
        </a:xfrm>
        <a:prstGeom prst="rect">
          <a:avLst/>
        </a:prstGeom>
        <a:ln>
          <a:solidFill>
            <a:schemeClr val="tx1"/>
          </a:solidFill>
        </a:ln>
      </xdr:spPr>
    </xdr:pic>
    <xdr:clientData/>
  </xdr:twoCellAnchor>
  <xdr:twoCellAnchor editAs="oneCell">
    <xdr:from>
      <xdr:col>8</xdr:col>
      <xdr:colOff>76200</xdr:colOff>
      <xdr:row>56</xdr:row>
      <xdr:rowOff>76200</xdr:rowOff>
    </xdr:from>
    <xdr:to>
      <xdr:col>12</xdr:col>
      <xdr:colOff>47179</xdr:colOff>
      <xdr:row>56</xdr:row>
      <xdr:rowOff>438105</xdr:rowOff>
    </xdr:to>
    <xdr:pic>
      <xdr:nvPicPr>
        <xdr:cNvPr id="64" name="Picture 63"/>
        <xdr:cNvPicPr>
          <a:picLocks noChangeAspect="1"/>
        </xdr:cNvPicPr>
      </xdr:nvPicPr>
      <xdr:blipFill>
        <a:blip xmlns:r="http://schemas.openxmlformats.org/officeDocument/2006/relationships" r:embed="rId28"/>
        <a:stretch>
          <a:fillRect/>
        </a:stretch>
      </xdr:blipFill>
      <xdr:spPr>
        <a:xfrm>
          <a:off x="6391275" y="12963525"/>
          <a:ext cx="3571429" cy="361905"/>
        </a:xfrm>
        <a:prstGeom prst="rect">
          <a:avLst/>
        </a:prstGeom>
        <a:ln>
          <a:solidFill>
            <a:schemeClr val="tx1"/>
          </a:solidFill>
        </a:ln>
      </xdr:spPr>
    </xdr:pic>
    <xdr:clientData/>
  </xdr:twoCellAnchor>
  <xdr:twoCellAnchor editAs="oneCell">
    <xdr:from>
      <xdr:col>12</xdr:col>
      <xdr:colOff>28575</xdr:colOff>
      <xdr:row>50</xdr:row>
      <xdr:rowOff>19050</xdr:rowOff>
    </xdr:from>
    <xdr:to>
      <xdr:col>16</xdr:col>
      <xdr:colOff>399601</xdr:colOff>
      <xdr:row>59</xdr:row>
      <xdr:rowOff>38100</xdr:rowOff>
    </xdr:to>
    <xdr:pic>
      <xdr:nvPicPr>
        <xdr:cNvPr id="65" name="Picture 64"/>
        <xdr:cNvPicPr>
          <a:picLocks noChangeAspect="1"/>
        </xdr:cNvPicPr>
      </xdr:nvPicPr>
      <xdr:blipFill>
        <a:blip xmlns:r="http://schemas.openxmlformats.org/officeDocument/2006/relationships" r:embed="rId29"/>
        <a:stretch>
          <a:fillRect/>
        </a:stretch>
      </xdr:blipFill>
      <xdr:spPr>
        <a:xfrm>
          <a:off x="9944100" y="11639550"/>
          <a:ext cx="3590476" cy="2114286"/>
        </a:xfrm>
        <a:prstGeom prst="rect">
          <a:avLst/>
        </a:prstGeom>
        <a:ln>
          <a:solidFill>
            <a:schemeClr val="tx1"/>
          </a:solidFill>
        </a:ln>
      </xdr:spPr>
    </xdr:pic>
    <xdr:clientData/>
  </xdr:twoCellAnchor>
  <xdr:oneCellAnchor>
    <xdr:from>
      <xdr:col>9</xdr:col>
      <xdr:colOff>311150</xdr:colOff>
      <xdr:row>542</xdr:row>
      <xdr:rowOff>0</xdr:rowOff>
    </xdr:from>
    <xdr:ext cx="590162" cy="264560"/>
    <xdr:sp macro="" textlink="">
      <xdr:nvSpPr>
        <xdr:cNvPr id="22" name="TextBox 21"/>
        <xdr:cNvSpPr txBox="1"/>
      </xdr:nvSpPr>
      <xdr:spPr>
        <a:xfrm>
          <a:off x="8153400" y="97612200"/>
          <a:ext cx="59016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rgbClr val="FFFF00"/>
              </a:solidFill>
              <a:effectLst>
                <a:outerShdw blurRad="38100" dist="25400" dir="5400000" algn="ctr" rotWithShape="0">
                  <a:srgbClr val="6E747A">
                    <a:alpha val="43000"/>
                  </a:srgbClr>
                </a:outerShdw>
              </a:effectLst>
            </a:rPr>
            <a:t>C Wing</a:t>
          </a:r>
        </a:p>
      </xdr:txBody>
    </xdr:sp>
    <xdr:clientData/>
  </xdr:oneCellAnchor>
  <xdr:twoCellAnchor>
    <xdr:from>
      <xdr:col>0</xdr:col>
      <xdr:colOff>139700</xdr:colOff>
      <xdr:row>538</xdr:row>
      <xdr:rowOff>6350</xdr:rowOff>
    </xdr:from>
    <xdr:to>
      <xdr:col>7</xdr:col>
      <xdr:colOff>629450</xdr:colOff>
      <xdr:row>567</xdr:row>
      <xdr:rowOff>187533</xdr:rowOff>
    </xdr:to>
    <xdr:grpSp>
      <xdr:nvGrpSpPr>
        <xdr:cNvPr id="23" name="Group 22"/>
        <xdr:cNvGrpSpPr/>
      </xdr:nvGrpSpPr>
      <xdr:grpSpPr>
        <a:xfrm>
          <a:off x="139700" y="96837500"/>
          <a:ext cx="6344450" cy="5883483"/>
          <a:chOff x="139700" y="96837500"/>
          <a:chExt cx="6344450" cy="5883483"/>
        </a:xfrm>
      </xdr:grpSpPr>
      <xdr:pic>
        <xdr:nvPicPr>
          <xdr:cNvPr id="66" name="Picture 65"/>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a:ext>
            </a:extLst>
          </a:blip>
          <a:stretch>
            <a:fillRect/>
          </a:stretch>
        </xdr:blipFill>
        <xdr:spPr>
          <a:xfrm>
            <a:off x="139701" y="96837500"/>
            <a:ext cx="2002031" cy="2880000"/>
          </a:xfrm>
          <a:prstGeom prst="rect">
            <a:avLst/>
          </a:prstGeom>
          <a:ln>
            <a:solidFill>
              <a:schemeClr val="tx1"/>
            </a:solidFill>
          </a:ln>
        </xdr:spPr>
      </xdr:pic>
      <xdr:pic>
        <xdr:nvPicPr>
          <xdr:cNvPr id="67" name="Picture 66"/>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a:ext>
            </a:extLst>
          </a:blip>
          <a:stretch>
            <a:fillRect/>
          </a:stretch>
        </xdr:blipFill>
        <xdr:spPr>
          <a:xfrm>
            <a:off x="2310910" y="96837500"/>
            <a:ext cx="2002031" cy="2880000"/>
          </a:xfrm>
          <a:prstGeom prst="rect">
            <a:avLst/>
          </a:prstGeom>
          <a:ln>
            <a:solidFill>
              <a:schemeClr val="tx1"/>
            </a:solidFill>
          </a:ln>
        </xdr:spPr>
      </xdr:pic>
      <xdr:pic>
        <xdr:nvPicPr>
          <xdr:cNvPr id="75" name="Picture 74"/>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a:ext>
            </a:extLst>
          </a:blip>
          <a:stretch>
            <a:fillRect/>
          </a:stretch>
        </xdr:blipFill>
        <xdr:spPr>
          <a:xfrm>
            <a:off x="4482119" y="96837500"/>
            <a:ext cx="2002031" cy="2880000"/>
          </a:xfrm>
          <a:prstGeom prst="rect">
            <a:avLst/>
          </a:prstGeom>
          <a:ln>
            <a:solidFill>
              <a:schemeClr val="tx1"/>
            </a:solidFill>
          </a:ln>
        </xdr:spPr>
      </xdr:pic>
      <xdr:pic>
        <xdr:nvPicPr>
          <xdr:cNvPr id="76" name="Picture 75"/>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a:ext>
            </a:extLst>
          </a:blip>
          <a:stretch>
            <a:fillRect/>
          </a:stretch>
        </xdr:blipFill>
        <xdr:spPr>
          <a:xfrm>
            <a:off x="139700" y="99840983"/>
            <a:ext cx="2002031" cy="2880000"/>
          </a:xfrm>
          <a:prstGeom prst="rect">
            <a:avLst/>
          </a:prstGeom>
          <a:ln>
            <a:solidFill>
              <a:schemeClr val="tx1"/>
            </a:solidFill>
          </a:ln>
        </xdr:spPr>
      </xdr:pic>
      <xdr:pic>
        <xdr:nvPicPr>
          <xdr:cNvPr id="77" name="Picture 76"/>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a:ext>
            </a:extLst>
          </a:blip>
          <a:stretch>
            <a:fillRect/>
          </a:stretch>
        </xdr:blipFill>
        <xdr:spPr>
          <a:xfrm>
            <a:off x="2310909" y="99840983"/>
            <a:ext cx="2002031" cy="2880000"/>
          </a:xfrm>
          <a:prstGeom prst="rect">
            <a:avLst/>
          </a:prstGeom>
          <a:ln>
            <a:solidFill>
              <a:schemeClr val="tx1"/>
            </a:solidFill>
          </a:ln>
        </xdr:spPr>
      </xdr:pic>
      <xdr:pic>
        <xdr:nvPicPr>
          <xdr:cNvPr id="78" name="Picture 77"/>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a:ext>
            </a:extLst>
          </a:blip>
          <a:stretch>
            <a:fillRect/>
          </a:stretch>
        </xdr:blipFill>
        <xdr:spPr>
          <a:xfrm>
            <a:off x="4482119" y="99840983"/>
            <a:ext cx="2002031" cy="2880000"/>
          </a:xfrm>
          <a:prstGeom prst="rect">
            <a:avLst/>
          </a:prstGeom>
          <a:ln>
            <a:solidFill>
              <a:schemeClr val="tx1"/>
            </a:solidFill>
          </a:ln>
        </xdr:spPr>
      </xdr:pic>
      <xdr:sp macro="" textlink="">
        <xdr:nvSpPr>
          <xdr:cNvPr id="79" name="TextBox 78"/>
          <xdr:cNvSpPr txBox="1"/>
        </xdr:nvSpPr>
        <xdr:spPr>
          <a:xfrm>
            <a:off x="5167919" y="96996250"/>
            <a:ext cx="59016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C Wing</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www.99acres.com/raj-tulsi-sahyadri-khanda-colony-navi-mumbai-npxid-r428358" TargetMode="External"/><Relationship Id="rId1" Type="http://schemas.openxmlformats.org/officeDocument/2006/relationships/hyperlink" Target="https://maps.app.goo.gl/hsJg5izujVsep6qj8"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623"/>
  <sheetViews>
    <sheetView tabSelected="1" view="pageBreakPreview" topLeftCell="A228" zoomScaleNormal="100" zoomScaleSheetLayoutView="100" zoomScalePageLayoutView="85" workbookViewId="0">
      <selection activeCell="K145" sqref="K145"/>
    </sheetView>
  </sheetViews>
  <sheetFormatPr defaultColWidth="9.1796875" defaultRowHeight="15.5" x14ac:dyDescent="0.35"/>
  <cols>
    <col min="1" max="1" width="11.453125" style="38" customWidth="1"/>
    <col min="2" max="2" width="12" style="38" customWidth="1"/>
    <col min="3" max="3" width="12.7265625" style="38" customWidth="1"/>
    <col min="4" max="4" width="13.7265625" style="38" customWidth="1"/>
    <col min="5" max="5" width="11.7265625" style="38" customWidth="1"/>
    <col min="6" max="6" width="11.1796875" style="38" customWidth="1"/>
    <col min="7" max="8" width="11" style="38" customWidth="1"/>
    <col min="9" max="9" width="17.453125" style="19" customWidth="1"/>
    <col min="10" max="10" width="11.453125" style="19" customWidth="1"/>
    <col min="11" max="11" width="11.26953125" style="19" bestFit="1" customWidth="1"/>
    <col min="12" max="12" width="13.81640625" style="19" bestFit="1" customWidth="1"/>
    <col min="13" max="13" width="11.81640625" style="19" customWidth="1"/>
    <col min="14" max="14" width="12.54296875" style="19" customWidth="1"/>
    <col min="15" max="15" width="12.1796875" style="19" customWidth="1"/>
    <col min="16" max="16" width="11.7265625" style="19" customWidth="1"/>
    <col min="17" max="18" width="9.1796875" style="19"/>
    <col min="19" max="19" width="10.81640625" style="19" bestFit="1" customWidth="1"/>
    <col min="20" max="20" width="10.7265625" style="19" customWidth="1"/>
    <col min="21" max="247" width="9.1796875" style="19"/>
    <col min="248" max="248" width="8.7265625" style="19" customWidth="1"/>
    <col min="249" max="249" width="9.81640625" style="19" customWidth="1"/>
    <col min="250" max="250" width="14.453125" style="19" customWidth="1"/>
    <col min="251" max="251" width="7.26953125" style="19" customWidth="1"/>
    <col min="252" max="252" width="5.54296875" style="19" customWidth="1"/>
    <col min="253" max="253" width="9" style="19" customWidth="1"/>
    <col min="254" max="255" width="9.81640625" style="19" customWidth="1"/>
    <col min="256" max="256" width="11.1796875" style="19" customWidth="1"/>
    <col min="257" max="257" width="2.81640625" style="19" customWidth="1"/>
    <col min="258" max="258" width="3.54296875" style="19" customWidth="1"/>
    <col min="259" max="503" width="9.1796875" style="19"/>
    <col min="504" max="504" width="8.7265625" style="19" customWidth="1"/>
    <col min="505" max="505" width="9.81640625" style="19" customWidth="1"/>
    <col min="506" max="506" width="14.453125" style="19" customWidth="1"/>
    <col min="507" max="507" width="7.26953125" style="19" customWidth="1"/>
    <col min="508" max="508" width="5.54296875" style="19" customWidth="1"/>
    <col min="509" max="509" width="9" style="19" customWidth="1"/>
    <col min="510" max="511" width="9.81640625" style="19" customWidth="1"/>
    <col min="512" max="512" width="11.1796875" style="19" customWidth="1"/>
    <col min="513" max="513" width="2.81640625" style="19" customWidth="1"/>
    <col min="514" max="514" width="3.54296875" style="19" customWidth="1"/>
    <col min="515" max="759" width="9.1796875" style="19"/>
    <col min="760" max="760" width="8.7265625" style="19" customWidth="1"/>
    <col min="761" max="761" width="9.81640625" style="19" customWidth="1"/>
    <col min="762" max="762" width="14.453125" style="19" customWidth="1"/>
    <col min="763" max="763" width="7.26953125" style="19" customWidth="1"/>
    <col min="764" max="764" width="5.54296875" style="19" customWidth="1"/>
    <col min="765" max="765" width="9" style="19" customWidth="1"/>
    <col min="766" max="767" width="9.81640625" style="19" customWidth="1"/>
    <col min="768" max="768" width="11.1796875" style="19" customWidth="1"/>
    <col min="769" max="769" width="2.81640625" style="19" customWidth="1"/>
    <col min="770" max="770" width="3.54296875" style="19" customWidth="1"/>
    <col min="771" max="1015" width="9.1796875" style="19"/>
    <col min="1016" max="1016" width="8.7265625" style="19" customWidth="1"/>
    <col min="1017" max="1017" width="9.81640625" style="19" customWidth="1"/>
    <col min="1018" max="1018" width="14.453125" style="19" customWidth="1"/>
    <col min="1019" max="1019" width="7.26953125" style="19" customWidth="1"/>
    <col min="1020" max="1020" width="5.54296875" style="19" customWidth="1"/>
    <col min="1021" max="1021" width="9" style="19" customWidth="1"/>
    <col min="1022" max="1023" width="9.81640625" style="19" customWidth="1"/>
    <col min="1024" max="1024" width="11.1796875" style="19" customWidth="1"/>
    <col min="1025" max="1025" width="2.81640625" style="19" customWidth="1"/>
    <col min="1026" max="1026" width="3.54296875" style="19" customWidth="1"/>
    <col min="1027" max="1271" width="9.1796875" style="19"/>
    <col min="1272" max="1272" width="8.7265625" style="19" customWidth="1"/>
    <col min="1273" max="1273" width="9.81640625" style="19" customWidth="1"/>
    <col min="1274" max="1274" width="14.453125" style="19" customWidth="1"/>
    <col min="1275" max="1275" width="7.26953125" style="19" customWidth="1"/>
    <col min="1276" max="1276" width="5.54296875" style="19" customWidth="1"/>
    <col min="1277" max="1277" width="9" style="19" customWidth="1"/>
    <col min="1278" max="1279" width="9.81640625" style="19" customWidth="1"/>
    <col min="1280" max="1280" width="11.1796875" style="19" customWidth="1"/>
    <col min="1281" max="1281" width="2.81640625" style="19" customWidth="1"/>
    <col min="1282" max="1282" width="3.54296875" style="19" customWidth="1"/>
    <col min="1283" max="1527" width="9.1796875" style="19"/>
    <col min="1528" max="1528" width="8.7265625" style="19" customWidth="1"/>
    <col min="1529" max="1529" width="9.81640625" style="19" customWidth="1"/>
    <col min="1530" max="1530" width="14.453125" style="19" customWidth="1"/>
    <col min="1531" max="1531" width="7.26953125" style="19" customWidth="1"/>
    <col min="1532" max="1532" width="5.54296875" style="19" customWidth="1"/>
    <col min="1533" max="1533" width="9" style="19" customWidth="1"/>
    <col min="1534" max="1535" width="9.81640625" style="19" customWidth="1"/>
    <col min="1536" max="1536" width="11.1796875" style="19" customWidth="1"/>
    <col min="1537" max="1537" width="2.81640625" style="19" customWidth="1"/>
    <col min="1538" max="1538" width="3.54296875" style="19" customWidth="1"/>
    <col min="1539" max="1783" width="9.1796875" style="19"/>
    <col min="1784" max="1784" width="8.7265625" style="19" customWidth="1"/>
    <col min="1785" max="1785" width="9.81640625" style="19" customWidth="1"/>
    <col min="1786" max="1786" width="14.453125" style="19" customWidth="1"/>
    <col min="1787" max="1787" width="7.26953125" style="19" customWidth="1"/>
    <col min="1788" max="1788" width="5.54296875" style="19" customWidth="1"/>
    <col min="1789" max="1789" width="9" style="19" customWidth="1"/>
    <col min="1790" max="1791" width="9.81640625" style="19" customWidth="1"/>
    <col min="1792" max="1792" width="11.1796875" style="19" customWidth="1"/>
    <col min="1793" max="1793" width="2.81640625" style="19" customWidth="1"/>
    <col min="1794" max="1794" width="3.54296875" style="19" customWidth="1"/>
    <col min="1795" max="2039" width="9.1796875" style="19"/>
    <col min="2040" max="2040" width="8.7265625" style="19" customWidth="1"/>
    <col min="2041" max="2041" width="9.81640625" style="19" customWidth="1"/>
    <col min="2042" max="2042" width="14.453125" style="19" customWidth="1"/>
    <col min="2043" max="2043" width="7.26953125" style="19" customWidth="1"/>
    <col min="2044" max="2044" width="5.54296875" style="19" customWidth="1"/>
    <col min="2045" max="2045" width="9" style="19" customWidth="1"/>
    <col min="2046" max="2047" width="9.81640625" style="19" customWidth="1"/>
    <col min="2048" max="2048" width="11.1796875" style="19" customWidth="1"/>
    <col min="2049" max="2049" width="2.81640625" style="19" customWidth="1"/>
    <col min="2050" max="2050" width="3.54296875" style="19" customWidth="1"/>
    <col min="2051" max="2295" width="9.1796875" style="19"/>
    <col min="2296" max="2296" width="8.7265625" style="19" customWidth="1"/>
    <col min="2297" max="2297" width="9.81640625" style="19" customWidth="1"/>
    <col min="2298" max="2298" width="14.453125" style="19" customWidth="1"/>
    <col min="2299" max="2299" width="7.26953125" style="19" customWidth="1"/>
    <col min="2300" max="2300" width="5.54296875" style="19" customWidth="1"/>
    <col min="2301" max="2301" width="9" style="19" customWidth="1"/>
    <col min="2302" max="2303" width="9.81640625" style="19" customWidth="1"/>
    <col min="2304" max="2304" width="11.1796875" style="19" customWidth="1"/>
    <col min="2305" max="2305" width="2.81640625" style="19" customWidth="1"/>
    <col min="2306" max="2306" width="3.54296875" style="19" customWidth="1"/>
    <col min="2307" max="2551" width="9.1796875" style="19"/>
    <col min="2552" max="2552" width="8.7265625" style="19" customWidth="1"/>
    <col min="2553" max="2553" width="9.81640625" style="19" customWidth="1"/>
    <col min="2554" max="2554" width="14.453125" style="19" customWidth="1"/>
    <col min="2555" max="2555" width="7.26953125" style="19" customWidth="1"/>
    <col min="2556" max="2556" width="5.54296875" style="19" customWidth="1"/>
    <col min="2557" max="2557" width="9" style="19" customWidth="1"/>
    <col min="2558" max="2559" width="9.81640625" style="19" customWidth="1"/>
    <col min="2560" max="2560" width="11.1796875" style="19" customWidth="1"/>
    <col min="2561" max="2561" width="2.81640625" style="19" customWidth="1"/>
    <col min="2562" max="2562" width="3.54296875" style="19" customWidth="1"/>
    <col min="2563" max="2807" width="9.1796875" style="19"/>
    <col min="2808" max="2808" width="8.7265625" style="19" customWidth="1"/>
    <col min="2809" max="2809" width="9.81640625" style="19" customWidth="1"/>
    <col min="2810" max="2810" width="14.453125" style="19" customWidth="1"/>
    <col min="2811" max="2811" width="7.26953125" style="19" customWidth="1"/>
    <col min="2812" max="2812" width="5.54296875" style="19" customWidth="1"/>
    <col min="2813" max="2813" width="9" style="19" customWidth="1"/>
    <col min="2814" max="2815" width="9.81640625" style="19" customWidth="1"/>
    <col min="2816" max="2816" width="11.1796875" style="19" customWidth="1"/>
    <col min="2817" max="2817" width="2.81640625" style="19" customWidth="1"/>
    <col min="2818" max="2818" width="3.54296875" style="19" customWidth="1"/>
    <col min="2819" max="3063" width="9.1796875" style="19"/>
    <col min="3064" max="3064" width="8.7265625" style="19" customWidth="1"/>
    <col min="3065" max="3065" width="9.81640625" style="19" customWidth="1"/>
    <col min="3066" max="3066" width="14.453125" style="19" customWidth="1"/>
    <col min="3067" max="3067" width="7.26953125" style="19" customWidth="1"/>
    <col min="3068" max="3068" width="5.54296875" style="19" customWidth="1"/>
    <col min="3069" max="3069" width="9" style="19" customWidth="1"/>
    <col min="3070" max="3071" width="9.81640625" style="19" customWidth="1"/>
    <col min="3072" max="3072" width="11.1796875" style="19" customWidth="1"/>
    <col min="3073" max="3073" width="2.81640625" style="19" customWidth="1"/>
    <col min="3074" max="3074" width="3.54296875" style="19" customWidth="1"/>
    <col min="3075" max="3319" width="9.1796875" style="19"/>
    <col min="3320" max="3320" width="8.7265625" style="19" customWidth="1"/>
    <col min="3321" max="3321" width="9.81640625" style="19" customWidth="1"/>
    <col min="3322" max="3322" width="14.453125" style="19" customWidth="1"/>
    <col min="3323" max="3323" width="7.26953125" style="19" customWidth="1"/>
    <col min="3324" max="3324" width="5.54296875" style="19" customWidth="1"/>
    <col min="3325" max="3325" width="9" style="19" customWidth="1"/>
    <col min="3326" max="3327" width="9.81640625" style="19" customWidth="1"/>
    <col min="3328" max="3328" width="11.1796875" style="19" customWidth="1"/>
    <col min="3329" max="3329" width="2.81640625" style="19" customWidth="1"/>
    <col min="3330" max="3330" width="3.54296875" style="19" customWidth="1"/>
    <col min="3331" max="3575" width="9.1796875" style="19"/>
    <col min="3576" max="3576" width="8.7265625" style="19" customWidth="1"/>
    <col min="3577" max="3577" width="9.81640625" style="19" customWidth="1"/>
    <col min="3578" max="3578" width="14.453125" style="19" customWidth="1"/>
    <col min="3579" max="3579" width="7.26953125" style="19" customWidth="1"/>
    <col min="3580" max="3580" width="5.54296875" style="19" customWidth="1"/>
    <col min="3581" max="3581" width="9" style="19" customWidth="1"/>
    <col min="3582" max="3583" width="9.81640625" style="19" customWidth="1"/>
    <col min="3584" max="3584" width="11.1796875" style="19" customWidth="1"/>
    <col min="3585" max="3585" width="2.81640625" style="19" customWidth="1"/>
    <col min="3586" max="3586" width="3.54296875" style="19" customWidth="1"/>
    <col min="3587" max="3831" width="9.1796875" style="19"/>
    <col min="3832" max="3832" width="8.7265625" style="19" customWidth="1"/>
    <col min="3833" max="3833" width="9.81640625" style="19" customWidth="1"/>
    <col min="3834" max="3834" width="14.453125" style="19" customWidth="1"/>
    <col min="3835" max="3835" width="7.26953125" style="19" customWidth="1"/>
    <col min="3836" max="3836" width="5.54296875" style="19" customWidth="1"/>
    <col min="3837" max="3837" width="9" style="19" customWidth="1"/>
    <col min="3838" max="3839" width="9.81640625" style="19" customWidth="1"/>
    <col min="3840" max="3840" width="11.1796875" style="19" customWidth="1"/>
    <col min="3841" max="3841" width="2.81640625" style="19" customWidth="1"/>
    <col min="3842" max="3842" width="3.54296875" style="19" customWidth="1"/>
    <col min="3843" max="4087" width="9.1796875" style="19"/>
    <col min="4088" max="4088" width="8.7265625" style="19" customWidth="1"/>
    <col min="4089" max="4089" width="9.81640625" style="19" customWidth="1"/>
    <col min="4090" max="4090" width="14.453125" style="19" customWidth="1"/>
    <col min="4091" max="4091" width="7.26953125" style="19" customWidth="1"/>
    <col min="4092" max="4092" width="5.54296875" style="19" customWidth="1"/>
    <col min="4093" max="4093" width="9" style="19" customWidth="1"/>
    <col min="4094" max="4095" width="9.81640625" style="19" customWidth="1"/>
    <col min="4096" max="4096" width="11.1796875" style="19" customWidth="1"/>
    <col min="4097" max="4097" width="2.81640625" style="19" customWidth="1"/>
    <col min="4098" max="4098" width="3.54296875" style="19" customWidth="1"/>
    <col min="4099" max="4343" width="9.1796875" style="19"/>
    <col min="4344" max="4344" width="8.7265625" style="19" customWidth="1"/>
    <col min="4345" max="4345" width="9.81640625" style="19" customWidth="1"/>
    <col min="4346" max="4346" width="14.453125" style="19" customWidth="1"/>
    <col min="4347" max="4347" width="7.26953125" style="19" customWidth="1"/>
    <col min="4348" max="4348" width="5.54296875" style="19" customWidth="1"/>
    <col min="4349" max="4349" width="9" style="19" customWidth="1"/>
    <col min="4350" max="4351" width="9.81640625" style="19" customWidth="1"/>
    <col min="4352" max="4352" width="11.1796875" style="19" customWidth="1"/>
    <col min="4353" max="4353" width="2.81640625" style="19" customWidth="1"/>
    <col min="4354" max="4354" width="3.54296875" style="19" customWidth="1"/>
    <col min="4355" max="4599" width="9.1796875" style="19"/>
    <col min="4600" max="4600" width="8.7265625" style="19" customWidth="1"/>
    <col min="4601" max="4601" width="9.81640625" style="19" customWidth="1"/>
    <col min="4602" max="4602" width="14.453125" style="19" customWidth="1"/>
    <col min="4603" max="4603" width="7.26953125" style="19" customWidth="1"/>
    <col min="4604" max="4604" width="5.54296875" style="19" customWidth="1"/>
    <col min="4605" max="4605" width="9" style="19" customWidth="1"/>
    <col min="4606" max="4607" width="9.81640625" style="19" customWidth="1"/>
    <col min="4608" max="4608" width="11.1796875" style="19" customWidth="1"/>
    <col min="4609" max="4609" width="2.81640625" style="19" customWidth="1"/>
    <col min="4610" max="4610" width="3.54296875" style="19" customWidth="1"/>
    <col min="4611" max="4855" width="9.1796875" style="19"/>
    <col min="4856" max="4856" width="8.7265625" style="19" customWidth="1"/>
    <col min="4857" max="4857" width="9.81640625" style="19" customWidth="1"/>
    <col min="4858" max="4858" width="14.453125" style="19" customWidth="1"/>
    <col min="4859" max="4859" width="7.26953125" style="19" customWidth="1"/>
    <col min="4860" max="4860" width="5.54296875" style="19" customWidth="1"/>
    <col min="4861" max="4861" width="9" style="19" customWidth="1"/>
    <col min="4862" max="4863" width="9.81640625" style="19" customWidth="1"/>
    <col min="4864" max="4864" width="11.1796875" style="19" customWidth="1"/>
    <col min="4865" max="4865" width="2.81640625" style="19" customWidth="1"/>
    <col min="4866" max="4866" width="3.54296875" style="19" customWidth="1"/>
    <col min="4867" max="5111" width="9.1796875" style="19"/>
    <col min="5112" max="5112" width="8.7265625" style="19" customWidth="1"/>
    <col min="5113" max="5113" width="9.81640625" style="19" customWidth="1"/>
    <col min="5114" max="5114" width="14.453125" style="19" customWidth="1"/>
    <col min="5115" max="5115" width="7.26953125" style="19" customWidth="1"/>
    <col min="5116" max="5116" width="5.54296875" style="19" customWidth="1"/>
    <col min="5117" max="5117" width="9" style="19" customWidth="1"/>
    <col min="5118" max="5119" width="9.81640625" style="19" customWidth="1"/>
    <col min="5120" max="5120" width="11.1796875" style="19" customWidth="1"/>
    <col min="5121" max="5121" width="2.81640625" style="19" customWidth="1"/>
    <col min="5122" max="5122" width="3.54296875" style="19" customWidth="1"/>
    <col min="5123" max="5367" width="9.1796875" style="19"/>
    <col min="5368" max="5368" width="8.7265625" style="19" customWidth="1"/>
    <col min="5369" max="5369" width="9.81640625" style="19" customWidth="1"/>
    <col min="5370" max="5370" width="14.453125" style="19" customWidth="1"/>
    <col min="5371" max="5371" width="7.26953125" style="19" customWidth="1"/>
    <col min="5372" max="5372" width="5.54296875" style="19" customWidth="1"/>
    <col min="5373" max="5373" width="9" style="19" customWidth="1"/>
    <col min="5374" max="5375" width="9.81640625" style="19" customWidth="1"/>
    <col min="5376" max="5376" width="11.1796875" style="19" customWidth="1"/>
    <col min="5377" max="5377" width="2.81640625" style="19" customWidth="1"/>
    <col min="5378" max="5378" width="3.54296875" style="19" customWidth="1"/>
    <col min="5379" max="5623" width="9.1796875" style="19"/>
    <col min="5624" max="5624" width="8.7265625" style="19" customWidth="1"/>
    <col min="5625" max="5625" width="9.81640625" style="19" customWidth="1"/>
    <col min="5626" max="5626" width="14.453125" style="19" customWidth="1"/>
    <col min="5627" max="5627" width="7.26953125" style="19" customWidth="1"/>
    <col min="5628" max="5628" width="5.54296875" style="19" customWidth="1"/>
    <col min="5629" max="5629" width="9" style="19" customWidth="1"/>
    <col min="5630" max="5631" width="9.81640625" style="19" customWidth="1"/>
    <col min="5632" max="5632" width="11.1796875" style="19" customWidth="1"/>
    <col min="5633" max="5633" width="2.81640625" style="19" customWidth="1"/>
    <col min="5634" max="5634" width="3.54296875" style="19" customWidth="1"/>
    <col min="5635" max="5879" width="9.1796875" style="19"/>
    <col min="5880" max="5880" width="8.7265625" style="19" customWidth="1"/>
    <col min="5881" max="5881" width="9.81640625" style="19" customWidth="1"/>
    <col min="5882" max="5882" width="14.453125" style="19" customWidth="1"/>
    <col min="5883" max="5883" width="7.26953125" style="19" customWidth="1"/>
    <col min="5884" max="5884" width="5.54296875" style="19" customWidth="1"/>
    <col min="5885" max="5885" width="9" style="19" customWidth="1"/>
    <col min="5886" max="5887" width="9.81640625" style="19" customWidth="1"/>
    <col min="5888" max="5888" width="11.1796875" style="19" customWidth="1"/>
    <col min="5889" max="5889" width="2.81640625" style="19" customWidth="1"/>
    <col min="5890" max="5890" width="3.54296875" style="19" customWidth="1"/>
    <col min="5891" max="6135" width="9.1796875" style="19"/>
    <col min="6136" max="6136" width="8.7265625" style="19" customWidth="1"/>
    <col min="6137" max="6137" width="9.81640625" style="19" customWidth="1"/>
    <col min="6138" max="6138" width="14.453125" style="19" customWidth="1"/>
    <col min="6139" max="6139" width="7.26953125" style="19" customWidth="1"/>
    <col min="6140" max="6140" width="5.54296875" style="19" customWidth="1"/>
    <col min="6141" max="6141" width="9" style="19" customWidth="1"/>
    <col min="6142" max="6143" width="9.81640625" style="19" customWidth="1"/>
    <col min="6144" max="6144" width="11.1796875" style="19" customWidth="1"/>
    <col min="6145" max="6145" width="2.81640625" style="19" customWidth="1"/>
    <col min="6146" max="6146" width="3.54296875" style="19" customWidth="1"/>
    <col min="6147" max="6391" width="9.1796875" style="19"/>
    <col min="6392" max="6392" width="8.7265625" style="19" customWidth="1"/>
    <col min="6393" max="6393" width="9.81640625" style="19" customWidth="1"/>
    <col min="6394" max="6394" width="14.453125" style="19" customWidth="1"/>
    <col min="6395" max="6395" width="7.26953125" style="19" customWidth="1"/>
    <col min="6396" max="6396" width="5.54296875" style="19" customWidth="1"/>
    <col min="6397" max="6397" width="9" style="19" customWidth="1"/>
    <col min="6398" max="6399" width="9.81640625" style="19" customWidth="1"/>
    <col min="6400" max="6400" width="11.1796875" style="19" customWidth="1"/>
    <col min="6401" max="6401" width="2.81640625" style="19" customWidth="1"/>
    <col min="6402" max="6402" width="3.54296875" style="19" customWidth="1"/>
    <col min="6403" max="6647" width="9.1796875" style="19"/>
    <col min="6648" max="6648" width="8.7265625" style="19" customWidth="1"/>
    <col min="6649" max="6649" width="9.81640625" style="19" customWidth="1"/>
    <col min="6650" max="6650" width="14.453125" style="19" customWidth="1"/>
    <col min="6651" max="6651" width="7.26953125" style="19" customWidth="1"/>
    <col min="6652" max="6652" width="5.54296875" style="19" customWidth="1"/>
    <col min="6653" max="6653" width="9" style="19" customWidth="1"/>
    <col min="6654" max="6655" width="9.81640625" style="19" customWidth="1"/>
    <col min="6656" max="6656" width="11.1796875" style="19" customWidth="1"/>
    <col min="6657" max="6657" width="2.81640625" style="19" customWidth="1"/>
    <col min="6658" max="6658" width="3.54296875" style="19" customWidth="1"/>
    <col min="6659" max="6903" width="9.1796875" style="19"/>
    <col min="6904" max="6904" width="8.7265625" style="19" customWidth="1"/>
    <col min="6905" max="6905" width="9.81640625" style="19" customWidth="1"/>
    <col min="6906" max="6906" width="14.453125" style="19" customWidth="1"/>
    <col min="6907" max="6907" width="7.26953125" style="19" customWidth="1"/>
    <col min="6908" max="6908" width="5.54296875" style="19" customWidth="1"/>
    <col min="6909" max="6909" width="9" style="19" customWidth="1"/>
    <col min="6910" max="6911" width="9.81640625" style="19" customWidth="1"/>
    <col min="6912" max="6912" width="11.1796875" style="19" customWidth="1"/>
    <col min="6913" max="6913" width="2.81640625" style="19" customWidth="1"/>
    <col min="6914" max="6914" width="3.54296875" style="19" customWidth="1"/>
    <col min="6915" max="7159" width="9.1796875" style="19"/>
    <col min="7160" max="7160" width="8.7265625" style="19" customWidth="1"/>
    <col min="7161" max="7161" width="9.81640625" style="19" customWidth="1"/>
    <col min="7162" max="7162" width="14.453125" style="19" customWidth="1"/>
    <col min="7163" max="7163" width="7.26953125" style="19" customWidth="1"/>
    <col min="7164" max="7164" width="5.54296875" style="19" customWidth="1"/>
    <col min="7165" max="7165" width="9" style="19" customWidth="1"/>
    <col min="7166" max="7167" width="9.81640625" style="19" customWidth="1"/>
    <col min="7168" max="7168" width="11.1796875" style="19" customWidth="1"/>
    <col min="7169" max="7169" width="2.81640625" style="19" customWidth="1"/>
    <col min="7170" max="7170" width="3.54296875" style="19" customWidth="1"/>
    <col min="7171" max="7415" width="9.1796875" style="19"/>
    <col min="7416" max="7416" width="8.7265625" style="19" customWidth="1"/>
    <col min="7417" max="7417" width="9.81640625" style="19" customWidth="1"/>
    <col min="7418" max="7418" width="14.453125" style="19" customWidth="1"/>
    <col min="7419" max="7419" width="7.26953125" style="19" customWidth="1"/>
    <col min="7420" max="7420" width="5.54296875" style="19" customWidth="1"/>
    <col min="7421" max="7421" width="9" style="19" customWidth="1"/>
    <col min="7422" max="7423" width="9.81640625" style="19" customWidth="1"/>
    <col min="7424" max="7424" width="11.1796875" style="19" customWidth="1"/>
    <col min="7425" max="7425" width="2.81640625" style="19" customWidth="1"/>
    <col min="7426" max="7426" width="3.54296875" style="19" customWidth="1"/>
    <col min="7427" max="7671" width="9.1796875" style="19"/>
    <col min="7672" max="7672" width="8.7265625" style="19" customWidth="1"/>
    <col min="7673" max="7673" width="9.81640625" style="19" customWidth="1"/>
    <col min="7674" max="7674" width="14.453125" style="19" customWidth="1"/>
    <col min="7675" max="7675" width="7.26953125" style="19" customWidth="1"/>
    <col min="7676" max="7676" width="5.54296875" style="19" customWidth="1"/>
    <col min="7677" max="7677" width="9" style="19" customWidth="1"/>
    <col min="7678" max="7679" width="9.81640625" style="19" customWidth="1"/>
    <col min="7680" max="7680" width="11.1796875" style="19" customWidth="1"/>
    <col min="7681" max="7681" width="2.81640625" style="19" customWidth="1"/>
    <col min="7682" max="7682" width="3.54296875" style="19" customWidth="1"/>
    <col min="7683" max="7927" width="9.1796875" style="19"/>
    <col min="7928" max="7928" width="8.7265625" style="19" customWidth="1"/>
    <col min="7929" max="7929" width="9.81640625" style="19" customWidth="1"/>
    <col min="7930" max="7930" width="14.453125" style="19" customWidth="1"/>
    <col min="7931" max="7931" width="7.26953125" style="19" customWidth="1"/>
    <col min="7932" max="7932" width="5.54296875" style="19" customWidth="1"/>
    <col min="7933" max="7933" width="9" style="19" customWidth="1"/>
    <col min="7934" max="7935" width="9.81640625" style="19" customWidth="1"/>
    <col min="7936" max="7936" width="11.1796875" style="19" customWidth="1"/>
    <col min="7937" max="7937" width="2.81640625" style="19" customWidth="1"/>
    <col min="7938" max="7938" width="3.54296875" style="19" customWidth="1"/>
    <col min="7939" max="8183" width="9.1796875" style="19"/>
    <col min="8184" max="8184" width="8.7265625" style="19" customWidth="1"/>
    <col min="8185" max="8185" width="9.81640625" style="19" customWidth="1"/>
    <col min="8186" max="8186" width="14.453125" style="19" customWidth="1"/>
    <col min="8187" max="8187" width="7.26953125" style="19" customWidth="1"/>
    <col min="8188" max="8188" width="5.54296875" style="19" customWidth="1"/>
    <col min="8189" max="8189" width="9" style="19" customWidth="1"/>
    <col min="8190" max="8191" width="9.81640625" style="19" customWidth="1"/>
    <col min="8192" max="8192" width="11.1796875" style="19" customWidth="1"/>
    <col min="8193" max="8193" width="2.81640625" style="19" customWidth="1"/>
    <col min="8194" max="8194" width="3.54296875" style="19" customWidth="1"/>
    <col min="8195" max="8439" width="9.1796875" style="19"/>
    <col min="8440" max="8440" width="8.7265625" style="19" customWidth="1"/>
    <col min="8441" max="8441" width="9.81640625" style="19" customWidth="1"/>
    <col min="8442" max="8442" width="14.453125" style="19" customWidth="1"/>
    <col min="8443" max="8443" width="7.26953125" style="19" customWidth="1"/>
    <col min="8444" max="8444" width="5.54296875" style="19" customWidth="1"/>
    <col min="8445" max="8445" width="9" style="19" customWidth="1"/>
    <col min="8446" max="8447" width="9.81640625" style="19" customWidth="1"/>
    <col min="8448" max="8448" width="11.1796875" style="19" customWidth="1"/>
    <col min="8449" max="8449" width="2.81640625" style="19" customWidth="1"/>
    <col min="8450" max="8450" width="3.54296875" style="19" customWidth="1"/>
    <col min="8451" max="8695" width="9.1796875" style="19"/>
    <col min="8696" max="8696" width="8.7265625" style="19" customWidth="1"/>
    <col min="8697" max="8697" width="9.81640625" style="19" customWidth="1"/>
    <col min="8698" max="8698" width="14.453125" style="19" customWidth="1"/>
    <col min="8699" max="8699" width="7.26953125" style="19" customWidth="1"/>
    <col min="8700" max="8700" width="5.54296875" style="19" customWidth="1"/>
    <col min="8701" max="8701" width="9" style="19" customWidth="1"/>
    <col min="8702" max="8703" width="9.81640625" style="19" customWidth="1"/>
    <col min="8704" max="8704" width="11.1796875" style="19" customWidth="1"/>
    <col min="8705" max="8705" width="2.81640625" style="19" customWidth="1"/>
    <col min="8706" max="8706" width="3.54296875" style="19" customWidth="1"/>
    <col min="8707" max="8951" width="9.1796875" style="19"/>
    <col min="8952" max="8952" width="8.7265625" style="19" customWidth="1"/>
    <col min="8953" max="8953" width="9.81640625" style="19" customWidth="1"/>
    <col min="8954" max="8954" width="14.453125" style="19" customWidth="1"/>
    <col min="8955" max="8955" width="7.26953125" style="19" customWidth="1"/>
    <col min="8956" max="8956" width="5.54296875" style="19" customWidth="1"/>
    <col min="8957" max="8957" width="9" style="19" customWidth="1"/>
    <col min="8958" max="8959" width="9.81640625" style="19" customWidth="1"/>
    <col min="8960" max="8960" width="11.1796875" style="19" customWidth="1"/>
    <col min="8961" max="8961" width="2.81640625" style="19" customWidth="1"/>
    <col min="8962" max="8962" width="3.54296875" style="19" customWidth="1"/>
    <col min="8963" max="9207" width="9.1796875" style="19"/>
    <col min="9208" max="9208" width="8.7265625" style="19" customWidth="1"/>
    <col min="9209" max="9209" width="9.81640625" style="19" customWidth="1"/>
    <col min="9210" max="9210" width="14.453125" style="19" customWidth="1"/>
    <col min="9211" max="9211" width="7.26953125" style="19" customWidth="1"/>
    <col min="9212" max="9212" width="5.54296875" style="19" customWidth="1"/>
    <col min="9213" max="9213" width="9" style="19" customWidth="1"/>
    <col min="9214" max="9215" width="9.81640625" style="19" customWidth="1"/>
    <col min="9216" max="9216" width="11.1796875" style="19" customWidth="1"/>
    <col min="9217" max="9217" width="2.81640625" style="19" customWidth="1"/>
    <col min="9218" max="9218" width="3.54296875" style="19" customWidth="1"/>
    <col min="9219" max="9463" width="9.1796875" style="19"/>
    <col min="9464" max="9464" width="8.7265625" style="19" customWidth="1"/>
    <col min="9465" max="9465" width="9.81640625" style="19" customWidth="1"/>
    <col min="9466" max="9466" width="14.453125" style="19" customWidth="1"/>
    <col min="9467" max="9467" width="7.26953125" style="19" customWidth="1"/>
    <col min="9468" max="9468" width="5.54296875" style="19" customWidth="1"/>
    <col min="9469" max="9469" width="9" style="19" customWidth="1"/>
    <col min="9470" max="9471" width="9.81640625" style="19" customWidth="1"/>
    <col min="9472" max="9472" width="11.1796875" style="19" customWidth="1"/>
    <col min="9473" max="9473" width="2.81640625" style="19" customWidth="1"/>
    <col min="9474" max="9474" width="3.54296875" style="19" customWidth="1"/>
    <col min="9475" max="9719" width="9.1796875" style="19"/>
    <col min="9720" max="9720" width="8.7265625" style="19" customWidth="1"/>
    <col min="9721" max="9721" width="9.81640625" style="19" customWidth="1"/>
    <col min="9722" max="9722" width="14.453125" style="19" customWidth="1"/>
    <col min="9723" max="9723" width="7.26953125" style="19" customWidth="1"/>
    <col min="9724" max="9724" width="5.54296875" style="19" customWidth="1"/>
    <col min="9725" max="9725" width="9" style="19" customWidth="1"/>
    <col min="9726" max="9727" width="9.81640625" style="19" customWidth="1"/>
    <col min="9728" max="9728" width="11.1796875" style="19" customWidth="1"/>
    <col min="9729" max="9729" width="2.81640625" style="19" customWidth="1"/>
    <col min="9730" max="9730" width="3.54296875" style="19" customWidth="1"/>
    <col min="9731" max="9975" width="9.1796875" style="19"/>
    <col min="9976" max="9976" width="8.7265625" style="19" customWidth="1"/>
    <col min="9977" max="9977" width="9.81640625" style="19" customWidth="1"/>
    <col min="9978" max="9978" width="14.453125" style="19" customWidth="1"/>
    <col min="9979" max="9979" width="7.26953125" style="19" customWidth="1"/>
    <col min="9980" max="9980" width="5.54296875" style="19" customWidth="1"/>
    <col min="9981" max="9981" width="9" style="19" customWidth="1"/>
    <col min="9982" max="9983" width="9.81640625" style="19" customWidth="1"/>
    <col min="9984" max="9984" width="11.1796875" style="19" customWidth="1"/>
    <col min="9985" max="9985" width="2.81640625" style="19" customWidth="1"/>
    <col min="9986" max="9986" width="3.54296875" style="19" customWidth="1"/>
    <col min="9987" max="10231" width="9.1796875" style="19"/>
    <col min="10232" max="10232" width="8.7265625" style="19" customWidth="1"/>
    <col min="10233" max="10233" width="9.81640625" style="19" customWidth="1"/>
    <col min="10234" max="10234" width="14.453125" style="19" customWidth="1"/>
    <col min="10235" max="10235" width="7.26953125" style="19" customWidth="1"/>
    <col min="10236" max="10236" width="5.54296875" style="19" customWidth="1"/>
    <col min="10237" max="10237" width="9" style="19" customWidth="1"/>
    <col min="10238" max="10239" width="9.81640625" style="19" customWidth="1"/>
    <col min="10240" max="10240" width="11.1796875" style="19" customWidth="1"/>
    <col min="10241" max="10241" width="2.81640625" style="19" customWidth="1"/>
    <col min="10242" max="10242" width="3.54296875" style="19" customWidth="1"/>
    <col min="10243" max="10487" width="9.1796875" style="19"/>
    <col min="10488" max="10488" width="8.7265625" style="19" customWidth="1"/>
    <col min="10489" max="10489" width="9.81640625" style="19" customWidth="1"/>
    <col min="10490" max="10490" width="14.453125" style="19" customWidth="1"/>
    <col min="10491" max="10491" width="7.26953125" style="19" customWidth="1"/>
    <col min="10492" max="10492" width="5.54296875" style="19" customWidth="1"/>
    <col min="10493" max="10493" width="9" style="19" customWidth="1"/>
    <col min="10494" max="10495" width="9.81640625" style="19" customWidth="1"/>
    <col min="10496" max="10496" width="11.1796875" style="19" customWidth="1"/>
    <col min="10497" max="10497" width="2.81640625" style="19" customWidth="1"/>
    <col min="10498" max="10498" width="3.54296875" style="19" customWidth="1"/>
    <col min="10499" max="10743" width="9.1796875" style="19"/>
    <col min="10744" max="10744" width="8.7265625" style="19" customWidth="1"/>
    <col min="10745" max="10745" width="9.81640625" style="19" customWidth="1"/>
    <col min="10746" max="10746" width="14.453125" style="19" customWidth="1"/>
    <col min="10747" max="10747" width="7.26953125" style="19" customWidth="1"/>
    <col min="10748" max="10748" width="5.54296875" style="19" customWidth="1"/>
    <col min="10749" max="10749" width="9" style="19" customWidth="1"/>
    <col min="10750" max="10751" width="9.81640625" style="19" customWidth="1"/>
    <col min="10752" max="10752" width="11.1796875" style="19" customWidth="1"/>
    <col min="10753" max="10753" width="2.81640625" style="19" customWidth="1"/>
    <col min="10754" max="10754" width="3.54296875" style="19" customWidth="1"/>
    <col min="10755" max="10999" width="9.1796875" style="19"/>
    <col min="11000" max="11000" width="8.7265625" style="19" customWidth="1"/>
    <col min="11001" max="11001" width="9.81640625" style="19" customWidth="1"/>
    <col min="11002" max="11002" width="14.453125" style="19" customWidth="1"/>
    <col min="11003" max="11003" width="7.26953125" style="19" customWidth="1"/>
    <col min="11004" max="11004" width="5.54296875" style="19" customWidth="1"/>
    <col min="11005" max="11005" width="9" style="19" customWidth="1"/>
    <col min="11006" max="11007" width="9.81640625" style="19" customWidth="1"/>
    <col min="11008" max="11008" width="11.1796875" style="19" customWidth="1"/>
    <col min="11009" max="11009" width="2.81640625" style="19" customWidth="1"/>
    <col min="11010" max="11010" width="3.54296875" style="19" customWidth="1"/>
    <col min="11011" max="11255" width="9.1796875" style="19"/>
    <col min="11256" max="11256" width="8.7265625" style="19" customWidth="1"/>
    <col min="11257" max="11257" width="9.81640625" style="19" customWidth="1"/>
    <col min="11258" max="11258" width="14.453125" style="19" customWidth="1"/>
    <col min="11259" max="11259" width="7.26953125" style="19" customWidth="1"/>
    <col min="11260" max="11260" width="5.54296875" style="19" customWidth="1"/>
    <col min="11261" max="11261" width="9" style="19" customWidth="1"/>
    <col min="11262" max="11263" width="9.81640625" style="19" customWidth="1"/>
    <col min="11264" max="11264" width="11.1796875" style="19" customWidth="1"/>
    <col min="11265" max="11265" width="2.81640625" style="19" customWidth="1"/>
    <col min="11266" max="11266" width="3.54296875" style="19" customWidth="1"/>
    <col min="11267" max="11511" width="9.1796875" style="19"/>
    <col min="11512" max="11512" width="8.7265625" style="19" customWidth="1"/>
    <col min="11513" max="11513" width="9.81640625" style="19" customWidth="1"/>
    <col min="11514" max="11514" width="14.453125" style="19" customWidth="1"/>
    <col min="11515" max="11515" width="7.26953125" style="19" customWidth="1"/>
    <col min="11516" max="11516" width="5.54296875" style="19" customWidth="1"/>
    <col min="11517" max="11517" width="9" style="19" customWidth="1"/>
    <col min="11518" max="11519" width="9.81640625" style="19" customWidth="1"/>
    <col min="11520" max="11520" width="11.1796875" style="19" customWidth="1"/>
    <col min="11521" max="11521" width="2.81640625" style="19" customWidth="1"/>
    <col min="11522" max="11522" width="3.54296875" style="19" customWidth="1"/>
    <col min="11523" max="11767" width="9.1796875" style="19"/>
    <col min="11768" max="11768" width="8.7265625" style="19" customWidth="1"/>
    <col min="11769" max="11769" width="9.81640625" style="19" customWidth="1"/>
    <col min="11770" max="11770" width="14.453125" style="19" customWidth="1"/>
    <col min="11771" max="11771" width="7.26953125" style="19" customWidth="1"/>
    <col min="11772" max="11772" width="5.54296875" style="19" customWidth="1"/>
    <col min="11773" max="11773" width="9" style="19" customWidth="1"/>
    <col min="11774" max="11775" width="9.81640625" style="19" customWidth="1"/>
    <col min="11776" max="11776" width="11.1796875" style="19" customWidth="1"/>
    <col min="11777" max="11777" width="2.81640625" style="19" customWidth="1"/>
    <col min="11778" max="11778" width="3.54296875" style="19" customWidth="1"/>
    <col min="11779" max="12023" width="9.1796875" style="19"/>
    <col min="12024" max="12024" width="8.7265625" style="19" customWidth="1"/>
    <col min="12025" max="12025" width="9.81640625" style="19" customWidth="1"/>
    <col min="12026" max="12026" width="14.453125" style="19" customWidth="1"/>
    <col min="12027" max="12027" width="7.26953125" style="19" customWidth="1"/>
    <col min="12028" max="12028" width="5.54296875" style="19" customWidth="1"/>
    <col min="12029" max="12029" width="9" style="19" customWidth="1"/>
    <col min="12030" max="12031" width="9.81640625" style="19" customWidth="1"/>
    <col min="12032" max="12032" width="11.1796875" style="19" customWidth="1"/>
    <col min="12033" max="12033" width="2.81640625" style="19" customWidth="1"/>
    <col min="12034" max="12034" width="3.54296875" style="19" customWidth="1"/>
    <col min="12035" max="12279" width="9.1796875" style="19"/>
    <col min="12280" max="12280" width="8.7265625" style="19" customWidth="1"/>
    <col min="12281" max="12281" width="9.81640625" style="19" customWidth="1"/>
    <col min="12282" max="12282" width="14.453125" style="19" customWidth="1"/>
    <col min="12283" max="12283" width="7.26953125" style="19" customWidth="1"/>
    <col min="12284" max="12284" width="5.54296875" style="19" customWidth="1"/>
    <col min="12285" max="12285" width="9" style="19" customWidth="1"/>
    <col min="12286" max="12287" width="9.81640625" style="19" customWidth="1"/>
    <col min="12288" max="12288" width="11.1796875" style="19" customWidth="1"/>
    <col min="12289" max="12289" width="2.81640625" style="19" customWidth="1"/>
    <col min="12290" max="12290" width="3.54296875" style="19" customWidth="1"/>
    <col min="12291" max="12535" width="9.1796875" style="19"/>
    <col min="12536" max="12536" width="8.7265625" style="19" customWidth="1"/>
    <col min="12537" max="12537" width="9.81640625" style="19" customWidth="1"/>
    <col min="12538" max="12538" width="14.453125" style="19" customWidth="1"/>
    <col min="12539" max="12539" width="7.26953125" style="19" customWidth="1"/>
    <col min="12540" max="12540" width="5.54296875" style="19" customWidth="1"/>
    <col min="12541" max="12541" width="9" style="19" customWidth="1"/>
    <col min="12542" max="12543" width="9.81640625" style="19" customWidth="1"/>
    <col min="12544" max="12544" width="11.1796875" style="19" customWidth="1"/>
    <col min="12545" max="12545" width="2.81640625" style="19" customWidth="1"/>
    <col min="12546" max="12546" width="3.54296875" style="19" customWidth="1"/>
    <col min="12547" max="12791" width="9.1796875" style="19"/>
    <col min="12792" max="12792" width="8.7265625" style="19" customWidth="1"/>
    <col min="12793" max="12793" width="9.81640625" style="19" customWidth="1"/>
    <col min="12794" max="12794" width="14.453125" style="19" customWidth="1"/>
    <col min="12795" max="12795" width="7.26953125" style="19" customWidth="1"/>
    <col min="12796" max="12796" width="5.54296875" style="19" customWidth="1"/>
    <col min="12797" max="12797" width="9" style="19" customWidth="1"/>
    <col min="12798" max="12799" width="9.81640625" style="19" customWidth="1"/>
    <col min="12800" max="12800" width="11.1796875" style="19" customWidth="1"/>
    <col min="12801" max="12801" width="2.81640625" style="19" customWidth="1"/>
    <col min="12802" max="12802" width="3.54296875" style="19" customWidth="1"/>
    <col min="12803" max="13047" width="9.1796875" style="19"/>
    <col min="13048" max="13048" width="8.7265625" style="19" customWidth="1"/>
    <col min="13049" max="13049" width="9.81640625" style="19" customWidth="1"/>
    <col min="13050" max="13050" width="14.453125" style="19" customWidth="1"/>
    <col min="13051" max="13051" width="7.26953125" style="19" customWidth="1"/>
    <col min="13052" max="13052" width="5.54296875" style="19" customWidth="1"/>
    <col min="13053" max="13053" width="9" style="19" customWidth="1"/>
    <col min="13054" max="13055" width="9.81640625" style="19" customWidth="1"/>
    <col min="13056" max="13056" width="11.1796875" style="19" customWidth="1"/>
    <col min="13057" max="13057" width="2.81640625" style="19" customWidth="1"/>
    <col min="13058" max="13058" width="3.54296875" style="19" customWidth="1"/>
    <col min="13059" max="13303" width="9.1796875" style="19"/>
    <col min="13304" max="13304" width="8.7265625" style="19" customWidth="1"/>
    <col min="13305" max="13305" width="9.81640625" style="19" customWidth="1"/>
    <col min="13306" max="13306" width="14.453125" style="19" customWidth="1"/>
    <col min="13307" max="13307" width="7.26953125" style="19" customWidth="1"/>
    <col min="13308" max="13308" width="5.54296875" style="19" customWidth="1"/>
    <col min="13309" max="13309" width="9" style="19" customWidth="1"/>
    <col min="13310" max="13311" width="9.81640625" style="19" customWidth="1"/>
    <col min="13312" max="13312" width="11.1796875" style="19" customWidth="1"/>
    <col min="13313" max="13313" width="2.81640625" style="19" customWidth="1"/>
    <col min="13314" max="13314" width="3.54296875" style="19" customWidth="1"/>
    <col min="13315" max="13559" width="9.1796875" style="19"/>
    <col min="13560" max="13560" width="8.7265625" style="19" customWidth="1"/>
    <col min="13561" max="13561" width="9.81640625" style="19" customWidth="1"/>
    <col min="13562" max="13562" width="14.453125" style="19" customWidth="1"/>
    <col min="13563" max="13563" width="7.26953125" style="19" customWidth="1"/>
    <col min="13564" max="13564" width="5.54296875" style="19" customWidth="1"/>
    <col min="13565" max="13565" width="9" style="19" customWidth="1"/>
    <col min="13566" max="13567" width="9.81640625" style="19" customWidth="1"/>
    <col min="13568" max="13568" width="11.1796875" style="19" customWidth="1"/>
    <col min="13569" max="13569" width="2.81640625" style="19" customWidth="1"/>
    <col min="13570" max="13570" width="3.54296875" style="19" customWidth="1"/>
    <col min="13571" max="13815" width="9.1796875" style="19"/>
    <col min="13816" max="13816" width="8.7265625" style="19" customWidth="1"/>
    <col min="13817" max="13817" width="9.81640625" style="19" customWidth="1"/>
    <col min="13818" max="13818" width="14.453125" style="19" customWidth="1"/>
    <col min="13819" max="13819" width="7.26953125" style="19" customWidth="1"/>
    <col min="13820" max="13820" width="5.54296875" style="19" customWidth="1"/>
    <col min="13821" max="13821" width="9" style="19" customWidth="1"/>
    <col min="13822" max="13823" width="9.81640625" style="19" customWidth="1"/>
    <col min="13824" max="13824" width="11.1796875" style="19" customWidth="1"/>
    <col min="13825" max="13825" width="2.81640625" style="19" customWidth="1"/>
    <col min="13826" max="13826" width="3.54296875" style="19" customWidth="1"/>
    <col min="13827" max="14071" width="9.1796875" style="19"/>
    <col min="14072" max="14072" width="8.7265625" style="19" customWidth="1"/>
    <col min="14073" max="14073" width="9.81640625" style="19" customWidth="1"/>
    <col min="14074" max="14074" width="14.453125" style="19" customWidth="1"/>
    <col min="14075" max="14075" width="7.26953125" style="19" customWidth="1"/>
    <col min="14076" max="14076" width="5.54296875" style="19" customWidth="1"/>
    <col min="14077" max="14077" width="9" style="19" customWidth="1"/>
    <col min="14078" max="14079" width="9.81640625" style="19" customWidth="1"/>
    <col min="14080" max="14080" width="11.1796875" style="19" customWidth="1"/>
    <col min="14081" max="14081" width="2.81640625" style="19" customWidth="1"/>
    <col min="14082" max="14082" width="3.54296875" style="19" customWidth="1"/>
    <col min="14083" max="14327" width="9.1796875" style="19"/>
    <col min="14328" max="14328" width="8.7265625" style="19" customWidth="1"/>
    <col min="14329" max="14329" width="9.81640625" style="19" customWidth="1"/>
    <col min="14330" max="14330" width="14.453125" style="19" customWidth="1"/>
    <col min="14331" max="14331" width="7.26953125" style="19" customWidth="1"/>
    <col min="14332" max="14332" width="5.54296875" style="19" customWidth="1"/>
    <col min="14333" max="14333" width="9" style="19" customWidth="1"/>
    <col min="14334" max="14335" width="9.81640625" style="19" customWidth="1"/>
    <col min="14336" max="14336" width="11.1796875" style="19" customWidth="1"/>
    <col min="14337" max="14337" width="2.81640625" style="19" customWidth="1"/>
    <col min="14338" max="14338" width="3.54296875" style="19" customWidth="1"/>
    <col min="14339" max="14583" width="9.1796875" style="19"/>
    <col min="14584" max="14584" width="8.7265625" style="19" customWidth="1"/>
    <col min="14585" max="14585" width="9.81640625" style="19" customWidth="1"/>
    <col min="14586" max="14586" width="14.453125" style="19" customWidth="1"/>
    <col min="14587" max="14587" width="7.26953125" style="19" customWidth="1"/>
    <col min="14588" max="14588" width="5.54296875" style="19" customWidth="1"/>
    <col min="14589" max="14589" width="9" style="19" customWidth="1"/>
    <col min="14590" max="14591" width="9.81640625" style="19" customWidth="1"/>
    <col min="14592" max="14592" width="11.1796875" style="19" customWidth="1"/>
    <col min="14593" max="14593" width="2.81640625" style="19" customWidth="1"/>
    <col min="14594" max="14594" width="3.54296875" style="19" customWidth="1"/>
    <col min="14595" max="14839" width="9.1796875" style="19"/>
    <col min="14840" max="14840" width="8.7265625" style="19" customWidth="1"/>
    <col min="14841" max="14841" width="9.81640625" style="19" customWidth="1"/>
    <col min="14842" max="14842" width="14.453125" style="19" customWidth="1"/>
    <col min="14843" max="14843" width="7.26953125" style="19" customWidth="1"/>
    <col min="14844" max="14844" width="5.54296875" style="19" customWidth="1"/>
    <col min="14845" max="14845" width="9" style="19" customWidth="1"/>
    <col min="14846" max="14847" width="9.81640625" style="19" customWidth="1"/>
    <col min="14848" max="14848" width="11.1796875" style="19" customWidth="1"/>
    <col min="14849" max="14849" width="2.81640625" style="19" customWidth="1"/>
    <col min="14850" max="14850" width="3.54296875" style="19" customWidth="1"/>
    <col min="14851" max="15095" width="9.1796875" style="19"/>
    <col min="15096" max="15096" width="8.7265625" style="19" customWidth="1"/>
    <col min="15097" max="15097" width="9.81640625" style="19" customWidth="1"/>
    <col min="15098" max="15098" width="14.453125" style="19" customWidth="1"/>
    <col min="15099" max="15099" width="7.26953125" style="19" customWidth="1"/>
    <col min="15100" max="15100" width="5.54296875" style="19" customWidth="1"/>
    <col min="15101" max="15101" width="9" style="19" customWidth="1"/>
    <col min="15102" max="15103" width="9.81640625" style="19" customWidth="1"/>
    <col min="15104" max="15104" width="11.1796875" style="19" customWidth="1"/>
    <col min="15105" max="15105" width="2.81640625" style="19" customWidth="1"/>
    <col min="15106" max="15106" width="3.54296875" style="19" customWidth="1"/>
    <col min="15107" max="15351" width="9.1796875" style="19"/>
    <col min="15352" max="15352" width="8.7265625" style="19" customWidth="1"/>
    <col min="15353" max="15353" width="9.81640625" style="19" customWidth="1"/>
    <col min="15354" max="15354" width="14.453125" style="19" customWidth="1"/>
    <col min="15355" max="15355" width="7.26953125" style="19" customWidth="1"/>
    <col min="15356" max="15356" width="5.54296875" style="19" customWidth="1"/>
    <col min="15357" max="15357" width="9" style="19" customWidth="1"/>
    <col min="15358" max="15359" width="9.81640625" style="19" customWidth="1"/>
    <col min="15360" max="15360" width="11.1796875" style="19" customWidth="1"/>
    <col min="15361" max="15361" width="2.81640625" style="19" customWidth="1"/>
    <col min="15362" max="15362" width="3.54296875" style="19" customWidth="1"/>
    <col min="15363" max="15607" width="9.1796875" style="19"/>
    <col min="15608" max="15608" width="8.7265625" style="19" customWidth="1"/>
    <col min="15609" max="15609" width="9.81640625" style="19" customWidth="1"/>
    <col min="15610" max="15610" width="14.453125" style="19" customWidth="1"/>
    <col min="15611" max="15611" width="7.26953125" style="19" customWidth="1"/>
    <col min="15612" max="15612" width="5.54296875" style="19" customWidth="1"/>
    <col min="15613" max="15613" width="9" style="19" customWidth="1"/>
    <col min="15614" max="15615" width="9.81640625" style="19" customWidth="1"/>
    <col min="15616" max="15616" width="11.1796875" style="19" customWidth="1"/>
    <col min="15617" max="15617" width="2.81640625" style="19" customWidth="1"/>
    <col min="15618" max="15618" width="3.54296875" style="19" customWidth="1"/>
    <col min="15619" max="15863" width="9.1796875" style="19"/>
    <col min="15864" max="15864" width="8.7265625" style="19" customWidth="1"/>
    <col min="15865" max="15865" width="9.81640625" style="19" customWidth="1"/>
    <col min="15866" max="15866" width="14.453125" style="19" customWidth="1"/>
    <col min="15867" max="15867" width="7.26953125" style="19" customWidth="1"/>
    <col min="15868" max="15868" width="5.54296875" style="19" customWidth="1"/>
    <col min="15869" max="15869" width="9" style="19" customWidth="1"/>
    <col min="15870" max="15871" width="9.81640625" style="19" customWidth="1"/>
    <col min="15872" max="15872" width="11.1796875" style="19" customWidth="1"/>
    <col min="15873" max="15873" width="2.81640625" style="19" customWidth="1"/>
    <col min="15874" max="15874" width="3.54296875" style="19" customWidth="1"/>
    <col min="15875" max="16119" width="9.1796875" style="19"/>
    <col min="16120" max="16120" width="8.7265625" style="19" customWidth="1"/>
    <col min="16121" max="16121" width="9.81640625" style="19" customWidth="1"/>
    <col min="16122" max="16122" width="14.453125" style="19" customWidth="1"/>
    <col min="16123" max="16123" width="7.26953125" style="19" customWidth="1"/>
    <col min="16124" max="16124" width="5.54296875" style="19" customWidth="1"/>
    <col min="16125" max="16125" width="9" style="19" customWidth="1"/>
    <col min="16126" max="16127" width="9.81640625" style="19" customWidth="1"/>
    <col min="16128" max="16128" width="11.1796875" style="19" customWidth="1"/>
    <col min="16129" max="16129" width="2.81640625" style="19" customWidth="1"/>
    <col min="16130" max="16130" width="3.54296875" style="19" customWidth="1"/>
    <col min="16131" max="16384" width="9.1796875" style="19"/>
  </cols>
  <sheetData>
    <row r="1" spans="1:26" ht="46.5" customHeight="1" x14ac:dyDescent="0.45">
      <c r="A1" s="226" t="s">
        <v>166</v>
      </c>
      <c r="B1" s="226"/>
      <c r="C1" s="226"/>
      <c r="D1" s="226"/>
      <c r="E1" s="226"/>
      <c r="F1" s="226"/>
      <c r="G1" s="226"/>
      <c r="H1" s="226"/>
      <c r="I1" s="104" t="s">
        <v>434</v>
      </c>
      <c r="L1" s="91"/>
    </row>
    <row r="2" spans="1:26" ht="16.5" customHeight="1" x14ac:dyDescent="0.35">
      <c r="A2" s="227" t="s">
        <v>0</v>
      </c>
      <c r="B2" s="227"/>
      <c r="C2" s="227"/>
      <c r="D2" s="227"/>
      <c r="E2" s="227"/>
      <c r="F2" s="227"/>
      <c r="G2" s="227"/>
      <c r="H2" s="227"/>
    </row>
    <row r="3" spans="1:26" x14ac:dyDescent="0.35">
      <c r="A3" s="207" t="s">
        <v>1</v>
      </c>
      <c r="B3" s="207"/>
      <c r="C3" s="207"/>
      <c r="D3" s="207"/>
      <c r="E3" s="207" t="str">
        <f ca="1">TEXT(TODAY(),"DD/MM/YYYY")</f>
        <v>25/08/2025</v>
      </c>
      <c r="F3" s="207"/>
      <c r="G3" s="207"/>
      <c r="H3" s="207"/>
      <c r="K3" s="54" t="s">
        <v>236</v>
      </c>
      <c r="L3" s="51" t="s">
        <v>234</v>
      </c>
      <c r="M3" s="51" t="s">
        <v>239</v>
      </c>
      <c r="N3" s="51" t="s">
        <v>237</v>
      </c>
      <c r="O3" s="51" t="s">
        <v>341</v>
      </c>
      <c r="P3" s="51" t="s">
        <v>240</v>
      </c>
    </row>
    <row r="4" spans="1:26" ht="15" customHeight="1" x14ac:dyDescent="0.35">
      <c r="A4" s="207" t="s">
        <v>233</v>
      </c>
      <c r="B4" s="207"/>
      <c r="C4" s="207"/>
      <c r="D4" s="207"/>
      <c r="E4" s="211" t="s">
        <v>234</v>
      </c>
      <c r="F4" s="211"/>
      <c r="G4" s="211"/>
      <c r="H4" s="211"/>
      <c r="K4" s="50" t="s">
        <v>235</v>
      </c>
      <c r="L4" s="51" t="s">
        <v>172</v>
      </c>
      <c r="M4" s="51" t="s">
        <v>244</v>
      </c>
      <c r="N4" s="51" t="s">
        <v>246</v>
      </c>
      <c r="O4" s="51" t="s">
        <v>342</v>
      </c>
      <c r="P4" s="51"/>
    </row>
    <row r="5" spans="1:26" ht="15" customHeight="1" x14ac:dyDescent="0.35">
      <c r="A5" s="207" t="s">
        <v>2</v>
      </c>
      <c r="B5" s="207"/>
      <c r="C5" s="207"/>
      <c r="D5" s="207"/>
      <c r="E5" s="211" t="s">
        <v>242</v>
      </c>
      <c r="F5" s="211"/>
      <c r="G5" s="211"/>
      <c r="H5" s="211"/>
      <c r="K5" s="50"/>
      <c r="L5" s="51" t="s">
        <v>241</v>
      </c>
      <c r="M5" s="51" t="s">
        <v>245</v>
      </c>
      <c r="N5" s="51" t="s">
        <v>247</v>
      </c>
      <c r="O5" s="51" t="s">
        <v>343</v>
      </c>
      <c r="P5" s="51"/>
    </row>
    <row r="6" spans="1:26" x14ac:dyDescent="0.35">
      <c r="A6" s="207" t="s">
        <v>3</v>
      </c>
      <c r="B6" s="207"/>
      <c r="C6" s="207"/>
      <c r="D6" s="207"/>
      <c r="E6" s="228">
        <v>45892</v>
      </c>
      <c r="F6" s="207"/>
      <c r="G6" s="207"/>
      <c r="H6" s="207"/>
      <c r="K6" s="50"/>
      <c r="L6" s="51" t="s">
        <v>242</v>
      </c>
      <c r="M6" s="51"/>
      <c r="N6" s="51"/>
      <c r="O6" s="51" t="s">
        <v>344</v>
      </c>
      <c r="P6" s="51"/>
    </row>
    <row r="7" spans="1:26" ht="16.5" customHeight="1" x14ac:dyDescent="0.35">
      <c r="A7" s="207" t="s">
        <v>4</v>
      </c>
      <c r="B7" s="207"/>
      <c r="C7" s="207"/>
      <c r="D7" s="207"/>
      <c r="E7" s="207" t="s">
        <v>357</v>
      </c>
      <c r="F7" s="207"/>
      <c r="G7" s="207"/>
      <c r="H7" s="207"/>
      <c r="K7" s="50"/>
      <c r="L7" s="51" t="s">
        <v>243</v>
      </c>
      <c r="M7" s="51"/>
      <c r="N7" s="51"/>
      <c r="O7" s="51" t="s">
        <v>344</v>
      </c>
      <c r="P7" s="51"/>
    </row>
    <row r="8" spans="1:26" ht="15" customHeight="1" x14ac:dyDescent="0.35">
      <c r="A8" s="207" t="s">
        <v>5</v>
      </c>
      <c r="B8" s="207"/>
      <c r="C8" s="207"/>
      <c r="D8" s="207"/>
      <c r="E8" s="207" t="str">
        <f>E7</f>
        <v>Tulsi Homemaker LLP</v>
      </c>
      <c r="F8" s="207"/>
      <c r="G8" s="207"/>
      <c r="H8" s="207"/>
      <c r="K8" s="50"/>
      <c r="L8" s="51"/>
      <c r="M8" s="51"/>
      <c r="N8" s="51"/>
      <c r="O8" s="51" t="s">
        <v>345</v>
      </c>
      <c r="P8" s="51"/>
    </row>
    <row r="9" spans="1:26" x14ac:dyDescent="0.35">
      <c r="A9" s="207" t="s">
        <v>6</v>
      </c>
      <c r="B9" s="207"/>
      <c r="C9" s="207"/>
      <c r="D9" s="207"/>
      <c r="E9" s="144" t="s">
        <v>358</v>
      </c>
      <c r="F9" s="144"/>
      <c r="G9" s="144"/>
      <c r="H9" s="144"/>
      <c r="K9" s="50"/>
      <c r="L9" s="51"/>
      <c r="M9" s="51"/>
      <c r="N9" s="51"/>
      <c r="O9" s="51" t="s">
        <v>346</v>
      </c>
      <c r="P9" s="51"/>
    </row>
    <row r="10" spans="1:26" x14ac:dyDescent="0.35">
      <c r="A10" s="207" t="s">
        <v>169</v>
      </c>
      <c r="B10" s="207"/>
      <c r="C10" s="207"/>
      <c r="D10" s="207"/>
      <c r="E10" s="207" t="s">
        <v>359</v>
      </c>
      <c r="F10" s="207"/>
      <c r="G10" s="207"/>
      <c r="H10" s="207"/>
      <c r="K10" s="50"/>
      <c r="L10" s="51"/>
      <c r="M10" s="51"/>
      <c r="N10" s="51"/>
      <c r="O10" s="51" t="s">
        <v>347</v>
      </c>
      <c r="P10" s="51"/>
    </row>
    <row r="11" spans="1:26" x14ac:dyDescent="0.35">
      <c r="A11" s="207" t="s">
        <v>170</v>
      </c>
      <c r="B11" s="207"/>
      <c r="C11" s="207"/>
      <c r="D11" s="207"/>
      <c r="E11" s="207" t="s">
        <v>447</v>
      </c>
      <c r="F11" s="207"/>
      <c r="G11" s="207"/>
      <c r="H11" s="207"/>
      <c r="O11" s="51" t="s">
        <v>348</v>
      </c>
    </row>
    <row r="12" spans="1:26" x14ac:dyDescent="0.35">
      <c r="A12" s="207" t="s">
        <v>7</v>
      </c>
      <c r="B12" s="207"/>
      <c r="C12" s="207"/>
      <c r="D12" s="207"/>
      <c r="E12" s="207" t="s">
        <v>361</v>
      </c>
      <c r="F12" s="207"/>
      <c r="G12" s="207"/>
      <c r="H12" s="207"/>
    </row>
    <row r="13" spans="1:26" x14ac:dyDescent="0.35">
      <c r="A13" s="211" t="s">
        <v>173</v>
      </c>
      <c r="B13" s="211"/>
      <c r="C13" s="211"/>
      <c r="D13" s="211"/>
      <c r="E13" s="207" t="s">
        <v>362</v>
      </c>
      <c r="F13" s="207"/>
      <c r="G13" s="207"/>
      <c r="H13" s="207"/>
      <c r="S13" s="51" t="s">
        <v>181</v>
      </c>
      <c r="T13" s="51" t="s">
        <v>190</v>
      </c>
      <c r="U13" s="51" t="s">
        <v>174</v>
      </c>
      <c r="V13" s="51" t="s">
        <v>195</v>
      </c>
      <c r="W13" s="51" t="s">
        <v>213</v>
      </c>
      <c r="X13"/>
      <c r="Y13" t="s">
        <v>195</v>
      </c>
      <c r="Z13" t="e">
        <f ca="1">OFFSET($S$13,1,MATCH($G20,$S$13:$W$13,0)-1,15,1)</f>
        <v>#VALUE!</v>
      </c>
    </row>
    <row r="14" spans="1:26" x14ac:dyDescent="0.35">
      <c r="A14" s="159" t="s">
        <v>279</v>
      </c>
      <c r="B14" s="159"/>
      <c r="C14" s="159"/>
      <c r="D14" s="159"/>
      <c r="E14" s="190" t="s">
        <v>363</v>
      </c>
      <c r="F14" s="190"/>
      <c r="G14" s="190"/>
      <c r="H14" s="190"/>
      <c r="S14" s="51" t="s">
        <v>181</v>
      </c>
      <c r="T14" s="51" t="s">
        <v>188</v>
      </c>
      <c r="U14" s="51" t="s">
        <v>210</v>
      </c>
      <c r="V14" s="51" t="s">
        <v>196</v>
      </c>
      <c r="W14" s="51" t="s">
        <v>214</v>
      </c>
      <c r="X14"/>
      <c r="Y14"/>
      <c r="Z14"/>
    </row>
    <row r="15" spans="1:26" x14ac:dyDescent="0.35">
      <c r="A15" s="159" t="s">
        <v>8</v>
      </c>
      <c r="B15" s="159"/>
      <c r="C15" s="159"/>
      <c r="D15" s="159"/>
      <c r="E15" s="190" t="s">
        <v>356</v>
      </c>
      <c r="F15" s="211"/>
      <c r="G15" s="211"/>
      <c r="H15" s="211"/>
      <c r="I15" s="247" t="e">
        <f ca="1">OFFSET($D$5,1,MATCH($J13,$D$5:$H$5,0)-1,15,1)</f>
        <v>#N/A</v>
      </c>
      <c r="J15" s="248"/>
      <c r="K15" s="248"/>
      <c r="L15" s="248"/>
      <c r="M15" s="248"/>
      <c r="N15" s="248"/>
      <c r="O15" s="248"/>
      <c r="P15" s="248"/>
      <c r="S15" s="51" t="s">
        <v>182</v>
      </c>
      <c r="T15" s="51" t="s">
        <v>189</v>
      </c>
      <c r="U15" s="51" t="s">
        <v>211</v>
      </c>
      <c r="V15" s="51" t="s">
        <v>197</v>
      </c>
      <c r="W15" s="51" t="s">
        <v>227</v>
      </c>
      <c r="X15"/>
      <c r="Y15"/>
      <c r="Z15"/>
    </row>
    <row r="16" spans="1:26" ht="63" customHeight="1" x14ac:dyDescent="0.35">
      <c r="A16" s="223" t="s">
        <v>9</v>
      </c>
      <c r="B16" s="223"/>
      <c r="C16" s="223" t="str">
        <f>CONCATENATE((IF(OR(E9="",E9="NA"),"",E9)),", ",(IF(OR(A17="",A17="NA"),"",A17)),".",(IF(OR(C17="",C17="NA"),"",C17)),", near ",(IF(OR(C22="",C22="NA"),"",C22)),", ",(IF(OR(C19="",C19="NA"),"",C19)),", ",(IF(OR(C18="",C18="NA"),"",C18)),", ",(IF(OR(G19="",G19="NA"),"",G19)),", ",(IF(OR(C20="",C20="NA"),"",C20)),", ",(IF(OR(C21="",C21="NA"),"",C21)),", ",(IF(OR(G20="",G20="NA"),"",G20))," - ",(IF(OR(G21="",G21="NA"),"",G21)),".")</f>
        <v>Tulsi Sahyadri, Plot No.14/1(PL-06A, Bldg no.1 to 12), Sector No.14, Redevelopement of " Sahyadri Co-operative Housing Society Ltd  ", near Siddhivinayak Tower, Mumbai Panvel Highway, Khanda Colony, Khanda Colony, New Panvel, Panvel, Raigad - 410206.</v>
      </c>
      <c r="D16" s="223"/>
      <c r="E16" s="223"/>
      <c r="F16" s="223"/>
      <c r="G16" s="223"/>
      <c r="H16" s="223"/>
      <c r="S16" s="51" t="s">
        <v>183</v>
      </c>
      <c r="T16" s="51" t="s">
        <v>191</v>
      </c>
      <c r="U16" s="51" t="s">
        <v>212</v>
      </c>
      <c r="V16" s="51" t="s">
        <v>198</v>
      </c>
      <c r="W16" s="51" t="s">
        <v>215</v>
      </c>
      <c r="X16"/>
      <c r="Y16"/>
      <c r="Z16"/>
    </row>
    <row r="17" spans="1:26" ht="30.75" customHeight="1" x14ac:dyDescent="0.35">
      <c r="A17" s="190" t="s">
        <v>364</v>
      </c>
      <c r="B17" s="190"/>
      <c r="C17" s="190" t="s">
        <v>365</v>
      </c>
      <c r="D17" s="190"/>
      <c r="E17" s="190"/>
      <c r="F17" s="190"/>
      <c r="G17" s="190"/>
      <c r="H17" s="190"/>
      <c r="S17" s="51" t="s">
        <v>184</v>
      </c>
      <c r="T17" s="51" t="s">
        <v>192</v>
      </c>
      <c r="U17" s="51" t="s">
        <v>174</v>
      </c>
      <c r="V17" s="51" t="s">
        <v>199</v>
      </c>
      <c r="W17" s="51" t="s">
        <v>216</v>
      </c>
      <c r="X17"/>
      <c r="Y17"/>
      <c r="Z17"/>
    </row>
    <row r="18" spans="1:26" ht="15.75" customHeight="1" x14ac:dyDescent="0.35">
      <c r="A18" s="179" t="s">
        <v>164</v>
      </c>
      <c r="B18" s="179"/>
      <c r="C18" s="179" t="s">
        <v>366</v>
      </c>
      <c r="D18" s="179"/>
      <c r="E18" s="179"/>
      <c r="F18" s="179"/>
      <c r="G18" s="179"/>
      <c r="H18" s="179"/>
      <c r="S18" s="51" t="s">
        <v>185</v>
      </c>
      <c r="T18" s="51" t="s">
        <v>190</v>
      </c>
      <c r="U18" s="51"/>
      <c r="V18" s="51" t="s">
        <v>200</v>
      </c>
      <c r="W18" s="51" t="s">
        <v>217</v>
      </c>
      <c r="X18"/>
      <c r="Y18"/>
      <c r="Z18"/>
    </row>
    <row r="19" spans="1:26" ht="15.75" customHeight="1" x14ac:dyDescent="0.35">
      <c r="A19" s="223" t="s">
        <v>10</v>
      </c>
      <c r="B19" s="223"/>
      <c r="C19" s="207" t="s">
        <v>436</v>
      </c>
      <c r="D19" s="207"/>
      <c r="E19" s="223" t="s">
        <v>70</v>
      </c>
      <c r="F19" s="223"/>
      <c r="G19" s="179" t="s">
        <v>366</v>
      </c>
      <c r="H19" s="179"/>
      <c r="S19" s="51" t="s">
        <v>186</v>
      </c>
      <c r="T19" s="51" t="s">
        <v>193</v>
      </c>
      <c r="U19" s="51"/>
      <c r="V19" s="51" t="s">
        <v>201</v>
      </c>
      <c r="W19" s="51" t="s">
        <v>218</v>
      </c>
      <c r="X19"/>
      <c r="Y19"/>
      <c r="Z19"/>
    </row>
    <row r="20" spans="1:26" x14ac:dyDescent="0.35">
      <c r="A20" s="159" t="s">
        <v>12</v>
      </c>
      <c r="B20" s="159"/>
      <c r="C20" s="179" t="s">
        <v>435</v>
      </c>
      <c r="D20" s="179"/>
      <c r="E20" s="223" t="s">
        <v>11</v>
      </c>
      <c r="F20" s="223"/>
      <c r="G20" s="225" t="s">
        <v>195</v>
      </c>
      <c r="H20" s="225"/>
      <c r="S20" s="51" t="s">
        <v>187</v>
      </c>
      <c r="T20" s="51" t="s">
        <v>194</v>
      </c>
      <c r="U20" s="51"/>
      <c r="V20" s="51" t="s">
        <v>202</v>
      </c>
      <c r="W20" s="51" t="s">
        <v>219</v>
      </c>
      <c r="X20"/>
      <c r="Y20"/>
      <c r="Z20"/>
    </row>
    <row r="21" spans="1:26" x14ac:dyDescent="0.35">
      <c r="A21" s="159" t="s">
        <v>71</v>
      </c>
      <c r="B21" s="159"/>
      <c r="C21" s="190" t="s">
        <v>197</v>
      </c>
      <c r="D21" s="190"/>
      <c r="E21" s="223" t="s">
        <v>13</v>
      </c>
      <c r="F21" s="223"/>
      <c r="G21" s="179">
        <v>410206</v>
      </c>
      <c r="H21" s="179"/>
      <c r="S21" s="51"/>
      <c r="T21" s="51"/>
      <c r="U21" s="51"/>
      <c r="V21" s="51" t="s">
        <v>203</v>
      </c>
      <c r="W21" s="51" t="s">
        <v>220</v>
      </c>
      <c r="X21"/>
      <c r="Y21"/>
      <c r="Z21"/>
    </row>
    <row r="22" spans="1:26" ht="47.25" customHeight="1" x14ac:dyDescent="0.35">
      <c r="A22" s="159" t="s">
        <v>120</v>
      </c>
      <c r="B22" s="159"/>
      <c r="C22" s="179" t="s">
        <v>369</v>
      </c>
      <c r="D22" s="179"/>
      <c r="E22" s="223" t="s">
        <v>14</v>
      </c>
      <c r="F22" s="223"/>
      <c r="G22" s="190" t="s">
        <v>427</v>
      </c>
      <c r="H22" s="190"/>
      <c r="S22" s="51"/>
      <c r="T22" s="51"/>
      <c r="U22" s="51"/>
      <c r="V22" s="51" t="s">
        <v>204</v>
      </c>
      <c r="W22" s="51" t="s">
        <v>221</v>
      </c>
      <c r="X22"/>
      <c r="Y22"/>
      <c r="Z22"/>
    </row>
    <row r="23" spans="1:26" ht="15" customHeight="1" x14ac:dyDescent="0.35">
      <c r="A23" s="223" t="s">
        <v>73</v>
      </c>
      <c r="B23" s="223"/>
      <c r="C23" s="223"/>
      <c r="D23" s="223"/>
      <c r="E23" s="207" t="s">
        <v>15</v>
      </c>
      <c r="F23" s="207"/>
      <c r="G23" s="207"/>
      <c r="H23" s="207"/>
      <c r="S23" s="51"/>
      <c r="T23" s="51"/>
      <c r="U23" s="51"/>
      <c r="V23" s="51" t="s">
        <v>205</v>
      </c>
      <c r="W23" s="51" t="s">
        <v>222</v>
      </c>
      <c r="X23"/>
      <c r="Y23"/>
      <c r="Z23"/>
    </row>
    <row r="24" spans="1:26" ht="18.75" customHeight="1" x14ac:dyDescent="0.35">
      <c r="A24" s="223"/>
      <c r="B24" s="223"/>
      <c r="C24" s="223"/>
      <c r="D24" s="223"/>
      <c r="E24" s="207"/>
      <c r="F24" s="207"/>
      <c r="G24" s="207"/>
      <c r="H24" s="207"/>
      <c r="S24" s="51"/>
      <c r="T24" s="51"/>
      <c r="U24" s="51"/>
      <c r="V24" s="51" t="s">
        <v>206</v>
      </c>
      <c r="W24" s="51" t="s">
        <v>223</v>
      </c>
      <c r="X24"/>
      <c r="Y24"/>
      <c r="Z24"/>
    </row>
    <row r="25" spans="1:26" ht="15" customHeight="1" x14ac:dyDescent="0.35">
      <c r="A25" s="223" t="s">
        <v>16</v>
      </c>
      <c r="B25" s="223"/>
      <c r="C25" s="223"/>
      <c r="D25" s="223"/>
      <c r="E25" s="179" t="s">
        <v>17</v>
      </c>
      <c r="F25" s="179"/>
      <c r="G25" s="179"/>
      <c r="H25" s="179"/>
      <c r="S25" s="51"/>
      <c r="T25" s="51"/>
      <c r="U25" s="51"/>
      <c r="V25" s="51" t="s">
        <v>207</v>
      </c>
      <c r="W25" s="51" t="s">
        <v>224</v>
      </c>
      <c r="X25"/>
      <c r="Y25"/>
      <c r="Z25"/>
    </row>
    <row r="26" spans="1:26" ht="15" customHeight="1" x14ac:dyDescent="0.35">
      <c r="A26" s="159" t="s">
        <v>18</v>
      </c>
      <c r="B26" s="159"/>
      <c r="C26" s="159"/>
      <c r="D26" s="159"/>
      <c r="E26" s="179" t="str">
        <f>IF(AND(G20="Mumbai"),"Upper Class","Middle Class")</f>
        <v>Middle Class</v>
      </c>
      <c r="F26" s="179"/>
      <c r="G26" s="179"/>
      <c r="H26" s="179"/>
      <c r="S26" s="51"/>
      <c r="T26" s="51"/>
      <c r="U26" s="51"/>
      <c r="V26" s="51" t="s">
        <v>208</v>
      </c>
      <c r="W26" s="51" t="s">
        <v>225</v>
      </c>
      <c r="X26"/>
      <c r="Y26"/>
      <c r="Z26"/>
    </row>
    <row r="27" spans="1:26" x14ac:dyDescent="0.35">
      <c r="A27" s="159" t="s">
        <v>19</v>
      </c>
      <c r="B27" s="159"/>
      <c r="C27" s="159"/>
      <c r="D27" s="159"/>
      <c r="E27" s="179" t="s">
        <v>20</v>
      </c>
      <c r="F27" s="179"/>
      <c r="G27" s="179"/>
      <c r="H27" s="179"/>
      <c r="S27" s="51"/>
      <c r="T27" s="51"/>
      <c r="U27" s="51"/>
      <c r="V27" s="51" t="s">
        <v>209</v>
      </c>
      <c r="W27" s="51" t="s">
        <v>226</v>
      </c>
      <c r="X27"/>
      <c r="Y27"/>
      <c r="Z27"/>
    </row>
    <row r="28" spans="1:26" ht="15.75" customHeight="1" x14ac:dyDescent="0.35">
      <c r="A28" s="159" t="s">
        <v>21</v>
      </c>
      <c r="B28" s="159"/>
      <c r="C28" s="159"/>
      <c r="D28" s="159"/>
      <c r="E28" s="179" t="str">
        <f>IF(AND(G20="Mumbai"),"Developed","Developing")</f>
        <v>Developing</v>
      </c>
      <c r="F28" s="179"/>
      <c r="G28" s="179"/>
      <c r="H28" s="179"/>
    </row>
    <row r="29" spans="1:26" x14ac:dyDescent="0.35">
      <c r="A29" s="159" t="s">
        <v>22</v>
      </c>
      <c r="B29" s="159"/>
      <c r="C29" s="159"/>
      <c r="D29" s="159"/>
      <c r="E29" s="179" t="s">
        <v>23</v>
      </c>
      <c r="F29" s="179"/>
      <c r="G29" s="179"/>
      <c r="H29" s="179"/>
    </row>
    <row r="30" spans="1:26" ht="15.75" customHeight="1" x14ac:dyDescent="0.35">
      <c r="A30" s="159" t="s">
        <v>78</v>
      </c>
      <c r="B30" s="159"/>
      <c r="C30" s="159"/>
      <c r="D30" s="159"/>
      <c r="E30" s="179" t="s">
        <v>79</v>
      </c>
      <c r="F30" s="179"/>
      <c r="G30" s="179"/>
      <c r="H30" s="179"/>
    </row>
    <row r="31" spans="1:26" ht="15" customHeight="1" x14ac:dyDescent="0.35">
      <c r="A31" s="159" t="s">
        <v>30</v>
      </c>
      <c r="B31" s="159"/>
      <c r="C31" s="159"/>
      <c r="D31" s="159"/>
      <c r="E31" s="179"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79"/>
      <c r="G31" s="179"/>
      <c r="H31" s="179"/>
    </row>
    <row r="32" spans="1:26" ht="15.75" customHeight="1" x14ac:dyDescent="0.35">
      <c r="A32" s="159" t="s">
        <v>90</v>
      </c>
      <c r="B32" s="159"/>
      <c r="C32" s="159"/>
      <c r="D32" s="159"/>
      <c r="E32" s="179" t="s">
        <v>31</v>
      </c>
      <c r="F32" s="179"/>
      <c r="G32" s="179"/>
      <c r="H32" s="179"/>
    </row>
    <row r="33" spans="1:19" s="20" customFormat="1" x14ac:dyDescent="0.35">
      <c r="A33" s="224" t="s">
        <v>91</v>
      </c>
      <c r="B33" s="224"/>
      <c r="C33" s="285" t="s">
        <v>175</v>
      </c>
      <c r="D33" s="285"/>
      <c r="E33" s="285"/>
      <c r="F33" s="285" t="s">
        <v>29</v>
      </c>
      <c r="G33" s="285"/>
      <c r="H33" s="285"/>
      <c r="S33" s="20" t="e">
        <f ca="1">OFFSET($S$13,1,MATCH($G20,$S$13:$W$13,0)-1,15,1)</f>
        <v>#VALUE!</v>
      </c>
    </row>
    <row r="34" spans="1:19" s="20" customFormat="1" x14ac:dyDescent="0.35">
      <c r="A34" s="187" t="s">
        <v>24</v>
      </c>
      <c r="B34" s="187" t="s">
        <v>28</v>
      </c>
      <c r="C34" s="286" t="s">
        <v>426</v>
      </c>
      <c r="D34" s="286"/>
      <c r="E34" s="286"/>
      <c r="F34" s="286" t="s">
        <v>419</v>
      </c>
      <c r="G34" s="286"/>
      <c r="H34" s="286"/>
    </row>
    <row r="35" spans="1:19" x14ac:dyDescent="0.35">
      <c r="A35" s="187" t="s">
        <v>25</v>
      </c>
      <c r="B35" s="187" t="s">
        <v>28</v>
      </c>
      <c r="C35" s="286" t="s">
        <v>10</v>
      </c>
      <c r="D35" s="286"/>
      <c r="E35" s="286"/>
      <c r="F35" s="286" t="s">
        <v>443</v>
      </c>
      <c r="G35" s="286"/>
      <c r="H35" s="286"/>
    </row>
    <row r="36" spans="1:19" s="20" customFormat="1" x14ac:dyDescent="0.35">
      <c r="A36" s="187" t="s">
        <v>27</v>
      </c>
      <c r="B36" s="187" t="s">
        <v>28</v>
      </c>
      <c r="C36" s="286" t="s">
        <v>424</v>
      </c>
      <c r="D36" s="286"/>
      <c r="E36" s="286"/>
      <c r="F36" s="286" t="s">
        <v>421</v>
      </c>
      <c r="G36" s="286"/>
      <c r="H36" s="286"/>
    </row>
    <row r="37" spans="1:19" x14ac:dyDescent="0.35">
      <c r="A37" s="187" t="s">
        <v>26</v>
      </c>
      <c r="B37" s="187" t="s">
        <v>28</v>
      </c>
      <c r="C37" s="286" t="s">
        <v>425</v>
      </c>
      <c r="D37" s="286"/>
      <c r="E37" s="286"/>
      <c r="F37" s="286" t="s">
        <v>420</v>
      </c>
      <c r="G37" s="286"/>
      <c r="H37" s="286"/>
    </row>
    <row r="38" spans="1:19" x14ac:dyDescent="0.35">
      <c r="A38" s="159" t="s">
        <v>280</v>
      </c>
      <c r="B38" s="159"/>
      <c r="C38" s="159"/>
      <c r="D38" s="159"/>
      <c r="E38" s="159"/>
      <c r="F38" s="159"/>
      <c r="G38" s="159"/>
      <c r="H38" s="159"/>
    </row>
    <row r="39" spans="1:19" ht="15.75" customHeight="1" x14ac:dyDescent="0.35">
      <c r="A39" s="159" t="s">
        <v>167</v>
      </c>
      <c r="B39" s="159"/>
      <c r="C39" s="189" t="s">
        <v>367</v>
      </c>
      <c r="D39" s="189"/>
      <c r="E39" s="189"/>
      <c r="F39" s="189"/>
      <c r="G39" s="189"/>
      <c r="H39" s="189"/>
    </row>
    <row r="40" spans="1:19" x14ac:dyDescent="0.35">
      <c r="A40" s="159" t="s">
        <v>163</v>
      </c>
      <c r="B40" s="159"/>
      <c r="C40" s="178" t="s">
        <v>368</v>
      </c>
      <c r="D40" s="179"/>
      <c r="E40" s="179"/>
      <c r="F40" s="179"/>
      <c r="G40" s="179"/>
      <c r="H40" s="179"/>
    </row>
    <row r="41" spans="1:19" x14ac:dyDescent="0.35">
      <c r="A41" s="189" t="s">
        <v>32</v>
      </c>
      <c r="B41" s="189"/>
      <c r="C41" s="189"/>
      <c r="D41" s="189"/>
      <c r="E41" s="189"/>
      <c r="F41" s="189"/>
      <c r="G41" s="189"/>
      <c r="H41" s="189"/>
    </row>
    <row r="42" spans="1:19" x14ac:dyDescent="0.35">
      <c r="A42" s="159" t="s">
        <v>33</v>
      </c>
      <c r="B42" s="159"/>
      <c r="C42" s="159"/>
      <c r="D42" s="159"/>
      <c r="E42" s="188">
        <v>9869.42</v>
      </c>
      <c r="F42" s="188"/>
      <c r="G42" s="188"/>
      <c r="H42" s="188"/>
    </row>
    <row r="43" spans="1:19" x14ac:dyDescent="0.35">
      <c r="A43" s="159" t="s">
        <v>34</v>
      </c>
      <c r="B43" s="159"/>
      <c r="C43" s="159"/>
      <c r="D43" s="159"/>
      <c r="E43" s="209">
        <v>3</v>
      </c>
      <c r="F43" s="209"/>
      <c r="G43" s="209"/>
      <c r="H43" s="209"/>
    </row>
    <row r="44" spans="1:19" x14ac:dyDescent="0.35">
      <c r="A44" s="159" t="s">
        <v>35</v>
      </c>
      <c r="B44" s="159"/>
      <c r="C44" s="159"/>
      <c r="D44" s="159"/>
      <c r="E44" s="209">
        <f>E46/E42-E43</f>
        <v>1.8294388120071901</v>
      </c>
      <c r="F44" s="209"/>
      <c r="G44" s="209"/>
      <c r="H44" s="209"/>
    </row>
    <row r="45" spans="1:19" x14ac:dyDescent="0.35">
      <c r="A45" s="159" t="s">
        <v>36</v>
      </c>
      <c r="B45" s="159"/>
      <c r="C45" s="159"/>
      <c r="D45" s="159"/>
      <c r="E45" s="209">
        <f>E43+E44</f>
        <v>4.8294388120071901</v>
      </c>
      <c r="F45" s="209"/>
      <c r="G45" s="209"/>
      <c r="H45" s="209"/>
    </row>
    <row r="46" spans="1:19" x14ac:dyDescent="0.35">
      <c r="A46" s="159" t="s">
        <v>89</v>
      </c>
      <c r="B46" s="159"/>
      <c r="C46" s="159"/>
      <c r="D46" s="159"/>
      <c r="E46" s="210">
        <v>47663.76</v>
      </c>
      <c r="F46" s="210"/>
      <c r="G46" s="210"/>
      <c r="H46" s="210"/>
    </row>
    <row r="47" spans="1:19" x14ac:dyDescent="0.35">
      <c r="A47" s="207" t="s">
        <v>37</v>
      </c>
      <c r="B47" s="207"/>
      <c r="C47" s="207"/>
      <c r="D47" s="207"/>
      <c r="E47" s="211" t="s">
        <v>370</v>
      </c>
      <c r="F47" s="211"/>
      <c r="G47" s="211"/>
      <c r="H47" s="211"/>
    </row>
    <row r="48" spans="1:19" x14ac:dyDescent="0.35">
      <c r="A48" s="189" t="s">
        <v>38</v>
      </c>
      <c r="B48" s="189"/>
      <c r="C48" s="189"/>
      <c r="D48" s="189"/>
      <c r="E48" s="189"/>
      <c r="F48" s="189"/>
      <c r="G48" s="189"/>
      <c r="H48" s="189"/>
    </row>
    <row r="49" spans="1:24" ht="33.75" customHeight="1" x14ac:dyDescent="0.35">
      <c r="A49" s="191" t="s">
        <v>152</v>
      </c>
      <c r="B49" s="193"/>
      <c r="C49" s="216" t="s">
        <v>270</v>
      </c>
      <c r="D49" s="217"/>
      <c r="E49" s="217"/>
      <c r="F49" s="217"/>
      <c r="G49" s="217"/>
      <c r="H49" s="218"/>
      <c r="R49" t="s">
        <v>253</v>
      </c>
      <c r="S49" s="55" t="s">
        <v>174</v>
      </c>
      <c r="T49" s="55" t="s">
        <v>181</v>
      </c>
      <c r="U49" s="55" t="s">
        <v>195</v>
      </c>
      <c r="V49" s="55" t="s">
        <v>190</v>
      </c>
    </row>
    <row r="50" spans="1:24" ht="15.75" customHeight="1" x14ac:dyDescent="0.35">
      <c r="A50" s="191" t="s">
        <v>39</v>
      </c>
      <c r="B50" s="193"/>
      <c r="C50" s="191" t="s">
        <v>371</v>
      </c>
      <c r="D50" s="192"/>
      <c r="E50" s="193"/>
      <c r="F50" s="16" t="s">
        <v>40</v>
      </c>
      <c r="G50" s="194">
        <v>45358</v>
      </c>
      <c r="H50" s="195"/>
      <c r="R50"/>
      <c r="S50" s="55" t="s">
        <v>254</v>
      </c>
      <c r="T50" s="55" t="s">
        <v>259</v>
      </c>
      <c r="U50" s="55" t="s">
        <v>270</v>
      </c>
      <c r="V50" s="55" t="s">
        <v>275</v>
      </c>
    </row>
    <row r="51" spans="1:24" x14ac:dyDescent="0.35">
      <c r="A51" s="191" t="s">
        <v>41</v>
      </c>
      <c r="B51" s="193"/>
      <c r="C51" s="191" t="str">
        <f>C50</f>
        <v>PMP/NRV/5023/939/2024</v>
      </c>
      <c r="D51" s="192"/>
      <c r="E51" s="193"/>
      <c r="F51" s="16" t="s">
        <v>40</v>
      </c>
      <c r="G51" s="194">
        <f>G50</f>
        <v>45358</v>
      </c>
      <c r="H51" s="195"/>
      <c r="R51"/>
      <c r="S51" s="55" t="s">
        <v>255</v>
      </c>
      <c r="T51" s="55" t="s">
        <v>260</v>
      </c>
      <c r="U51" s="55" t="s">
        <v>268</v>
      </c>
      <c r="V51" s="55" t="s">
        <v>276</v>
      </c>
    </row>
    <row r="52" spans="1:24" s="21" customFormat="1" ht="31.5" customHeight="1" x14ac:dyDescent="0.35">
      <c r="A52" s="203" t="s">
        <v>156</v>
      </c>
      <c r="B52" s="204"/>
      <c r="C52" s="191" t="s">
        <v>372</v>
      </c>
      <c r="D52" s="192"/>
      <c r="E52" s="193"/>
      <c r="F52" s="16" t="s">
        <v>40</v>
      </c>
      <c r="G52" s="194">
        <v>45358</v>
      </c>
      <c r="H52" s="195"/>
      <c r="I52" s="20" t="str">
        <f ca="1">IF(G52&gt;EDATE(E3,-48),"NO REMARK","CC REMARK FOR CC")</f>
        <v>NO REMARK</v>
      </c>
      <c r="J52" s="82"/>
      <c r="R52"/>
      <c r="S52" s="55" t="s">
        <v>256</v>
      </c>
      <c r="T52" s="55" t="s">
        <v>261</v>
      </c>
      <c r="U52" s="55" t="s">
        <v>258</v>
      </c>
      <c r="V52" s="55" t="s">
        <v>277</v>
      </c>
    </row>
    <row r="53" spans="1:24" s="21" customFormat="1" ht="48" customHeight="1" x14ac:dyDescent="0.35">
      <c r="A53" s="205"/>
      <c r="B53" s="206"/>
      <c r="C53" s="191" t="s">
        <v>437</v>
      </c>
      <c r="D53" s="192"/>
      <c r="E53" s="192"/>
      <c r="F53" s="192"/>
      <c r="G53" s="192"/>
      <c r="H53" s="193"/>
      <c r="K53" s="83">
        <f>EDATE(G52,-48)</f>
        <v>43897</v>
      </c>
      <c r="L53" s="21" t="str">
        <f ca="1">IF(G52&gt;EDATE(E3,-48),"NO REMARK","CC REMARK FOR CC")</f>
        <v>NO REMARK</v>
      </c>
      <c r="R53"/>
      <c r="S53" s="55" t="s">
        <v>257</v>
      </c>
      <c r="T53" s="55" t="s">
        <v>264</v>
      </c>
      <c r="U53" s="55" t="s">
        <v>271</v>
      </c>
      <c r="V53" s="75" t="s">
        <v>350</v>
      </c>
    </row>
    <row r="54" spans="1:24" s="21" customFormat="1" hidden="1" x14ac:dyDescent="0.35">
      <c r="A54" s="196" t="s">
        <v>281</v>
      </c>
      <c r="B54" s="197"/>
      <c r="C54" s="191"/>
      <c r="D54" s="192"/>
      <c r="E54" s="193"/>
      <c r="F54" s="92" t="s">
        <v>40</v>
      </c>
      <c r="G54" s="194"/>
      <c r="H54" s="195"/>
      <c r="R54"/>
      <c r="S54" s="55" t="s">
        <v>256</v>
      </c>
      <c r="T54" s="55" t="s">
        <v>261</v>
      </c>
      <c r="U54" s="55" t="s">
        <v>258</v>
      </c>
      <c r="V54" s="55" t="s">
        <v>277</v>
      </c>
    </row>
    <row r="55" spans="1:24" s="21" customFormat="1" ht="32.25" hidden="1" customHeight="1" x14ac:dyDescent="0.35">
      <c r="A55" s="198"/>
      <c r="B55" s="199"/>
      <c r="C55" s="182"/>
      <c r="D55" s="183"/>
      <c r="E55" s="183"/>
      <c r="F55" s="183"/>
      <c r="G55" s="183"/>
      <c r="H55" s="184"/>
      <c r="R55"/>
      <c r="S55" s="55" t="s">
        <v>258</v>
      </c>
      <c r="T55" s="55" t="s">
        <v>262</v>
      </c>
      <c r="U55" s="55" t="s">
        <v>272</v>
      </c>
      <c r="V55" s="76"/>
      <c r="W55" s="19"/>
      <c r="X55" s="19"/>
    </row>
    <row r="56" spans="1:24" s="21" customFormat="1" ht="34.5" customHeight="1" x14ac:dyDescent="0.35">
      <c r="A56" s="256" t="s">
        <v>282</v>
      </c>
      <c r="B56" s="257"/>
      <c r="C56" s="191" t="s">
        <v>373</v>
      </c>
      <c r="D56" s="192"/>
      <c r="E56" s="193"/>
      <c r="F56" s="16" t="s">
        <v>40</v>
      </c>
      <c r="G56" s="194">
        <v>45328</v>
      </c>
      <c r="H56" s="195"/>
      <c r="R56"/>
      <c r="S56" s="76"/>
      <c r="T56" s="55" t="s">
        <v>263</v>
      </c>
      <c r="U56" s="55" t="s">
        <v>273</v>
      </c>
      <c r="V56" s="76"/>
      <c r="W56" s="19"/>
      <c r="X56" s="19"/>
    </row>
    <row r="57" spans="1:24" s="21" customFormat="1" ht="34.5" customHeight="1" x14ac:dyDescent="0.35">
      <c r="A57" s="258"/>
      <c r="B57" s="259"/>
      <c r="C57" s="191" t="s">
        <v>438</v>
      </c>
      <c r="D57" s="192"/>
      <c r="E57" s="192"/>
      <c r="F57" s="192"/>
      <c r="G57" s="192"/>
      <c r="H57" s="193"/>
      <c r="R57"/>
      <c r="S57" s="76"/>
      <c r="T57" s="55" t="s">
        <v>265</v>
      </c>
      <c r="U57" s="55" t="s">
        <v>274</v>
      </c>
      <c r="V57" s="76"/>
      <c r="W57" s="19"/>
      <c r="X57" s="19"/>
    </row>
    <row r="58" spans="1:24" s="21" customFormat="1" ht="15.75" hidden="1" customHeight="1" x14ac:dyDescent="0.35">
      <c r="A58" s="196" t="s">
        <v>353</v>
      </c>
      <c r="B58" s="197"/>
      <c r="C58" s="200"/>
      <c r="D58" s="201"/>
      <c r="E58" s="202"/>
      <c r="F58" s="92" t="s">
        <v>40</v>
      </c>
      <c r="G58" s="194"/>
      <c r="H58" s="195"/>
      <c r="R58"/>
      <c r="S58" s="76"/>
      <c r="T58" s="55" t="s">
        <v>266</v>
      </c>
      <c r="U58" s="76" t="s">
        <v>296</v>
      </c>
      <c r="V58" s="76"/>
      <c r="W58" s="19"/>
      <c r="X58" s="19"/>
    </row>
    <row r="59" spans="1:24" s="21" customFormat="1" ht="33.75" hidden="1" customHeight="1" x14ac:dyDescent="0.35">
      <c r="A59" s="198"/>
      <c r="B59" s="199"/>
      <c r="C59" s="255" t="s">
        <v>355</v>
      </c>
      <c r="D59" s="255"/>
      <c r="E59" s="255"/>
      <c r="F59" s="92" t="s">
        <v>354</v>
      </c>
      <c r="G59" s="194"/>
      <c r="H59" s="195"/>
      <c r="R59"/>
      <c r="S59" s="76"/>
      <c r="T59" s="55" t="s">
        <v>267</v>
      </c>
      <c r="U59" s="76"/>
      <c r="V59" s="76"/>
      <c r="W59" s="19"/>
      <c r="X59" s="19"/>
    </row>
    <row r="60" spans="1:24" x14ac:dyDescent="0.35">
      <c r="A60" s="250" t="s">
        <v>42</v>
      </c>
      <c r="B60" s="251"/>
      <c r="C60" s="250" t="s">
        <v>102</v>
      </c>
      <c r="D60" s="252"/>
      <c r="E60" s="251"/>
      <c r="F60" s="41" t="s">
        <v>40</v>
      </c>
      <c r="G60" s="253" t="s">
        <v>28</v>
      </c>
      <c r="H60" s="254"/>
      <c r="R60"/>
      <c r="S60" s="76"/>
      <c r="T60" s="55" t="s">
        <v>269</v>
      </c>
      <c r="U60" s="76"/>
      <c r="V60" s="76"/>
    </row>
    <row r="61" spans="1:24" x14ac:dyDescent="0.35">
      <c r="A61" s="222" t="s">
        <v>44</v>
      </c>
      <c r="B61" s="222"/>
      <c r="C61" s="222"/>
      <c r="D61" s="222"/>
      <c r="E61" s="222"/>
      <c r="F61" s="222"/>
      <c r="G61" s="222"/>
      <c r="H61" s="222"/>
      <c r="S61" s="76"/>
      <c r="T61" s="55" t="s">
        <v>278</v>
      </c>
      <c r="U61" s="76"/>
      <c r="V61" s="76"/>
    </row>
    <row r="62" spans="1:24" x14ac:dyDescent="0.35">
      <c r="A62" s="223" t="s">
        <v>88</v>
      </c>
      <c r="B62" s="223"/>
      <c r="C62" s="223"/>
      <c r="D62" s="159">
        <f>E46</f>
        <v>47663.76</v>
      </c>
      <c r="E62" s="159"/>
      <c r="F62" s="159"/>
      <c r="G62" s="159"/>
      <c r="H62" s="159"/>
      <c r="R62"/>
    </row>
    <row r="63" spans="1:24" ht="31.5" customHeight="1" x14ac:dyDescent="0.35">
      <c r="A63" s="179" t="s">
        <v>45</v>
      </c>
      <c r="B63" s="207"/>
      <c r="C63" s="207"/>
      <c r="D63" s="190" t="s">
        <v>417</v>
      </c>
      <c r="E63" s="190"/>
      <c r="F63" s="190"/>
      <c r="G63" s="190"/>
      <c r="H63" s="190"/>
      <c r="I63" s="22"/>
      <c r="R63"/>
    </row>
    <row r="64" spans="1:24" x14ac:dyDescent="0.35">
      <c r="A64" s="213" t="s">
        <v>46</v>
      </c>
      <c r="B64" s="214"/>
      <c r="C64" s="215"/>
      <c r="D64" s="212" t="s">
        <v>374</v>
      </c>
      <c r="E64" s="212"/>
      <c r="F64" s="212"/>
      <c r="G64" s="212"/>
      <c r="H64" s="212"/>
      <c r="R64"/>
    </row>
    <row r="65" spans="1:19" ht="15.75" customHeight="1" x14ac:dyDescent="0.35">
      <c r="A65" s="213" t="s">
        <v>86</v>
      </c>
      <c r="B65" s="214"/>
      <c r="C65" s="215"/>
      <c r="D65" s="219" t="s">
        <v>374</v>
      </c>
      <c r="E65" s="220"/>
      <c r="F65" s="220"/>
      <c r="G65" s="220"/>
      <c r="H65" s="221"/>
      <c r="R65"/>
    </row>
    <row r="66" spans="1:19" ht="15.75" hidden="1" customHeight="1" x14ac:dyDescent="0.35">
      <c r="A66" s="261"/>
      <c r="B66" s="262"/>
      <c r="C66" s="262"/>
      <c r="D66" s="219" t="s">
        <v>375</v>
      </c>
      <c r="E66" s="220"/>
      <c r="F66" s="220"/>
      <c r="G66" s="220"/>
      <c r="H66" s="221"/>
      <c r="R66"/>
    </row>
    <row r="67" spans="1:19" ht="15.75" hidden="1" customHeight="1" x14ac:dyDescent="0.35">
      <c r="A67" s="261"/>
      <c r="B67" s="262"/>
      <c r="C67" s="262"/>
      <c r="D67" s="219" t="s">
        <v>376</v>
      </c>
      <c r="E67" s="220"/>
      <c r="F67" s="220"/>
      <c r="G67" s="220"/>
      <c r="H67" s="221"/>
      <c r="S67"/>
    </row>
    <row r="68" spans="1:19" ht="15.75" hidden="1" customHeight="1" x14ac:dyDescent="0.35">
      <c r="A68" s="261"/>
      <c r="B68" s="262"/>
      <c r="C68" s="262"/>
      <c r="D68" s="219" t="s">
        <v>429</v>
      </c>
      <c r="E68" s="220"/>
      <c r="F68" s="220"/>
      <c r="G68" s="220"/>
      <c r="H68" s="221"/>
      <c r="R68"/>
    </row>
    <row r="69" spans="1:19" ht="15.75" hidden="1" customHeight="1" x14ac:dyDescent="0.35">
      <c r="A69" s="263"/>
      <c r="B69" s="264"/>
      <c r="C69" s="265"/>
      <c r="D69" s="219" t="s">
        <v>377</v>
      </c>
      <c r="E69" s="220"/>
      <c r="F69" s="220"/>
      <c r="G69" s="220"/>
      <c r="H69" s="221"/>
      <c r="S69"/>
    </row>
    <row r="70" spans="1:19" ht="15.75" customHeight="1" x14ac:dyDescent="0.35">
      <c r="A70" s="159" t="s">
        <v>43</v>
      </c>
      <c r="B70" s="159"/>
      <c r="C70" s="159"/>
      <c r="D70" s="190" t="s">
        <v>360</v>
      </c>
      <c r="E70" s="190"/>
      <c r="F70" s="190"/>
      <c r="G70" s="190"/>
      <c r="H70" s="190"/>
      <c r="J70" s="23"/>
      <c r="K70" s="22"/>
      <c r="N70" s="22"/>
      <c r="S70"/>
    </row>
    <row r="71" spans="1:19" ht="15.75" customHeight="1" x14ac:dyDescent="0.35">
      <c r="A71" s="159" t="s">
        <v>84</v>
      </c>
      <c r="B71" s="159"/>
      <c r="C71" s="159"/>
      <c r="D71" s="208" t="str">
        <f>(IF(G60="NA","60 Years After Completion",IF(G60&lt;&gt;"NA",""&amp;60-ROUNDDOWN((E3-G60)/360,0)&amp;" Years"," ")))</f>
        <v>60 Years After Completion</v>
      </c>
      <c r="E71" s="208"/>
      <c r="F71" s="208"/>
      <c r="G71" s="208"/>
      <c r="H71" s="208"/>
      <c r="N71" s="22"/>
      <c r="S71"/>
    </row>
    <row r="72" spans="1:19" ht="15.75" customHeight="1" x14ac:dyDescent="0.35">
      <c r="A72" s="159" t="s">
        <v>85</v>
      </c>
      <c r="B72" s="159"/>
      <c r="C72" s="159"/>
      <c r="D72" s="223" t="s">
        <v>23</v>
      </c>
      <c r="E72" s="223"/>
      <c r="F72" s="223"/>
      <c r="G72" s="223"/>
      <c r="H72" s="223"/>
      <c r="J72" s="24"/>
      <c r="K72" s="24"/>
      <c r="S72"/>
    </row>
    <row r="73" spans="1:19" ht="33" customHeight="1" x14ac:dyDescent="0.35">
      <c r="A73" s="211" t="s">
        <v>428</v>
      </c>
      <c r="B73" s="211"/>
      <c r="C73" s="211"/>
      <c r="D73" s="179" t="s">
        <v>422</v>
      </c>
      <c r="E73" s="223"/>
      <c r="F73" s="223"/>
      <c r="G73" s="223"/>
      <c r="H73" s="223"/>
      <c r="I73" s="100" t="s">
        <v>423</v>
      </c>
      <c r="S73"/>
    </row>
    <row r="74" spans="1:19" x14ac:dyDescent="0.35">
      <c r="A74" s="223" t="s">
        <v>148</v>
      </c>
      <c r="B74" s="223"/>
      <c r="C74" s="223"/>
      <c r="D74" s="223" t="s">
        <v>28</v>
      </c>
      <c r="E74" s="223"/>
      <c r="F74" s="223"/>
      <c r="G74" s="223"/>
      <c r="H74" s="223"/>
      <c r="I74" s="25"/>
      <c r="J74" s="25"/>
      <c r="K74" s="25"/>
      <c r="L74" s="25"/>
      <c r="M74" s="25"/>
      <c r="N74" s="25"/>
    </row>
    <row r="75" spans="1:19" ht="15.75" customHeight="1" x14ac:dyDescent="0.35">
      <c r="A75" s="159" t="s">
        <v>83</v>
      </c>
      <c r="B75" s="159"/>
      <c r="C75" s="159"/>
      <c r="D75" s="179" t="str">
        <f ca="1">(IF(G81&gt;95%,"Nothing",IF(G81&gt;0%,"Cement, Aggregate, Steel, etc",IF(G81=0%,"Work not yet Started"))))</f>
        <v>Cement, Aggregate, Steel, etc</v>
      </c>
      <c r="E75" s="179"/>
      <c r="F75" s="179"/>
      <c r="G75" s="179"/>
      <c r="H75" s="179"/>
      <c r="J75" s="24"/>
      <c r="S75"/>
    </row>
    <row r="76" spans="1:19" ht="33.75" customHeight="1" thickBot="1" x14ac:dyDescent="0.4">
      <c r="A76" s="223" t="s">
        <v>115</v>
      </c>
      <c r="B76" s="223"/>
      <c r="C76" s="223"/>
      <c r="D76" s="179" t="str">
        <f ca="1">(IF(D75="Nothing","Yes",IF(D75="Cement, Aggregate, Steel, etc","Under Construction",IF(D75="Work not yet Started","Work not yet Started"))))</f>
        <v>Under Construction</v>
      </c>
      <c r="E76" s="179"/>
      <c r="F76" s="179" t="str">
        <f ca="1">(IF(D75="Nothing","Yes",IF(D75="Cement, Aggregate, Steel, etc","Under Construction",IF(D75="Work not yet Started","Work not yet Started"))))</f>
        <v>Under Construction</v>
      </c>
      <c r="G76" s="179"/>
      <c r="H76" s="179"/>
      <c r="S76"/>
    </row>
    <row r="77" spans="1:19" ht="15.75" customHeight="1" x14ac:dyDescent="0.35">
      <c r="A77" s="294" t="s">
        <v>138</v>
      </c>
      <c r="B77" s="294"/>
      <c r="C77" s="294" t="s">
        <v>448</v>
      </c>
      <c r="D77" s="294"/>
      <c r="E77" s="294"/>
      <c r="F77" s="294"/>
      <c r="G77" s="294"/>
      <c r="H77" s="294"/>
      <c r="I77" s="287" t="str">
        <f ca="1">IF(D90=100%,"All work Completed. Possession granted to the Building.",IF(D89=100%,"All work Completed, Waiting for OC",I78&amp;""&amp;I79&amp;""&amp;J78&amp;""&amp;J77&amp;" "&amp;J79))</f>
        <v>Excavation, Plinth Completed, RCC upto 6 Slab, Brickwork upto 2 Floor Completed</v>
      </c>
      <c r="J77" s="45" t="str">
        <f ca="1">(IF(C83=(D78+F78+H78),"",IF(C83&gt;0,", RCC upto "&amp;C83&amp;" Slab","")))&amp;(IF(C84=H78,"",IF(C84&gt;0,", Brickwork upto "&amp;C84&amp;" Floor","")))&amp;(IF(C85=H78,"",IF(C85&gt;0,", Internal Plaster upto "&amp;C85&amp;" Floor","")))&amp;(IF(C86=H78,"",IF(C86&gt;0,", External Plaster upto "&amp;C86&amp;" Floor","")))&amp;(IF(C87=H78,"",IF(C87&gt;0,", Flooring upto "&amp;C87&amp;" Floor","")))&amp;(IF(C88=H78,"",IF(C88&gt;0,", Painting upto "&amp;C88&amp;" Floor","")))&amp;(IF(C89=H78,"",IF(C89&gt;0,", Finishing upto "&amp;C89&amp;" Floor","")))&amp;(IF(C90=H78,"",IF(C90&gt;0,", Possession upto "&amp;C90&amp;" Floor","")))</f>
        <v>, RCC upto 6 Slab, Brickwork upto 2 Floor</v>
      </c>
      <c r="S77"/>
    </row>
    <row r="78" spans="1:19" x14ac:dyDescent="0.35">
      <c r="A78" s="48" t="s">
        <v>140</v>
      </c>
      <c r="B78" s="48">
        <f>IF(AND(ISNUMBER(SEARCH("1B",C77))),1,IF(AND(ISNUMBER(SEARCH("2B",C77))),2,IF(AND(ISNUMBER(SEARCH("3B",C77))),3,IF(AND(ISNUMBER(SEARCH("4B",C77))),4,IF(ISNUMBER(SEARCH("5B",C77)),5,0)))))</f>
        <v>2</v>
      </c>
      <c r="C78" s="48" t="s">
        <v>69</v>
      </c>
      <c r="D78" s="48">
        <v>1</v>
      </c>
      <c r="E78" s="48" t="s">
        <v>68</v>
      </c>
      <c r="F78" s="101">
        <v>0</v>
      </c>
      <c r="G78" s="43" t="s">
        <v>77</v>
      </c>
      <c r="H78" s="48">
        <f ca="1">--TRIM(RIGHT(SUBSTITUTE(LEFT(C77,_xlfn.AGGREGATE(16,6,FIND({0,1,2,3,4,5,6,7,8,9},C77,ROW(INDIRECT("1:"&amp;LEN(C77)))),1))," ",REPT(" ",LEN(C77))),LEN(C77)))</f>
        <v>14</v>
      </c>
      <c r="I78" s="288" t="str">
        <f ca="1">IF(D81=100%,"Excavation","")&amp;IF(D82=100%,", Plinth","")&amp;IF(D83=100%,", RCC Slab","")&amp;IF(D84=100%,", Brickwork","")&amp;IF(D85=100%,", Internal Plaster","")&amp;IF(D86=100%,", External Plaster","")&amp;IF(D87=100%,", Flooring","")&amp;IF(D88=100%,", Painting","")&amp;IF(D89=100%,", Building common Amenities","")</f>
        <v>Excavation, Plinth</v>
      </c>
      <c r="J78" s="47" t="str">
        <f ca="1">(IF(C81=0,"Work not yet Started.",IF(D81=25%,"Piling work in process",IF(D81=50%,"Excavation work in process",IF(D81=100%,"","0")))))&amp;(IF(C82=0%,"",IF(C82=J83,", Footing work is process",IF(C82=J84,", Footing work Completed",IF(C82=J85,", 1st Basement Completed",IF(C82=J86,", 1st &amp; 2nd Basement Completed",IF(C82=J87,", 1st to 3rd Basement Completed",IF(C82=J88,", 1st to 4th Basement Completed",IF(C82=J89,", Plinth work is process",IF(C82=J90,"","0"))))))))))</f>
        <v/>
      </c>
      <c r="S78"/>
    </row>
    <row r="79" spans="1:19" ht="31.5" customHeight="1" x14ac:dyDescent="0.35">
      <c r="A79" s="144" t="s">
        <v>87</v>
      </c>
      <c r="B79" s="144"/>
      <c r="C79" s="266" t="str">
        <f ca="1">I77</f>
        <v>Excavation, Plinth Completed, RCC upto 6 Slab, Brickwork upto 2 Floor Completed</v>
      </c>
      <c r="D79" s="266"/>
      <c r="E79" s="266"/>
      <c r="F79" s="266"/>
      <c r="G79" s="266"/>
      <c r="H79" s="266"/>
      <c r="I79" s="288" t="str">
        <f ca="1">IF(I78&lt;&gt;""," Completed","")</f>
        <v xml:space="preserve"> Completed</v>
      </c>
      <c r="J79" s="47" t="str">
        <f ca="1">IF(J77&lt;&gt;"","Completed","")</f>
        <v>Completed</v>
      </c>
      <c r="S79"/>
    </row>
    <row r="80" spans="1:19" ht="15.75" customHeight="1" x14ac:dyDescent="0.35">
      <c r="A80" s="131" t="s">
        <v>47</v>
      </c>
      <c r="B80" s="131"/>
      <c r="C80" s="114" t="s">
        <v>137</v>
      </c>
      <c r="D80" s="114" t="s">
        <v>80</v>
      </c>
      <c r="E80" s="131" t="s">
        <v>82</v>
      </c>
      <c r="F80" s="131"/>
      <c r="G80" s="131" t="s">
        <v>81</v>
      </c>
      <c r="H80" s="131"/>
      <c r="I80" s="13" t="s">
        <v>139</v>
      </c>
      <c r="J80" s="26">
        <f ca="1">H78*25%</f>
        <v>3.5</v>
      </c>
      <c r="S80"/>
    </row>
    <row r="81" spans="1:19" x14ac:dyDescent="0.35">
      <c r="A81" s="131" t="s">
        <v>126</v>
      </c>
      <c r="B81" s="131"/>
      <c r="C81" s="114">
        <f ca="1">J82</f>
        <v>14</v>
      </c>
      <c r="D81" s="17">
        <f ca="1">((100/H78)*C81)/100</f>
        <v>1</v>
      </c>
      <c r="E81" s="295">
        <f ca="1">(((C82/H78*10)+(40/(D78+F78+H78)*C83)+(7.5/(H78)*C84)+(7.5/(H78)*C85)+(10/H78*C86)+(10/H78*C87)+(5/H78*C88)+(5/H78*C89)+(5/H78*C90))/100)</f>
        <v>0.27071428571428574</v>
      </c>
      <c r="F81" s="295"/>
      <c r="G81" s="295">
        <f ca="1">((((C81/H78)*20)+((C82/H78)*25)+(30/(H78+F78+D78)*C83)+(5/H78*C84)+(5/H78*C85)+(5/H78*C86)+(5/H78*C87)+(0/H78*C88)+(0/H78*C89)+(5/H78*C90))/100)</f>
        <v>0.57714285714285718</v>
      </c>
      <c r="H81" s="295"/>
      <c r="I81" s="13" t="s">
        <v>97</v>
      </c>
      <c r="J81" s="27">
        <f ca="1">H78*50%</f>
        <v>7</v>
      </c>
    </row>
    <row r="82" spans="1:19" x14ac:dyDescent="0.35">
      <c r="A82" s="131" t="s">
        <v>48</v>
      </c>
      <c r="B82" s="131"/>
      <c r="C82" s="93">
        <f ca="1">J90</f>
        <v>14</v>
      </c>
      <c r="D82" s="17">
        <f ca="1">((100/H78)*C82)/100</f>
        <v>1</v>
      </c>
      <c r="E82" s="295"/>
      <c r="F82" s="295"/>
      <c r="G82" s="295"/>
      <c r="H82" s="295"/>
      <c r="I82" s="13" t="s">
        <v>98</v>
      </c>
      <c r="J82" s="27">
        <f ca="1">H78</f>
        <v>14</v>
      </c>
      <c r="S82"/>
    </row>
    <row r="83" spans="1:19" ht="15.75" customHeight="1" x14ac:dyDescent="0.35">
      <c r="A83" s="131" t="s">
        <v>127</v>
      </c>
      <c r="B83" s="131"/>
      <c r="C83" s="114">
        <v>6</v>
      </c>
      <c r="D83" s="17">
        <f ca="1">((100/(D78+F78+H78))*C83)/100</f>
        <v>0.4</v>
      </c>
      <c r="E83" s="295"/>
      <c r="F83" s="295"/>
      <c r="G83" s="295"/>
      <c r="H83" s="295"/>
      <c r="I83" s="13" t="s">
        <v>99</v>
      </c>
      <c r="J83" s="28">
        <f ca="1">(IF(B78&gt;1,(H78/(B78+2)),H78/4))</f>
        <v>3.5</v>
      </c>
      <c r="S83"/>
    </row>
    <row r="84" spans="1:19" ht="15.75" customHeight="1" x14ac:dyDescent="0.35">
      <c r="A84" s="131" t="s">
        <v>134</v>
      </c>
      <c r="B84" s="131" t="s">
        <v>128</v>
      </c>
      <c r="C84" s="114">
        <v>2</v>
      </c>
      <c r="D84" s="17">
        <f ca="1">((100/H78)*C84)/100</f>
        <v>0.14285714285714288</v>
      </c>
      <c r="E84" s="295"/>
      <c r="F84" s="295"/>
      <c r="G84" s="295"/>
      <c r="H84" s="295"/>
      <c r="I84" s="13" t="s">
        <v>100</v>
      </c>
      <c r="J84" s="28">
        <f ca="1">(IF(B78&gt;1,(H78/(B78+2)+J83),H78/4+J83))</f>
        <v>7</v>
      </c>
    </row>
    <row r="85" spans="1:19" ht="15.75" customHeight="1" x14ac:dyDescent="0.35">
      <c r="A85" s="131" t="s">
        <v>135</v>
      </c>
      <c r="B85" s="131" t="s">
        <v>128</v>
      </c>
      <c r="C85" s="114">
        <v>0</v>
      </c>
      <c r="D85" s="17">
        <f ca="1">((100/H78)*C85)/100</f>
        <v>0</v>
      </c>
      <c r="E85" s="295"/>
      <c r="F85" s="295"/>
      <c r="G85" s="295"/>
      <c r="H85" s="295"/>
      <c r="I85" s="13" t="s">
        <v>146</v>
      </c>
      <c r="J85" s="28">
        <f ca="1">(IF(B78&gt;1,(H78/(B78+2)+J84),0))</f>
        <v>10.5</v>
      </c>
    </row>
    <row r="86" spans="1:19" ht="15" customHeight="1" x14ac:dyDescent="0.35">
      <c r="A86" s="131" t="s">
        <v>133</v>
      </c>
      <c r="B86" s="131" t="s">
        <v>130</v>
      </c>
      <c r="C86" s="114">
        <v>0</v>
      </c>
      <c r="D86" s="17">
        <f ca="1">((100/(H78))*C86)/100</f>
        <v>0</v>
      </c>
      <c r="E86" s="295"/>
      <c r="F86" s="295"/>
      <c r="G86" s="295"/>
      <c r="H86" s="295"/>
      <c r="I86" s="13" t="s">
        <v>141</v>
      </c>
      <c r="J86" s="28">
        <f>(IF(B78&gt;2,(H78/(B78+2)+J85),0))</f>
        <v>0</v>
      </c>
    </row>
    <row r="87" spans="1:19" ht="15.75" customHeight="1" x14ac:dyDescent="0.35">
      <c r="A87" s="131" t="s">
        <v>129</v>
      </c>
      <c r="B87" s="131" t="s">
        <v>129</v>
      </c>
      <c r="C87" s="114">
        <v>0</v>
      </c>
      <c r="D87" s="17">
        <f ca="1">((100/H78)*C87)/100</f>
        <v>0</v>
      </c>
      <c r="E87" s="295"/>
      <c r="F87" s="295"/>
      <c r="G87" s="295"/>
      <c r="H87" s="295"/>
      <c r="I87" s="13" t="s">
        <v>142</v>
      </c>
      <c r="J87" s="29">
        <f>(IF(B78&gt;3,(H78/(B78+2)+J86),0))</f>
        <v>0</v>
      </c>
    </row>
    <row r="88" spans="1:19" ht="15.75" customHeight="1" x14ac:dyDescent="0.35">
      <c r="A88" s="131" t="s">
        <v>136</v>
      </c>
      <c r="B88" s="131"/>
      <c r="C88" s="114">
        <v>0</v>
      </c>
      <c r="D88" s="17">
        <f ca="1">((100/H78)*C88)/100</f>
        <v>0</v>
      </c>
      <c r="E88" s="295"/>
      <c r="F88" s="295"/>
      <c r="G88" s="295"/>
      <c r="H88" s="295"/>
      <c r="I88" s="13" t="s">
        <v>143</v>
      </c>
      <c r="J88" s="28">
        <f>(IF(B78&gt;4,(H78/(B78+2)+J87),0))</f>
        <v>0</v>
      </c>
    </row>
    <row r="89" spans="1:19" ht="15.75" customHeight="1" x14ac:dyDescent="0.35">
      <c r="A89" s="131" t="s">
        <v>131</v>
      </c>
      <c r="B89" s="131" t="s">
        <v>131</v>
      </c>
      <c r="C89" s="114">
        <v>0</v>
      </c>
      <c r="D89" s="17">
        <f ca="1">((100/(H78))*C89)/100</f>
        <v>0</v>
      </c>
      <c r="E89" s="295"/>
      <c r="F89" s="295"/>
      <c r="G89" s="295"/>
      <c r="H89" s="295"/>
      <c r="I89" s="13" t="s">
        <v>147</v>
      </c>
      <c r="J89" s="28">
        <f>(IF(B78=1,(H78/(B78+3)+J84),IF(B78=0,(H78/4+J84),IF(B78&gt;1,0))))</f>
        <v>0</v>
      </c>
    </row>
    <row r="90" spans="1:19" ht="16" thickBot="1" x14ac:dyDescent="0.4">
      <c r="A90" s="131" t="s">
        <v>132</v>
      </c>
      <c r="B90" s="131"/>
      <c r="C90" s="114">
        <v>0</v>
      </c>
      <c r="D90" s="17">
        <f ca="1">((100/(H78))*C90)/100</f>
        <v>0</v>
      </c>
      <c r="E90" s="295"/>
      <c r="F90" s="295"/>
      <c r="G90" s="295"/>
      <c r="H90" s="295"/>
      <c r="I90" s="14" t="s">
        <v>101</v>
      </c>
      <c r="J90" s="30">
        <f ca="1">(IF(B78&gt;1.5,(H78/(B78+2)+J84+MAX(0,J85-J84)+MAX(0,J86-J85)+MAX(0,J87-J86)+MAX(0,J88-J87)+MAX(0,J89-J88)),IF(B78=1,(H78/(B78+3)+J89),IF(B78=0,H78/4+J89))))</f>
        <v>14</v>
      </c>
    </row>
    <row r="91" spans="1:19" ht="15.75" customHeight="1" x14ac:dyDescent="0.35">
      <c r="A91" s="289" t="s">
        <v>138</v>
      </c>
      <c r="B91" s="290"/>
      <c r="C91" s="291" t="s">
        <v>449</v>
      </c>
      <c r="D91" s="292"/>
      <c r="E91" s="292"/>
      <c r="F91" s="292"/>
      <c r="G91" s="292"/>
      <c r="H91" s="293"/>
      <c r="I91" s="44" t="str">
        <f ca="1">IF(D104=100%,"All work Completed. Possession granted to the Building.",IF(D103=100%,"All work Completed, Waiting for OC",I92&amp;""&amp;I93&amp;""&amp;J92&amp;""&amp;J91&amp;" "&amp;J93))</f>
        <v>Excavation, Plinth Completed, RCC upto 5 Slab, Brickwork upto 2 Floor Completed</v>
      </c>
      <c r="J91" s="45" t="str">
        <f ca="1">(IF(C97=(D92+F92+H92),"",IF(C97&gt;0,", RCC upto "&amp;C97&amp;" Slab","")))&amp;(IF(C98=H92,"",IF(C98&gt;0,", Brickwork upto "&amp;C98&amp;" Floor","")))&amp;(IF(C99=H92,"",IF(C99&gt;0,", Internal Plaster upto "&amp;C99&amp;" Floor","")))&amp;(IF(C100=H92,"",IF(C100&gt;0,", External Plaster upto "&amp;C100&amp;" Floor","")))&amp;(IF(C101=H92,"",IF(C101&gt;0,", Flooring upto "&amp;C101&amp;" Floor","")))&amp;(IF(C102=H92,"",IF(C102&gt;0,", Painting upto "&amp;C102&amp;" Floor","")))&amp;(IF(C103=H92,"",IF(C103&gt;0,", Finishing upto "&amp;C103&amp;" Floor","")))&amp;(IF(C104=H92,"",IF(C104&gt;0,", Possession upto "&amp;C104&amp;" Floor","")))</f>
        <v>, RCC upto 5 Slab, Brickwork upto 2 Floor</v>
      </c>
      <c r="S91"/>
    </row>
    <row r="92" spans="1:19" x14ac:dyDescent="0.35">
      <c r="A92" s="15" t="s">
        <v>140</v>
      </c>
      <c r="B92" s="48">
        <f>IF(AND(ISNUMBER(SEARCH("1B",C91))),1,IF(AND(ISNUMBER(SEARCH("2B",C91))),2,IF(AND(ISNUMBER(SEARCH("3B",C91))),3,IF(AND(ISNUMBER(SEARCH("4B",C91))),4,IF(ISNUMBER(SEARCH("5B",C91)),5,0)))))</f>
        <v>2</v>
      </c>
      <c r="C92" s="101" t="s">
        <v>69</v>
      </c>
      <c r="D92" s="101">
        <v>1</v>
      </c>
      <c r="E92" s="101" t="s">
        <v>68</v>
      </c>
      <c r="F92" s="101">
        <v>0</v>
      </c>
      <c r="G92" s="101" t="s">
        <v>77</v>
      </c>
      <c r="H92" s="102">
        <f ca="1">--TRIM(RIGHT(SUBSTITUTE(LEFT(C91,_xlfn.AGGREGATE(16,6,FIND({0,1,2,3,4,5,6,7,8,9},C91,ROW(INDIRECT("1:"&amp;LEN(C91)))),1))," ",REPT(" ",LEN(C91))),LEN(C91)))</f>
        <v>14</v>
      </c>
      <c r="I92" s="46" t="str">
        <f ca="1">IF(D95=100%,"Excavation","")&amp;IF(D96=100%,", Plinth","")&amp;IF(D97=100%,", RCC Slab","")&amp;IF(D98=100%,", Brickwork","")&amp;IF(D99=100%,", Internal Plaster","")&amp;IF(D100=100%,", External Plaster","")&amp;IF(D101=100%,", Flooring","")&amp;IF(D102=100%,", Painting","")&amp;IF(D103=100%,", Building common Amenities","")</f>
        <v>Excavation, Plinth</v>
      </c>
      <c r="J92" s="47" t="str">
        <f ca="1">(IF(C95=0,"Work not yet Started.",IF(D95=25%,"Piling work in process",IF(D95=50%,"Excavation work in process",IF(D95=100%,"","0")))))&amp;(IF(C96=0%,"",IF(C96=J97,", Footing work is process",IF(C96=J98,", Footing work Completed",IF(C96=J99,", 1st Basement Completed",IF(C96=J100,", 1st &amp; 2nd Basement Completed",IF(C96=J101,", 1st to 3rd Basement Completed",IF(C96=J102,", 1st to 4th Basement Completed",IF(C96=J103,", Plinth work is process",IF(C96=J104,"","0"))))))))))</f>
        <v/>
      </c>
      <c r="S92"/>
    </row>
    <row r="93" spans="1:19" ht="32.5" customHeight="1" x14ac:dyDescent="0.35">
      <c r="A93" s="143" t="s">
        <v>87</v>
      </c>
      <c r="B93" s="144"/>
      <c r="C93" s="145" t="str">
        <f ca="1">I91</f>
        <v>Excavation, Plinth Completed, RCC upto 5 Slab, Brickwork upto 2 Floor Completed</v>
      </c>
      <c r="D93" s="145"/>
      <c r="E93" s="145"/>
      <c r="F93" s="145"/>
      <c r="G93" s="145"/>
      <c r="H93" s="146"/>
      <c r="I93" s="46" t="str">
        <f ca="1">IF(I92&lt;&gt;""," Completed","")</f>
        <v xml:space="preserve"> Completed</v>
      </c>
      <c r="J93" s="47" t="str">
        <f ca="1">IF(J91&lt;&gt;"","Completed","")</f>
        <v>Completed</v>
      </c>
      <c r="S93"/>
    </row>
    <row r="94" spans="1:19" ht="15.75" customHeight="1" x14ac:dyDescent="0.35">
      <c r="A94" s="130" t="s">
        <v>47</v>
      </c>
      <c r="B94" s="131"/>
      <c r="C94" s="89" t="s">
        <v>137</v>
      </c>
      <c r="D94" s="89" t="s">
        <v>80</v>
      </c>
      <c r="E94" s="131" t="s">
        <v>82</v>
      </c>
      <c r="F94" s="131"/>
      <c r="G94" s="131" t="s">
        <v>81</v>
      </c>
      <c r="H94" s="147"/>
      <c r="I94" s="13" t="s">
        <v>139</v>
      </c>
      <c r="J94" s="26">
        <f ca="1">H92*25%</f>
        <v>3.5</v>
      </c>
      <c r="S94"/>
    </row>
    <row r="95" spans="1:19" x14ac:dyDescent="0.35">
      <c r="A95" s="130" t="s">
        <v>126</v>
      </c>
      <c r="B95" s="131"/>
      <c r="C95" s="89">
        <f ca="1">J96</f>
        <v>14</v>
      </c>
      <c r="D95" s="17">
        <f ca="1">((100/H92)*C95)/100</f>
        <v>1</v>
      </c>
      <c r="E95" s="132">
        <f ca="1">(((C96/H92*10)+(40/(D92+F92+H92)*C97)+(7.5/(H92)*C98)+(7.5/(H92)*C99)+(10/H92*C100)+(10/H92*C101)+(5/H92*C102)+(5/H92*C103)+(5/H92*C104))/100)</f>
        <v>0.24404761904761904</v>
      </c>
      <c r="F95" s="133"/>
      <c r="G95" s="132">
        <f ca="1">((((C95/H92)*20)+((C96/H92)*25)+(30/(H92+F92+D92)*C97)+(5/H92*C98)+(5/H92*C99)+(5/H92*C100)+(5/H92*C101)+(0/H92*C102)+(0/H92*C103)+(5/H92*C104))/100)</f>
        <v>0.55714285714285716</v>
      </c>
      <c r="H95" s="148"/>
      <c r="I95" s="13" t="s">
        <v>97</v>
      </c>
      <c r="J95" s="27">
        <f ca="1">H92*50%</f>
        <v>7</v>
      </c>
    </row>
    <row r="96" spans="1:19" x14ac:dyDescent="0.35">
      <c r="A96" s="130" t="s">
        <v>48</v>
      </c>
      <c r="B96" s="131"/>
      <c r="C96" s="93">
        <f ca="1">J104</f>
        <v>14</v>
      </c>
      <c r="D96" s="17">
        <f ca="1">((100/H92)*C96)/100</f>
        <v>1</v>
      </c>
      <c r="E96" s="134"/>
      <c r="F96" s="135"/>
      <c r="G96" s="134"/>
      <c r="H96" s="149"/>
      <c r="I96" s="13" t="s">
        <v>98</v>
      </c>
      <c r="J96" s="27">
        <f ca="1">H92</f>
        <v>14</v>
      </c>
      <c r="S96"/>
    </row>
    <row r="97" spans="1:19" ht="15.75" customHeight="1" x14ac:dyDescent="0.35">
      <c r="A97" s="130" t="s">
        <v>127</v>
      </c>
      <c r="B97" s="131"/>
      <c r="C97" s="89">
        <v>5</v>
      </c>
      <c r="D97" s="17">
        <f ca="1">((100/(D92+F92+H92))*C97)/100</f>
        <v>0.33333333333333337</v>
      </c>
      <c r="E97" s="134"/>
      <c r="F97" s="135"/>
      <c r="G97" s="134"/>
      <c r="H97" s="149"/>
      <c r="I97" s="13" t="s">
        <v>99</v>
      </c>
      <c r="J97" s="28">
        <f ca="1">(IF(B92&gt;1,(H92/(B92+2)),H92/4))</f>
        <v>3.5</v>
      </c>
      <c r="S97"/>
    </row>
    <row r="98" spans="1:19" ht="15.75" customHeight="1" x14ac:dyDescent="0.35">
      <c r="A98" s="130" t="s">
        <v>134</v>
      </c>
      <c r="B98" s="131" t="s">
        <v>128</v>
      </c>
      <c r="C98" s="89">
        <v>2</v>
      </c>
      <c r="D98" s="17">
        <f ca="1">((100/H92)*C98)/100</f>
        <v>0.14285714285714288</v>
      </c>
      <c r="E98" s="134"/>
      <c r="F98" s="135"/>
      <c r="G98" s="134"/>
      <c r="H98" s="149"/>
      <c r="I98" s="13" t="s">
        <v>100</v>
      </c>
      <c r="J98" s="28">
        <f ca="1">(IF(B92&gt;1,(H92/(B92+2)+J97),H92/4+J97))</f>
        <v>7</v>
      </c>
    </row>
    <row r="99" spans="1:19" ht="15.75" customHeight="1" x14ac:dyDescent="0.35">
      <c r="A99" s="130" t="s">
        <v>135</v>
      </c>
      <c r="B99" s="131" t="s">
        <v>128</v>
      </c>
      <c r="C99" s="89">
        <v>0</v>
      </c>
      <c r="D99" s="17">
        <f ca="1">((100/H92)*C99)/100</f>
        <v>0</v>
      </c>
      <c r="E99" s="134"/>
      <c r="F99" s="135"/>
      <c r="G99" s="134"/>
      <c r="H99" s="149"/>
      <c r="I99" s="13" t="s">
        <v>146</v>
      </c>
      <c r="J99" s="28">
        <f ca="1">(IF(B92&gt;1,(H92/(B92+2)+J98),0))</f>
        <v>10.5</v>
      </c>
    </row>
    <row r="100" spans="1:19" ht="15" customHeight="1" x14ac:dyDescent="0.35">
      <c r="A100" s="130" t="s">
        <v>133</v>
      </c>
      <c r="B100" s="131" t="s">
        <v>130</v>
      </c>
      <c r="C100" s="89">
        <v>0</v>
      </c>
      <c r="D100" s="17">
        <f ca="1">((100/(H92))*C100)/100</f>
        <v>0</v>
      </c>
      <c r="E100" s="134"/>
      <c r="F100" s="135"/>
      <c r="G100" s="134"/>
      <c r="H100" s="149"/>
      <c r="I100" s="13" t="s">
        <v>141</v>
      </c>
      <c r="J100" s="28">
        <f>(IF(B92&gt;2,(H92/(B92+2)+J99),0))</f>
        <v>0</v>
      </c>
    </row>
    <row r="101" spans="1:19" ht="15.75" customHeight="1" x14ac:dyDescent="0.35">
      <c r="A101" s="130" t="s">
        <v>129</v>
      </c>
      <c r="B101" s="131" t="s">
        <v>129</v>
      </c>
      <c r="C101" s="89">
        <v>0</v>
      </c>
      <c r="D101" s="17">
        <f ca="1">((100/H92)*C101)/100</f>
        <v>0</v>
      </c>
      <c r="E101" s="134"/>
      <c r="F101" s="135"/>
      <c r="G101" s="134"/>
      <c r="H101" s="149"/>
      <c r="I101" s="13" t="s">
        <v>142</v>
      </c>
      <c r="J101" s="29">
        <f>(IF(B92&gt;3,(H92/(B92+2)+J100),0))</f>
        <v>0</v>
      </c>
    </row>
    <row r="102" spans="1:19" ht="15.75" customHeight="1" x14ac:dyDescent="0.35">
      <c r="A102" s="130" t="s">
        <v>136</v>
      </c>
      <c r="B102" s="131"/>
      <c r="C102" s="89">
        <v>0</v>
      </c>
      <c r="D102" s="17">
        <f ca="1">((100/H92)*C102)/100</f>
        <v>0</v>
      </c>
      <c r="E102" s="134"/>
      <c r="F102" s="135"/>
      <c r="G102" s="134"/>
      <c r="H102" s="149"/>
      <c r="I102" s="13" t="s">
        <v>143</v>
      </c>
      <c r="J102" s="28">
        <f>(IF(B92&gt;4,(H92/(B92+2)+J101),0))</f>
        <v>0</v>
      </c>
    </row>
    <row r="103" spans="1:19" ht="15.75" customHeight="1" x14ac:dyDescent="0.35">
      <c r="A103" s="130" t="s">
        <v>131</v>
      </c>
      <c r="B103" s="131" t="s">
        <v>131</v>
      </c>
      <c r="C103" s="89">
        <v>0</v>
      </c>
      <c r="D103" s="17">
        <f ca="1">((100/(H92))*C103)/100</f>
        <v>0</v>
      </c>
      <c r="E103" s="134"/>
      <c r="F103" s="135"/>
      <c r="G103" s="134"/>
      <c r="H103" s="149"/>
      <c r="I103" s="13" t="s">
        <v>147</v>
      </c>
      <c r="J103" s="28">
        <f>(IF(B92=1,(H92/(B92+3)+J98),IF(B92=0,(H92/4+J98),IF(B92&gt;1,0))))</f>
        <v>0</v>
      </c>
    </row>
    <row r="104" spans="1:19" ht="16" thickBot="1" x14ac:dyDescent="0.4">
      <c r="A104" s="121" t="s">
        <v>132</v>
      </c>
      <c r="B104" s="122"/>
      <c r="C104" s="88">
        <v>0</v>
      </c>
      <c r="D104" s="18">
        <f ca="1">((100/(H92))*C104)/100</f>
        <v>0</v>
      </c>
      <c r="E104" s="136"/>
      <c r="F104" s="137"/>
      <c r="G104" s="136"/>
      <c r="H104" s="150"/>
      <c r="I104" s="14" t="s">
        <v>101</v>
      </c>
      <c r="J104" s="30">
        <f ca="1">(IF(B92&gt;1.5,(H92/(B92+2)+J98+MAX(0,J99-J98)+MAX(0,J100-J99)+MAX(0,J101-J100)+MAX(0,J102-J101)+MAX(0,J103-J102)),IF(B92=1,(H92/(B92+3)+J103),IF(B92=0,H92/4+J103))))</f>
        <v>14</v>
      </c>
    </row>
    <row r="105" spans="1:19" ht="15.75" customHeight="1" x14ac:dyDescent="0.35">
      <c r="A105" s="138" t="s">
        <v>138</v>
      </c>
      <c r="B105" s="139"/>
      <c r="C105" s="140" t="s">
        <v>444</v>
      </c>
      <c r="D105" s="141"/>
      <c r="E105" s="141"/>
      <c r="F105" s="141"/>
      <c r="G105" s="141"/>
      <c r="H105" s="142"/>
      <c r="I105" s="44" t="str">
        <f ca="1">IF(D118=100%,"All work Completed. Possession granted to the Building.",IF(D117=100%,"All work Completed, Waiting for OC",I106&amp;""&amp;I107&amp;""&amp;J106&amp;""&amp;J105&amp;" "&amp;J107))</f>
        <v xml:space="preserve">Excavation, Plinth Completed </v>
      </c>
      <c r="J105" s="45" t="str">
        <f ca="1">(IF(C111=(D106+F106+H106),"",IF(C111&gt;0,", RCC upto "&amp;C111&amp;" Slab","")))&amp;(IF(C112=H106,"",IF(C112&gt;0,", Brickwork upto "&amp;C112&amp;" Floor","")))&amp;(IF(C113=H106,"",IF(C113&gt;0,", Internal Plaster upto "&amp;C113&amp;" Floor","")))&amp;(IF(C114=H106,"",IF(C114&gt;0,", External Plaster upto "&amp;C114&amp;" Floor","")))&amp;(IF(C115=H106,"",IF(C115&gt;0,", Flooring upto "&amp;C115&amp;" Floor","")))&amp;(IF(C116=H106,"",IF(C116&gt;0,", Painting upto "&amp;C116&amp;" Floor","")))&amp;(IF(C117=H106,"",IF(C117&gt;0,", Finishing upto "&amp;C117&amp;" Floor","")))&amp;(IF(C118=H106,"",IF(C118&gt;0,", Possession upto "&amp;C118&amp;" Floor","")))</f>
        <v/>
      </c>
      <c r="S105"/>
    </row>
    <row r="106" spans="1:19" x14ac:dyDescent="0.35">
      <c r="A106" s="15" t="s">
        <v>140</v>
      </c>
      <c r="B106" s="48">
        <f>IF(AND(ISNUMBER(SEARCH("1B",C105))),1,IF(AND(ISNUMBER(SEARCH("2B",C105))),2,IF(AND(ISNUMBER(SEARCH("3B",C105))),3,IF(AND(ISNUMBER(SEARCH("4B",C105))),4,IF(ISNUMBER(SEARCH("5B",C105)),5,0)))))</f>
        <v>2</v>
      </c>
      <c r="C106" s="101" t="s">
        <v>69</v>
      </c>
      <c r="D106" s="101">
        <v>1</v>
      </c>
      <c r="E106" s="101" t="s">
        <v>68</v>
      </c>
      <c r="F106" s="101">
        <v>0</v>
      </c>
      <c r="G106" s="101" t="s">
        <v>77</v>
      </c>
      <c r="H106" s="102">
        <f ca="1">--TRIM(RIGHT(SUBSTITUTE(LEFT(C105,_xlfn.AGGREGATE(16,6,FIND({0,1,2,3,4,5,6,7,8,9},C105,ROW(INDIRECT("1:"&amp;LEN(C105)))),1))," ",REPT(" ",LEN(C105))),LEN(C105)))</f>
        <v>14</v>
      </c>
      <c r="I106" s="46" t="str">
        <f ca="1">IF(D109=100%,"Excavation","")&amp;IF(D110=100%,", Plinth","")&amp;IF(D111=100%,", RCC Slab","")&amp;IF(D112=100%,", Brickwork","")&amp;IF(D113=100%,", Internal Plaster","")&amp;IF(D114=100%,", External Plaster","")&amp;IF(D115=100%,", Flooring","")&amp;IF(D116=100%,", Painting","")&amp;IF(D117=100%,", Building common Amenities","")</f>
        <v>Excavation, Plinth</v>
      </c>
      <c r="J106" s="47" t="str">
        <f ca="1">(IF(C109=0,"Work not yet Started.",IF(D109=25%,"Piling work in process",IF(D109=50%,"Excavation work in process",IF(D109=100%,"","0")))))&amp;(IF(C110=0%,"",IF(C110=J111,", Footing work is process",IF(C110=J112,", Footing work Completed",IF(C110=J113,", 1st Basement Completed",IF(C110=J114,", 1st &amp; 2nd Basement Completed",IF(C110=J115,", 1st to 3rd Basement Completed",IF(C110=J116,", 1st to 4th Basement Completed",IF(C110=J117,", Plinth work is process",IF(C110=J118,"","0"))))))))))</f>
        <v/>
      </c>
      <c r="S106"/>
    </row>
    <row r="107" spans="1:19" x14ac:dyDescent="0.35">
      <c r="A107" s="143" t="s">
        <v>87</v>
      </c>
      <c r="B107" s="144"/>
      <c r="C107" s="145" t="str">
        <f ca="1">I105</f>
        <v xml:space="preserve">Excavation, Plinth Completed </v>
      </c>
      <c r="D107" s="145"/>
      <c r="E107" s="145"/>
      <c r="F107" s="145"/>
      <c r="G107" s="145"/>
      <c r="H107" s="146"/>
      <c r="I107" s="46" t="str">
        <f ca="1">IF(I106&lt;&gt;""," Completed","")</f>
        <v xml:space="preserve"> Completed</v>
      </c>
      <c r="J107" s="47" t="str">
        <f ca="1">IF(J105&lt;&gt;"","Completed","")</f>
        <v/>
      </c>
      <c r="S107"/>
    </row>
    <row r="108" spans="1:19" ht="15.75" customHeight="1" x14ac:dyDescent="0.35">
      <c r="A108" s="130" t="s">
        <v>47</v>
      </c>
      <c r="B108" s="131"/>
      <c r="C108" s="89" t="s">
        <v>137</v>
      </c>
      <c r="D108" s="89" t="s">
        <v>80</v>
      </c>
      <c r="E108" s="131" t="s">
        <v>82</v>
      </c>
      <c r="F108" s="131"/>
      <c r="G108" s="131" t="s">
        <v>81</v>
      </c>
      <c r="H108" s="147"/>
      <c r="I108" s="13" t="s">
        <v>139</v>
      </c>
      <c r="J108" s="26">
        <f ca="1">H106*25%</f>
        <v>3.5</v>
      </c>
      <c r="S108"/>
    </row>
    <row r="109" spans="1:19" x14ac:dyDescent="0.35">
      <c r="A109" s="131" t="s">
        <v>126</v>
      </c>
      <c r="B109" s="131"/>
      <c r="C109" s="114">
        <f ca="1">J110</f>
        <v>14</v>
      </c>
      <c r="D109" s="17">
        <f ca="1">((100/H106)*C109)/100</f>
        <v>1</v>
      </c>
      <c r="E109" s="295">
        <f ca="1">(((C110/H106*10)+(40/(D106+F106+H106)*C111)+(7.5/(H106)*C112)+(7.5/(H106)*C113)+(10/H106*C114)+(10/H106*C115)+(5/H106*C116)+(5/H106*C117)+(5/H106*C118))/100)</f>
        <v>0.1</v>
      </c>
      <c r="F109" s="295"/>
      <c r="G109" s="295">
        <f ca="1">((((C109/H106)*20)+((C110/H106)*25)+(30/(H106+F106+D106)*C111)+(5/H106*C112)+(5/H106*C113)+(5/H106*C114)+(5/H106*C115)+(0/H106*C116)+(0/H106*C117)+(5/H106*C118))/100)</f>
        <v>0.45</v>
      </c>
      <c r="H109" s="295"/>
      <c r="I109" s="13" t="s">
        <v>97</v>
      </c>
      <c r="J109" s="27">
        <f ca="1">H106*50%</f>
        <v>7</v>
      </c>
    </row>
    <row r="110" spans="1:19" x14ac:dyDescent="0.35">
      <c r="A110" s="131" t="s">
        <v>48</v>
      </c>
      <c r="B110" s="131"/>
      <c r="C110" s="93">
        <f ca="1">J118</f>
        <v>14</v>
      </c>
      <c r="D110" s="17">
        <f ca="1">((100/H106)*C110)/100</f>
        <v>1</v>
      </c>
      <c r="E110" s="295"/>
      <c r="F110" s="295"/>
      <c r="G110" s="295"/>
      <c r="H110" s="295"/>
      <c r="I110" s="13" t="s">
        <v>98</v>
      </c>
      <c r="J110" s="27">
        <f ca="1">H106</f>
        <v>14</v>
      </c>
      <c r="S110"/>
    </row>
    <row r="111" spans="1:19" ht="15.75" customHeight="1" x14ac:dyDescent="0.35">
      <c r="A111" s="131" t="s">
        <v>127</v>
      </c>
      <c r="B111" s="131"/>
      <c r="C111" s="114">
        <v>0</v>
      </c>
      <c r="D111" s="17">
        <f ca="1">((100/(D106+F106+H106))*C111)/100</f>
        <v>0</v>
      </c>
      <c r="E111" s="295"/>
      <c r="F111" s="295"/>
      <c r="G111" s="295"/>
      <c r="H111" s="295"/>
      <c r="I111" s="13" t="s">
        <v>99</v>
      </c>
      <c r="J111" s="28">
        <f ca="1">(IF(B106&gt;1,(H106/(B106+2)),H106/4))</f>
        <v>3.5</v>
      </c>
      <c r="S111"/>
    </row>
    <row r="112" spans="1:19" ht="15.75" customHeight="1" x14ac:dyDescent="0.35">
      <c r="A112" s="131" t="s">
        <v>134</v>
      </c>
      <c r="B112" s="131" t="s">
        <v>128</v>
      </c>
      <c r="C112" s="114">
        <v>0</v>
      </c>
      <c r="D112" s="17">
        <f ca="1">((100/H106)*C112)/100</f>
        <v>0</v>
      </c>
      <c r="E112" s="295"/>
      <c r="F112" s="295"/>
      <c r="G112" s="295"/>
      <c r="H112" s="295"/>
      <c r="I112" s="13" t="s">
        <v>100</v>
      </c>
      <c r="J112" s="28">
        <f ca="1">(IF(B106&gt;1,(H106/(B106+2)+J111),H106/4+J111))</f>
        <v>7</v>
      </c>
    </row>
    <row r="113" spans="1:19" ht="15.75" customHeight="1" x14ac:dyDescent="0.35">
      <c r="A113" s="131" t="s">
        <v>135</v>
      </c>
      <c r="B113" s="131" t="s">
        <v>128</v>
      </c>
      <c r="C113" s="114">
        <v>0</v>
      </c>
      <c r="D113" s="17">
        <f ca="1">((100/H106)*C113)/100</f>
        <v>0</v>
      </c>
      <c r="E113" s="295"/>
      <c r="F113" s="295"/>
      <c r="G113" s="295"/>
      <c r="H113" s="295"/>
      <c r="I113" s="13" t="s">
        <v>146</v>
      </c>
      <c r="J113" s="28">
        <f ca="1">(IF(B106&gt;1,(H106/(B106+2)+J112),0))</f>
        <v>10.5</v>
      </c>
    </row>
    <row r="114" spans="1:19" ht="15" customHeight="1" x14ac:dyDescent="0.35">
      <c r="A114" s="131" t="s">
        <v>133</v>
      </c>
      <c r="B114" s="131" t="s">
        <v>130</v>
      </c>
      <c r="C114" s="114">
        <v>0</v>
      </c>
      <c r="D114" s="17">
        <f ca="1">((100/(H106))*C114)/100</f>
        <v>0</v>
      </c>
      <c r="E114" s="295"/>
      <c r="F114" s="295"/>
      <c r="G114" s="295"/>
      <c r="H114" s="295"/>
      <c r="I114" s="13" t="s">
        <v>141</v>
      </c>
      <c r="J114" s="28">
        <f>(IF(B106&gt;2,(H106/(B106+2)+J113),0))</f>
        <v>0</v>
      </c>
    </row>
    <row r="115" spans="1:19" ht="15.75" customHeight="1" x14ac:dyDescent="0.35">
      <c r="A115" s="131" t="s">
        <v>129</v>
      </c>
      <c r="B115" s="131" t="s">
        <v>129</v>
      </c>
      <c r="C115" s="114">
        <v>0</v>
      </c>
      <c r="D115" s="17">
        <f ca="1">((100/H106)*C115)/100</f>
        <v>0</v>
      </c>
      <c r="E115" s="295"/>
      <c r="F115" s="295"/>
      <c r="G115" s="295"/>
      <c r="H115" s="295"/>
      <c r="I115" s="13" t="s">
        <v>142</v>
      </c>
      <c r="J115" s="29">
        <f>(IF(B106&gt;3,(H106/(B106+2)+J114),0))</f>
        <v>0</v>
      </c>
    </row>
    <row r="116" spans="1:19" ht="15.75" customHeight="1" x14ac:dyDescent="0.35">
      <c r="A116" s="131" t="s">
        <v>136</v>
      </c>
      <c r="B116" s="131"/>
      <c r="C116" s="114">
        <v>0</v>
      </c>
      <c r="D116" s="17">
        <f ca="1">((100/H106)*C116)/100</f>
        <v>0</v>
      </c>
      <c r="E116" s="295"/>
      <c r="F116" s="295"/>
      <c r="G116" s="295"/>
      <c r="H116" s="295"/>
      <c r="I116" s="13" t="s">
        <v>143</v>
      </c>
      <c r="J116" s="28">
        <f>(IF(B106&gt;4,(H106/(B106+2)+J115),0))</f>
        <v>0</v>
      </c>
    </row>
    <row r="117" spans="1:19" ht="15.75" customHeight="1" x14ac:dyDescent="0.35">
      <c r="A117" s="131" t="s">
        <v>131</v>
      </c>
      <c r="B117" s="131" t="s">
        <v>131</v>
      </c>
      <c r="C117" s="114">
        <v>0</v>
      </c>
      <c r="D117" s="17">
        <f ca="1">((100/(H106))*C117)/100</f>
        <v>0</v>
      </c>
      <c r="E117" s="295"/>
      <c r="F117" s="295"/>
      <c r="G117" s="295"/>
      <c r="H117" s="295"/>
      <c r="I117" s="13" t="s">
        <v>147</v>
      </c>
      <c r="J117" s="28">
        <f>(IF(B106=1,(H106/(B106+3)+J112),IF(B106=0,(H106/4+J112),IF(B106&gt;1,0))))</f>
        <v>0</v>
      </c>
    </row>
    <row r="118" spans="1:19" ht="16" thickBot="1" x14ac:dyDescent="0.4">
      <c r="A118" s="131" t="s">
        <v>132</v>
      </c>
      <c r="B118" s="131"/>
      <c r="C118" s="114">
        <v>0</v>
      </c>
      <c r="D118" s="17">
        <f ca="1">((100/(H106))*C118)/100</f>
        <v>0</v>
      </c>
      <c r="E118" s="295"/>
      <c r="F118" s="295"/>
      <c r="G118" s="295"/>
      <c r="H118" s="295"/>
      <c r="I118" s="14" t="s">
        <v>101</v>
      </c>
      <c r="J118" s="30">
        <f ca="1">(IF(B106&gt;1.5,(H106/(B106+2)+J112+MAX(0,J113-J112)+MAX(0,J114-J113)+MAX(0,J115-J114)+MAX(0,J116-J115)+MAX(0,J117-J116)),IF(B106=1,(H106/(B106+3)+J117),IF(B106=0,H106/4+J117))))</f>
        <v>14</v>
      </c>
    </row>
    <row r="119" spans="1:19" ht="15.75" hidden="1" customHeight="1" x14ac:dyDescent="0.35">
      <c r="A119" s="294" t="s">
        <v>138</v>
      </c>
      <c r="B119" s="294"/>
      <c r="C119" s="145" t="str">
        <f>D69</f>
        <v>Wing  E  = 2B + G + 1st to 14th Floor</v>
      </c>
      <c r="D119" s="145"/>
      <c r="E119" s="145"/>
      <c r="F119" s="145"/>
      <c r="G119" s="145"/>
      <c r="H119" s="145"/>
      <c r="I119" s="287" t="str">
        <f ca="1">IF(D132=100%,"All work Completed. Possession granted to the Building.",IF(D131=100%,"All work Completed, Waiting for OC",I120&amp;""&amp;I121&amp;""&amp;J120&amp;""&amp;J119&amp;" "&amp;J121))</f>
        <v xml:space="preserve">Excavation work in process </v>
      </c>
      <c r="J119" s="45" t="str">
        <f ca="1">(IF(C125=(D120+F120+H120),"",IF(C125&gt;0,", RCC upto "&amp;C125&amp;" Slab","")))&amp;(IF(C126=H120,"",IF(C126&gt;0,", Brickwork upto "&amp;C126&amp;" Floor","")))&amp;(IF(C127=H120,"",IF(C127&gt;0,", Internal Plaster upto "&amp;C127&amp;" Floor","")))&amp;(IF(C128=H120,"",IF(C128&gt;0,", External Plaster upto "&amp;C128&amp;" Floor","")))&amp;(IF(C129=H120,"",IF(C129&gt;0,", Flooring upto "&amp;C129&amp;" Floor","")))&amp;(IF(C130=H120,"",IF(C130&gt;0,", Painting upto "&amp;C130&amp;" Floor","")))&amp;(IF(C131=H120,"",IF(C131&gt;0,", Finishing upto "&amp;C131&amp;" Floor","")))&amp;(IF(C132=H120,"",IF(C132&gt;0,", Possession upto "&amp;C132&amp;" Floor","")))</f>
        <v/>
      </c>
      <c r="S119"/>
    </row>
    <row r="120" spans="1:19" hidden="1" x14ac:dyDescent="0.35">
      <c r="A120" s="48" t="s">
        <v>140</v>
      </c>
      <c r="B120" s="48">
        <f>IF(AND(ISNUMBER(SEARCH("1B",C119))),1,IF(AND(ISNUMBER(SEARCH("2B",C119))),2,IF(AND(ISNUMBER(SEARCH("3B",C119))),3,IF(AND(ISNUMBER(SEARCH("4B",C119))),4,IF(ISNUMBER(SEARCH("5B",C119)),5,0)))))</f>
        <v>2</v>
      </c>
      <c r="C120" s="101" t="s">
        <v>69</v>
      </c>
      <c r="D120" s="101">
        <v>1</v>
      </c>
      <c r="E120" s="101" t="s">
        <v>68</v>
      </c>
      <c r="F120" s="101">
        <v>0</v>
      </c>
      <c r="G120" s="101" t="s">
        <v>77</v>
      </c>
      <c r="H120" s="101">
        <f ca="1">--TRIM(RIGHT(SUBSTITUTE(LEFT(C119,_xlfn.AGGREGATE(16,6,FIND({0,1,2,3,4,5,6,7,8,9},C119,ROW(INDIRECT("1:"&amp;LEN(C119)))),1))," ",REPT(" ",LEN(C119))),LEN(C119)))</f>
        <v>14</v>
      </c>
      <c r="I120" s="288" t="str">
        <f ca="1">IF(D123=100%,"Excavation","")&amp;IF(D124=100%,", Plinth","")&amp;IF(D125=100%,", RCC Slab","")&amp;IF(D126=100%,", Brickwork","")&amp;IF(D127=100%,", Internal Plaster","")&amp;IF(D128=100%,", External Plaster","")&amp;IF(D129=100%,", Flooring","")&amp;IF(D130=100%,", Painting","")&amp;IF(D131=100%,", Building common Amenities","")</f>
        <v/>
      </c>
      <c r="J120" s="47" t="str">
        <f ca="1">(IF(C123=0,"Work not yet Started.",IF(D123=25%,"Piling work in process",IF(D123=50%,"Excavation work in process",IF(D123=100%,"","0")))))&amp;(IF(C124=0%,"",IF(C124=J125,", Footing work is process",IF(C124=J126,", Footing work Completed",IF(C124=J127,", 1st Basement Completed",IF(C124=J128,", 1st &amp; 2nd Basement Completed",IF(C124=J129,", 1st to 3rd Basement Completed",IF(C124=J130,", 1st to 4th Basement Completed",IF(C124=J131,", Plinth work is process",IF(C124=J132,"","0"))))))))))</f>
        <v>Excavation work in process</v>
      </c>
      <c r="S120"/>
    </row>
    <row r="121" spans="1:19" hidden="1" x14ac:dyDescent="0.35">
      <c r="A121" s="144" t="s">
        <v>87</v>
      </c>
      <c r="B121" s="144"/>
      <c r="C121" s="145" t="str">
        <f ca="1">I119</f>
        <v xml:space="preserve">Excavation work in process </v>
      </c>
      <c r="D121" s="145"/>
      <c r="E121" s="145"/>
      <c r="F121" s="145"/>
      <c r="G121" s="145"/>
      <c r="H121" s="145"/>
      <c r="I121" s="288" t="str">
        <f ca="1">IF(I120&lt;&gt;""," Completed","")</f>
        <v/>
      </c>
      <c r="J121" s="47" t="str">
        <f ca="1">IF(J119&lt;&gt;"","Completed","")</f>
        <v/>
      </c>
      <c r="S121"/>
    </row>
    <row r="122" spans="1:19" ht="15.75" hidden="1" customHeight="1" x14ac:dyDescent="0.35">
      <c r="A122" s="131" t="s">
        <v>47</v>
      </c>
      <c r="B122" s="131"/>
      <c r="C122" s="114" t="s">
        <v>137</v>
      </c>
      <c r="D122" s="114" t="s">
        <v>80</v>
      </c>
      <c r="E122" s="131" t="s">
        <v>82</v>
      </c>
      <c r="F122" s="131"/>
      <c r="G122" s="131" t="s">
        <v>81</v>
      </c>
      <c r="H122" s="131"/>
      <c r="I122" s="13" t="s">
        <v>139</v>
      </c>
      <c r="J122" s="26">
        <f ca="1">H120*25%</f>
        <v>3.5</v>
      </c>
      <c r="S122"/>
    </row>
    <row r="123" spans="1:19" hidden="1" x14ac:dyDescent="0.35">
      <c r="A123" s="131" t="s">
        <v>126</v>
      </c>
      <c r="B123" s="131"/>
      <c r="C123" s="114">
        <f ca="1">J123</f>
        <v>7</v>
      </c>
      <c r="D123" s="17">
        <f ca="1">((100/H120)*C123)/100</f>
        <v>0.5</v>
      </c>
      <c r="E123" s="295">
        <f ca="1">(((C124/H120*10)+(40/(D120+F120+H120)*C125)+(7.5/(H120)*C126)+(7.5/(H120)*C127)+(10/H120*C128)+(10/H120*C129)+(5/H120*C130)+(5/H120*C131)+(5/H120*C132))/100)</f>
        <v>0</v>
      </c>
      <c r="F123" s="295"/>
      <c r="G123" s="295">
        <f ca="1">((((C123/H120)*20)+((C124/H120)*25)+(30/(H120+F120+D120)*C125)+(5/H120*C126)+(5/H120*C127)+(5/H120*C128)+(5/H120*C129)+(0/H120*C130)+(0/H120*C131)+(5/H120*C132))/100)</f>
        <v>0.1</v>
      </c>
      <c r="H123" s="295"/>
      <c r="I123" s="13" t="s">
        <v>97</v>
      </c>
      <c r="J123" s="27">
        <f ca="1">H120*50%</f>
        <v>7</v>
      </c>
    </row>
    <row r="124" spans="1:19" hidden="1" x14ac:dyDescent="0.35">
      <c r="A124" s="131" t="s">
        <v>48</v>
      </c>
      <c r="B124" s="131"/>
      <c r="C124" s="93">
        <f>J128</f>
        <v>0</v>
      </c>
      <c r="D124" s="17">
        <f ca="1">((100/H120)*C124)/100</f>
        <v>0</v>
      </c>
      <c r="E124" s="295"/>
      <c r="F124" s="295"/>
      <c r="G124" s="295"/>
      <c r="H124" s="295"/>
      <c r="I124" s="13" t="s">
        <v>98</v>
      </c>
      <c r="J124" s="27">
        <f ca="1">H120</f>
        <v>14</v>
      </c>
      <c r="S124"/>
    </row>
    <row r="125" spans="1:19" ht="15.75" hidden="1" customHeight="1" x14ac:dyDescent="0.35">
      <c r="A125" s="131" t="s">
        <v>127</v>
      </c>
      <c r="B125" s="131"/>
      <c r="C125" s="114">
        <v>0</v>
      </c>
      <c r="D125" s="17">
        <f ca="1">((100/(D120+F120+H120))*C125)/100</f>
        <v>0</v>
      </c>
      <c r="E125" s="295"/>
      <c r="F125" s="295"/>
      <c r="G125" s="295"/>
      <c r="H125" s="295"/>
      <c r="I125" s="13" t="s">
        <v>99</v>
      </c>
      <c r="J125" s="28">
        <f ca="1">(IF(B120&gt;1,(H120/(B120+2)),H120/4))</f>
        <v>3.5</v>
      </c>
      <c r="S125"/>
    </row>
    <row r="126" spans="1:19" ht="15.75" hidden="1" customHeight="1" x14ac:dyDescent="0.35">
      <c r="A126" s="131" t="s">
        <v>134</v>
      </c>
      <c r="B126" s="131" t="s">
        <v>128</v>
      </c>
      <c r="C126" s="114">
        <v>0</v>
      </c>
      <c r="D126" s="17">
        <f ca="1">((100/H120)*C126)/100</f>
        <v>0</v>
      </c>
      <c r="E126" s="295"/>
      <c r="F126" s="295"/>
      <c r="G126" s="295"/>
      <c r="H126" s="295"/>
      <c r="I126" s="13" t="s">
        <v>100</v>
      </c>
      <c r="J126" s="28">
        <f ca="1">(IF(B120&gt;1,(H120/(B120+2)+J125),H120/4+J125))</f>
        <v>7</v>
      </c>
    </row>
    <row r="127" spans="1:19" ht="15.75" hidden="1" customHeight="1" x14ac:dyDescent="0.35">
      <c r="A127" s="131" t="s">
        <v>135</v>
      </c>
      <c r="B127" s="131" t="s">
        <v>128</v>
      </c>
      <c r="C127" s="114">
        <v>0</v>
      </c>
      <c r="D127" s="17">
        <f ca="1">((100/H120)*C127)/100</f>
        <v>0</v>
      </c>
      <c r="E127" s="295"/>
      <c r="F127" s="295"/>
      <c r="G127" s="295"/>
      <c r="H127" s="295"/>
      <c r="I127" s="13" t="s">
        <v>146</v>
      </c>
      <c r="J127" s="28">
        <f ca="1">(IF(B120&gt;1,(H120/(B120+2)+J126),0))</f>
        <v>10.5</v>
      </c>
    </row>
    <row r="128" spans="1:19" ht="15" hidden="1" customHeight="1" x14ac:dyDescent="0.35">
      <c r="A128" s="131" t="s">
        <v>133</v>
      </c>
      <c r="B128" s="131" t="s">
        <v>130</v>
      </c>
      <c r="C128" s="114">
        <v>0</v>
      </c>
      <c r="D128" s="17">
        <f ca="1">((100/(H120))*C128)/100</f>
        <v>0</v>
      </c>
      <c r="E128" s="295"/>
      <c r="F128" s="295"/>
      <c r="G128" s="295"/>
      <c r="H128" s="295"/>
      <c r="I128" s="13" t="s">
        <v>141</v>
      </c>
      <c r="J128" s="28">
        <f>(IF(B120&gt;2,(H120/(B120+2)+J127),0))</f>
        <v>0</v>
      </c>
    </row>
    <row r="129" spans="1:22" ht="15.75" hidden="1" customHeight="1" x14ac:dyDescent="0.35">
      <c r="A129" s="131" t="s">
        <v>129</v>
      </c>
      <c r="B129" s="131" t="s">
        <v>129</v>
      </c>
      <c r="C129" s="114">
        <v>0</v>
      </c>
      <c r="D129" s="17">
        <f ca="1">((100/H120)*C129)/100</f>
        <v>0</v>
      </c>
      <c r="E129" s="295"/>
      <c r="F129" s="295"/>
      <c r="G129" s="295"/>
      <c r="H129" s="295"/>
      <c r="I129" s="13" t="s">
        <v>142</v>
      </c>
      <c r="J129" s="29">
        <f>(IF(B120&gt;3,(H120/(B120+2)+J128),0))</f>
        <v>0</v>
      </c>
    </row>
    <row r="130" spans="1:22" ht="15.75" hidden="1" customHeight="1" x14ac:dyDescent="0.35">
      <c r="A130" s="131" t="s">
        <v>136</v>
      </c>
      <c r="B130" s="131"/>
      <c r="C130" s="114">
        <v>0</v>
      </c>
      <c r="D130" s="17">
        <f ca="1">((100/H120)*C130)/100</f>
        <v>0</v>
      </c>
      <c r="E130" s="295"/>
      <c r="F130" s="295"/>
      <c r="G130" s="295"/>
      <c r="H130" s="295"/>
      <c r="I130" s="13" t="s">
        <v>143</v>
      </c>
      <c r="J130" s="28">
        <f>(IF(B120&gt;4,(H120/(B120+2)+J129),0))</f>
        <v>0</v>
      </c>
    </row>
    <row r="131" spans="1:22" ht="15.75" hidden="1" customHeight="1" x14ac:dyDescent="0.35">
      <c r="A131" s="131" t="s">
        <v>131</v>
      </c>
      <c r="B131" s="131" t="s">
        <v>131</v>
      </c>
      <c r="C131" s="114">
        <v>0</v>
      </c>
      <c r="D131" s="17">
        <f ca="1">((100/(H120))*C131)/100</f>
        <v>0</v>
      </c>
      <c r="E131" s="295"/>
      <c r="F131" s="295"/>
      <c r="G131" s="295"/>
      <c r="H131" s="295"/>
      <c r="I131" s="13" t="s">
        <v>147</v>
      </c>
      <c r="J131" s="28">
        <f>(IF(B120=1,(H120/(B120+3)+J126),IF(B120=0,(H120/4+J126),IF(B120&gt;1,0))))</f>
        <v>0</v>
      </c>
    </row>
    <row r="132" spans="1:22" ht="16" hidden="1" thickBot="1" x14ac:dyDescent="0.4">
      <c r="A132" s="131" t="s">
        <v>132</v>
      </c>
      <c r="B132" s="131"/>
      <c r="C132" s="114">
        <v>0</v>
      </c>
      <c r="D132" s="17">
        <f ca="1">((100/(H120))*C132)/100</f>
        <v>0</v>
      </c>
      <c r="E132" s="295"/>
      <c r="F132" s="295"/>
      <c r="G132" s="295"/>
      <c r="H132" s="295"/>
      <c r="I132" s="14" t="s">
        <v>101</v>
      </c>
      <c r="J132" s="30">
        <f ca="1">(IF(B120&gt;1.5,(H120/(B120+2)+J126+MAX(0,J127-J126)+MAX(0,J128-J127)+MAX(0,J129-J128)+MAX(0,J130-J129)+MAX(0,J131-J130)),IF(B120=1,(H120/(B120+3)+J131),IF(B120=0,H120/4+J131))))</f>
        <v>14</v>
      </c>
    </row>
    <row r="133" spans="1:22" x14ac:dyDescent="0.35">
      <c r="A133" s="189" t="s">
        <v>158</v>
      </c>
      <c r="B133" s="189"/>
      <c r="C133" s="189"/>
      <c r="D133" s="189"/>
      <c r="E133" s="189"/>
      <c r="F133" s="249" t="s">
        <v>162</v>
      </c>
      <c r="G133" s="249"/>
      <c r="H133" s="249"/>
      <c r="R133" t="s">
        <v>253</v>
      </c>
      <c r="S133" t="s">
        <v>174</v>
      </c>
      <c r="T133" t="s">
        <v>181</v>
      </c>
      <c r="U133" t="s">
        <v>195</v>
      </c>
      <c r="V133" t="s">
        <v>190</v>
      </c>
    </row>
    <row r="134" spans="1:22" x14ac:dyDescent="0.35">
      <c r="A134" s="159" t="s">
        <v>160</v>
      </c>
      <c r="B134" s="159"/>
      <c r="C134" s="159"/>
      <c r="D134" s="159"/>
      <c r="E134" s="159"/>
      <c r="F134" s="160">
        <v>10000</v>
      </c>
      <c r="G134" s="160"/>
      <c r="H134" s="160"/>
      <c r="R134"/>
      <c r="S134">
        <v>800000</v>
      </c>
      <c r="T134">
        <v>150000</v>
      </c>
      <c r="U134">
        <v>100000</v>
      </c>
      <c r="V134">
        <v>100000</v>
      </c>
    </row>
    <row r="135" spans="1:22" x14ac:dyDescent="0.35">
      <c r="A135" s="159" t="s">
        <v>159</v>
      </c>
      <c r="B135" s="159"/>
      <c r="C135" s="159"/>
      <c r="D135" s="159"/>
      <c r="E135" s="159"/>
      <c r="F135" s="160">
        <v>18000</v>
      </c>
      <c r="G135" s="160"/>
      <c r="H135" s="160"/>
      <c r="R135"/>
      <c r="S135">
        <v>900000</v>
      </c>
      <c r="T135">
        <v>200000</v>
      </c>
      <c r="U135">
        <v>150000</v>
      </c>
      <c r="V135">
        <v>150000</v>
      </c>
    </row>
    <row r="136" spans="1:22" hidden="1" x14ac:dyDescent="0.35">
      <c r="A136" s="159" t="s">
        <v>161</v>
      </c>
      <c r="B136" s="159"/>
      <c r="C136" s="159"/>
      <c r="D136" s="159"/>
      <c r="E136" s="159"/>
      <c r="F136" s="160"/>
      <c r="G136" s="160"/>
      <c r="H136" s="160"/>
      <c r="R136"/>
      <c r="S136">
        <v>1000000</v>
      </c>
      <c r="T136">
        <v>250000</v>
      </c>
      <c r="U136">
        <v>200000</v>
      </c>
      <c r="V136">
        <v>200000</v>
      </c>
    </row>
    <row r="137" spans="1:22" s="31" customFormat="1" hidden="1" x14ac:dyDescent="0.35">
      <c r="A137" s="159" t="s">
        <v>177</v>
      </c>
      <c r="B137" s="159"/>
      <c r="C137" s="159"/>
      <c r="D137" s="159"/>
      <c r="E137" s="159"/>
      <c r="F137" s="160"/>
      <c r="G137" s="160"/>
      <c r="H137" s="160"/>
      <c r="R137"/>
      <c r="S137">
        <v>1100000</v>
      </c>
      <c r="T137">
        <v>300000</v>
      </c>
      <c r="U137">
        <v>250000</v>
      </c>
      <c r="V137" s="21">
        <v>250000</v>
      </c>
    </row>
    <row r="138" spans="1:22" s="31" customFormat="1" hidden="1" x14ac:dyDescent="0.35">
      <c r="A138" s="159" t="s">
        <v>92</v>
      </c>
      <c r="B138" s="159"/>
      <c r="C138" s="159"/>
      <c r="D138" s="159"/>
      <c r="E138" s="159"/>
      <c r="F138" s="160"/>
      <c r="G138" s="160"/>
      <c r="H138" s="160"/>
      <c r="R138"/>
      <c r="S138">
        <v>1200000</v>
      </c>
      <c r="T138">
        <v>350000</v>
      </c>
      <c r="U138">
        <v>300000</v>
      </c>
      <c r="V138">
        <v>300000</v>
      </c>
    </row>
    <row r="139" spans="1:22" s="31" customFormat="1" x14ac:dyDescent="0.35">
      <c r="A139" s="159" t="s">
        <v>442</v>
      </c>
      <c r="B139" s="159"/>
      <c r="C139" s="159"/>
      <c r="D139" s="159"/>
      <c r="E139" s="159"/>
      <c r="F139" s="160">
        <v>600000</v>
      </c>
      <c r="G139" s="160"/>
      <c r="H139" s="160"/>
      <c r="R139"/>
      <c r="S139">
        <v>1300000</v>
      </c>
      <c r="T139">
        <v>400000</v>
      </c>
      <c r="U139">
        <v>350000</v>
      </c>
      <c r="V139" s="21">
        <v>400000</v>
      </c>
    </row>
    <row r="140" spans="1:22" s="31" customFormat="1" hidden="1" x14ac:dyDescent="0.35">
      <c r="A140" s="159" t="s">
        <v>93</v>
      </c>
      <c r="B140" s="159"/>
      <c r="C140" s="159"/>
      <c r="D140" s="159"/>
      <c r="E140" s="159"/>
      <c r="F140" s="160"/>
      <c r="G140" s="160"/>
      <c r="H140" s="160"/>
      <c r="R140"/>
      <c r="S140">
        <v>1400000</v>
      </c>
      <c r="T140">
        <v>500000</v>
      </c>
      <c r="U140">
        <v>400000</v>
      </c>
      <c r="V140"/>
    </row>
    <row r="141" spans="1:22" s="31" customFormat="1" hidden="1" x14ac:dyDescent="0.35">
      <c r="A141" s="159" t="s">
        <v>94</v>
      </c>
      <c r="B141" s="159"/>
      <c r="C141" s="159"/>
      <c r="D141" s="159"/>
      <c r="E141" s="159"/>
      <c r="F141" s="160"/>
      <c r="G141" s="160"/>
      <c r="H141" s="160"/>
      <c r="R141"/>
      <c r="S141">
        <v>1500000</v>
      </c>
      <c r="T141">
        <v>600000</v>
      </c>
      <c r="U141">
        <v>500000</v>
      </c>
      <c r="V141" s="21"/>
    </row>
    <row r="142" spans="1:22" s="31" customFormat="1" hidden="1" x14ac:dyDescent="0.35">
      <c r="A142" s="159" t="s">
        <v>95</v>
      </c>
      <c r="B142" s="159"/>
      <c r="C142" s="159"/>
      <c r="D142" s="159"/>
      <c r="E142" s="159"/>
      <c r="F142" s="160"/>
      <c r="G142" s="160"/>
      <c r="H142" s="160"/>
      <c r="R142"/>
      <c r="S142">
        <v>1600000</v>
      </c>
      <c r="T142">
        <v>700000</v>
      </c>
      <c r="U142">
        <v>600000</v>
      </c>
      <c r="V142"/>
    </row>
    <row r="143" spans="1:22" s="31" customFormat="1" hidden="1" x14ac:dyDescent="0.35">
      <c r="A143" s="159" t="s">
        <v>96</v>
      </c>
      <c r="B143" s="159"/>
      <c r="C143" s="159"/>
      <c r="D143" s="159"/>
      <c r="E143" s="159"/>
      <c r="F143" s="160"/>
      <c r="G143" s="160"/>
      <c r="H143" s="160"/>
      <c r="R143"/>
      <c r="S143">
        <v>1700000</v>
      </c>
      <c r="T143">
        <v>800000</v>
      </c>
      <c r="U143"/>
      <c r="V143" s="21"/>
    </row>
    <row r="144" spans="1:22" x14ac:dyDescent="0.35">
      <c r="A144" s="159" t="s">
        <v>49</v>
      </c>
      <c r="B144" s="159"/>
      <c r="C144" s="159"/>
      <c r="D144" s="159"/>
      <c r="E144" s="159"/>
      <c r="F144" s="232">
        <v>500000</v>
      </c>
      <c r="G144" s="232"/>
      <c r="H144" s="232"/>
      <c r="R144"/>
      <c r="S144">
        <v>1800000</v>
      </c>
      <c r="T144">
        <v>900000</v>
      </c>
      <c r="U144"/>
    </row>
    <row r="145" spans="1:22" s="32" customFormat="1" x14ac:dyDescent="0.35">
      <c r="A145" s="189" t="s">
        <v>50</v>
      </c>
      <c r="B145" s="189"/>
      <c r="C145" s="189"/>
      <c r="D145" s="189"/>
      <c r="E145" s="189"/>
      <c r="F145" s="160">
        <f>F134*0.8</f>
        <v>8000</v>
      </c>
      <c r="G145" s="160"/>
      <c r="H145" s="160"/>
      <c r="R145" s="19"/>
      <c r="S145" s="19"/>
      <c r="T145">
        <v>1000000</v>
      </c>
      <c r="U145"/>
      <c r="V145" s="19"/>
    </row>
    <row r="146" spans="1:22" s="33" customFormat="1" ht="15.75" customHeight="1" x14ac:dyDescent="0.35">
      <c r="A146" s="167" t="s">
        <v>72</v>
      </c>
      <c r="B146" s="167"/>
      <c r="C146" s="167"/>
      <c r="D146" s="167"/>
      <c r="E146" s="167"/>
      <c r="F146" s="167"/>
      <c r="G146" s="167"/>
      <c r="H146" s="167"/>
      <c r="R146"/>
      <c r="S146" s="19"/>
      <c r="T146"/>
      <c r="U146"/>
      <c r="V146" s="19"/>
    </row>
    <row r="147" spans="1:22" s="33" customFormat="1" ht="15.75" customHeight="1" x14ac:dyDescent="0.35">
      <c r="A147" s="240" t="s">
        <v>51</v>
      </c>
      <c r="B147" s="240"/>
      <c r="C147" s="166" t="s">
        <v>75</v>
      </c>
      <c r="D147" s="166"/>
      <c r="E147" s="238" t="s">
        <v>52</v>
      </c>
      <c r="F147" s="238"/>
      <c r="G147" s="240" t="s">
        <v>53</v>
      </c>
      <c r="H147" s="240"/>
      <c r="R147"/>
      <c r="S147" s="19"/>
      <c r="T147"/>
      <c r="U147" s="19"/>
      <c r="V147" s="19"/>
    </row>
    <row r="148" spans="1:22" s="33" customFormat="1" x14ac:dyDescent="0.35">
      <c r="A148" s="234" t="s">
        <v>388</v>
      </c>
      <c r="B148" s="234"/>
      <c r="C148" s="168">
        <f>COUNT(D174:D222)</f>
        <v>49</v>
      </c>
      <c r="D148" s="180"/>
      <c r="E148" s="168">
        <f>SUM(F174:F222)</f>
        <v>17977.97898</v>
      </c>
      <c r="F148" s="180"/>
      <c r="G148" s="168">
        <f>SUM(H174:H222)</f>
        <v>26966.968469999993</v>
      </c>
      <c r="H148" s="180"/>
      <c r="R148"/>
      <c r="S148" s="19"/>
      <c r="T148"/>
      <c r="U148" s="19"/>
      <c r="V148" s="19"/>
    </row>
    <row r="149" spans="1:22" s="33" customFormat="1" x14ac:dyDescent="0.35">
      <c r="A149" s="167" t="s">
        <v>151</v>
      </c>
      <c r="B149" s="167"/>
      <c r="C149" s="165">
        <f>C148</f>
        <v>49</v>
      </c>
      <c r="D149" s="166"/>
      <c r="E149" s="165">
        <f t="shared" ref="E149" si="0">E148</f>
        <v>17977.97898</v>
      </c>
      <c r="F149" s="166"/>
      <c r="G149" s="165">
        <f t="shared" ref="G149" si="1">G148</f>
        <v>26966.968469999993</v>
      </c>
      <c r="H149" s="166"/>
      <c r="R149"/>
      <c r="S149" s="19"/>
      <c r="T149"/>
      <c r="U149" s="19"/>
      <c r="V149" s="19"/>
    </row>
    <row r="150" spans="1:22" s="33" customFormat="1" x14ac:dyDescent="0.35">
      <c r="A150" s="167" t="s">
        <v>67</v>
      </c>
      <c r="B150" s="167"/>
      <c r="C150" s="167"/>
      <c r="D150" s="167"/>
      <c r="E150" s="167"/>
      <c r="F150" s="167"/>
      <c r="G150" s="167"/>
      <c r="H150" s="167"/>
      <c r="T150"/>
    </row>
    <row r="151" spans="1:22" s="33" customFormat="1" ht="15.75" customHeight="1" x14ac:dyDescent="0.35">
      <c r="A151" s="240" t="s">
        <v>51</v>
      </c>
      <c r="B151" s="240"/>
      <c r="C151" s="166" t="s">
        <v>75</v>
      </c>
      <c r="D151" s="166"/>
      <c r="E151" s="238" t="s">
        <v>52</v>
      </c>
      <c r="F151" s="238"/>
      <c r="G151" s="240" t="s">
        <v>53</v>
      </c>
      <c r="H151" s="240"/>
      <c r="J151" s="97"/>
      <c r="K151" s="98" t="s">
        <v>404</v>
      </c>
      <c r="T151"/>
    </row>
    <row r="152" spans="1:22" s="33" customFormat="1" x14ac:dyDescent="0.35">
      <c r="A152" s="245" t="s">
        <v>389</v>
      </c>
      <c r="B152" s="90" t="s">
        <v>396</v>
      </c>
      <c r="C152" s="168">
        <f>COUNT(D243:D245)+COUNT(D250:D252)*8+COUNT(D257:D258)*2+COUNT(D264:D267)+COUNT(D271:D274)</f>
        <v>39</v>
      </c>
      <c r="D152" s="168"/>
      <c r="E152" s="168">
        <f t="shared" ref="E152" si="2">SUM(F243:F245)+SUM(F250:F252)*8+SUM(F257:F258)*2+SUM(F264:F267)+SUM(F271:F274)</f>
        <v>36541.616435999997</v>
      </c>
      <c r="F152" s="168"/>
      <c r="G152" s="168">
        <f t="shared" ref="G152" si="3">SUM(H243:H245)+SUM(H250:H252)*8+SUM(H257:H258)*2+SUM(H264:H267)+SUM(H271:H274)</f>
        <v>54812.424653999995</v>
      </c>
      <c r="H152" s="168"/>
      <c r="T152"/>
    </row>
    <row r="153" spans="1:22" s="33" customFormat="1" x14ac:dyDescent="0.35">
      <c r="A153" s="246"/>
      <c r="B153" s="90" t="s">
        <v>395</v>
      </c>
      <c r="C153" s="168">
        <f>COUNT(D239:D241)+COUNT(D246:D248)+COUNT(D253:D255)*8+COUNT(D260:D262)*2+COUNT(D268:D269)+COUNT(D275:D276)</f>
        <v>40</v>
      </c>
      <c r="D153" s="168"/>
      <c r="E153" s="168">
        <f t="shared" ref="E153" si="4">SUM(F239:F241)+SUM(F246:F248)+SUM(F253:F255)*8+SUM(F260:F262)*2+SUM(F268:F269)+SUM(F275:F276)</f>
        <v>37350.21888</v>
      </c>
      <c r="F153" s="168"/>
      <c r="G153" s="168">
        <f t="shared" ref="G153" si="5">SUM(H239:H241)+SUM(H246:H248)+SUM(H253:H255)*8+SUM(H260:H262)*2+SUM(H268:H269)+SUM(H275:H276)</f>
        <v>56025.328319999986</v>
      </c>
      <c r="H153" s="168"/>
      <c r="T153"/>
    </row>
    <row r="154" spans="1:22" s="33" customFormat="1" x14ac:dyDescent="0.35">
      <c r="A154" s="245" t="s">
        <v>378</v>
      </c>
      <c r="B154" s="90" t="s">
        <v>396</v>
      </c>
      <c r="C154" s="168">
        <f>COUNT(D281:D283)+COUNT(D303)*2+COUNT(D316:D317)</f>
        <v>7</v>
      </c>
      <c r="D154" s="180"/>
      <c r="E154" s="168">
        <f>SUM(F281:F283)+SUM(F303)*2+SUM(F316:F317)</f>
        <v>6174.5533199999991</v>
      </c>
      <c r="F154" s="180"/>
      <c r="G154" s="168">
        <f>SUM(H281:H283)+SUM(H303)*2+SUM(H316:H317)</f>
        <v>9537.5094750000007</v>
      </c>
      <c r="H154" s="180"/>
      <c r="J154" s="117">
        <f>SUM(E154:F155)</f>
        <v>78073.724664000008</v>
      </c>
      <c r="T154"/>
    </row>
    <row r="155" spans="1:22" s="33" customFormat="1" x14ac:dyDescent="0.35">
      <c r="A155" s="246"/>
      <c r="B155" s="90" t="s">
        <v>395</v>
      </c>
      <c r="C155" s="168">
        <f>COUNT(F279:F280,F284)+COUNT(F286:F291)+COUNT(F293:F298)*8+COUNT(F300:F302,F304:F305)*2+COUNT(F307:F312)+COUNT(F314:F315,F318:F319)</f>
        <v>77</v>
      </c>
      <c r="D155" s="168"/>
      <c r="E155" s="168">
        <f>SUM(F279:F280,F284)+SUM(F286:F291)+SUM(F293:F298)*8+SUM(F300:F302,F304:F305)*2+SUM(F307:F312)+SUM(F314:F315,F318:F319)</f>
        <v>71899.171344000002</v>
      </c>
      <c r="F155" s="168"/>
      <c r="G155" s="168">
        <f>SUM(H279:H280,H284)+SUM(H286:H291)+SUM(H293:H298)*8+SUM(H300:H302,H304:H305)*2+SUM(H307:H312)+SUM(H314:H315,H318:H319)</f>
        <v>107941.75797599999</v>
      </c>
      <c r="H155" s="168"/>
      <c r="I155" s="33">
        <f>3+6+6*8+5*2+6+4</f>
        <v>77</v>
      </c>
      <c r="T155"/>
    </row>
    <row r="156" spans="1:22" s="33" customFormat="1" x14ac:dyDescent="0.35">
      <c r="A156" s="245" t="s">
        <v>382</v>
      </c>
      <c r="B156" s="90" t="s">
        <v>396</v>
      </c>
      <c r="C156" s="168">
        <f>COUNT(D323:D325)+COUNT(D331)+COUNT(D343)*2+COUNT(D358)</f>
        <v>7</v>
      </c>
      <c r="D156" s="168"/>
      <c r="E156" s="168">
        <f t="shared" ref="E156" si="6">SUM(F323:F325)+SUM(F331)+SUM(F343)*2+SUM(F358)</f>
        <v>6174.55332</v>
      </c>
      <c r="F156" s="168"/>
      <c r="G156" s="168">
        <f t="shared" ref="G156" si="7">SUM(H323:H325)+SUM(H331)+SUM(H343)*2+SUM(H358)</f>
        <v>9498.5303399999993</v>
      </c>
      <c r="H156" s="168"/>
      <c r="T156"/>
    </row>
    <row r="157" spans="1:22" s="33" customFormat="1" x14ac:dyDescent="0.35">
      <c r="A157" s="246"/>
      <c r="B157" s="90" t="s">
        <v>395</v>
      </c>
      <c r="C157" s="157">
        <f>COUNT(D322)+COUNT(D327:D330,D332)+COUNT(D334:D339)*8+COUNT(D341:D342,D344:D346)*2+COUNT(D348:D353)+COUNT(D355:D357,D359:D360)</f>
        <v>75</v>
      </c>
      <c r="D157" s="157"/>
      <c r="E157" s="164">
        <f t="shared" ref="E157" si="8">SUM(F322)+SUM(F327:F330,F332)+SUM(F334:F339)*8+SUM(F341:F342,F344:F346)*2+SUM(F348:F353)+SUM(F355:F357,F359:F360)</f>
        <v>70031.660399999993</v>
      </c>
      <c r="F157" s="164"/>
      <c r="G157" s="164">
        <f t="shared" ref="G157" si="9">SUM(H322)+SUM(H327:H330,H332)+SUM(H334:H339)*8+SUM(H341:H342,H344:H346)*2+SUM(H348:H353)+SUM(H355:H357,H359:H360)</f>
        <v>105047.49059999998</v>
      </c>
      <c r="H157" s="164"/>
      <c r="T157"/>
    </row>
    <row r="158" spans="1:22" s="33" customFormat="1" x14ac:dyDescent="0.35">
      <c r="A158" s="245" t="s">
        <v>385</v>
      </c>
      <c r="B158" s="90" t="s">
        <v>396</v>
      </c>
      <c r="C158" s="168">
        <f>COUNT(D363:D366)+COUNT(D368:D371,D374:D375)+COUNT(D377:D383)*4+COUNT(D386:D387,D389:D392)+COUNT(D395:D401)*2+COUNT(D404:D410)*2+COUNT(D413:D414,D416:D420)+COUNT(D422:D429)*2</f>
        <v>95</v>
      </c>
      <c r="D158" s="168"/>
      <c r="E158" s="168">
        <f t="shared" ref="E158" si="10">SUM(F363:F366)+SUM(F368:F371,F374:F375)+SUM(F377:F383)*4+SUM(F386:F387,F389:F392)+SUM(F395:F401)*2+SUM(F404:F410)*2+SUM(F413:F414,F416:F420)+SUM(F422:F429)*2</f>
        <v>77025.838499999983</v>
      </c>
      <c r="F158" s="168"/>
      <c r="G158" s="168">
        <f t="shared" ref="G158" si="11">SUM(H363:H366)+SUM(H368:H371,H374:H375)+SUM(H377:H383)*4+SUM(H386:H387,H389:H392)+SUM(H395:H401)*2+SUM(H404:H410)*2+SUM(H413:H414,H416:H420)+SUM(H422:H429)*2</f>
        <v>115840.50854999997</v>
      </c>
      <c r="H158" s="168"/>
      <c r="T158"/>
    </row>
    <row r="159" spans="1:22" s="33" customFormat="1" x14ac:dyDescent="0.35">
      <c r="A159" s="279"/>
      <c r="B159" s="103" t="s">
        <v>409</v>
      </c>
      <c r="C159" s="164">
        <f>COUNT(D372:D373)+COUNT(D384)*4+COUNT(D393)+COUNT(D402)*2</f>
        <v>9</v>
      </c>
      <c r="D159" s="164"/>
      <c r="E159" s="164">
        <f t="shared" ref="E159" si="12">SUM(F372:F373)+SUM(F384)*4+SUM(F393)+SUM(F402)*2</f>
        <v>7723.4390999999996</v>
      </c>
      <c r="F159" s="164"/>
      <c r="G159" s="164">
        <f t="shared" ref="G159" si="13">SUM(H372:H373)+SUM(H384)*4+SUM(H393)+SUM(H402)*2</f>
        <v>11585.158650000001</v>
      </c>
      <c r="H159" s="164"/>
      <c r="T159"/>
    </row>
    <row r="160" spans="1:22" s="33" customFormat="1" x14ac:dyDescent="0.35">
      <c r="A160" s="246"/>
      <c r="B160" s="103" t="s">
        <v>411</v>
      </c>
      <c r="C160" s="164">
        <f>COUNT(D411)*2</f>
        <v>2</v>
      </c>
      <c r="D160" s="164"/>
      <c r="E160" s="164">
        <f t="shared" ref="E160" si="14">SUM(F411)*2</f>
        <v>1863.7865999999999</v>
      </c>
      <c r="F160" s="164"/>
      <c r="G160" s="164">
        <f t="shared" ref="G160" si="15">SUM(H411)*2</f>
        <v>2795.6799000000001</v>
      </c>
      <c r="H160" s="164"/>
      <c r="T160"/>
    </row>
    <row r="161" spans="1:20" s="33" customFormat="1" x14ac:dyDescent="0.35">
      <c r="A161" s="96" t="s">
        <v>386</v>
      </c>
      <c r="B161" s="107" t="s">
        <v>396</v>
      </c>
      <c r="C161" s="164">
        <f>COUNT(D433:D436)+COUNT(D439:D444)+COUNT(D446:D451)*8+COUNT(D453:D458)*2+COUNT(D460:D465)+COUNT(D467:D472)</f>
        <v>82</v>
      </c>
      <c r="D161" s="164"/>
      <c r="E161" s="164">
        <f t="shared" ref="E161" si="16">SUM(F433:F436)+SUM(F439:F444)+SUM(F446:F451)*8+SUM(F453:F458)*2+SUM(F460:F465)+SUM(F467:F472)</f>
        <v>76088.627783999997</v>
      </c>
      <c r="F161" s="164"/>
      <c r="G161" s="164">
        <f t="shared" ref="G161" si="17">SUM(H433:H436)+SUM(H439:H444)+SUM(H446:H451)*8+SUM(H453:H458)*2+SUM(H460:H465)+SUM(H467:H472)</f>
        <v>114363.82050599999</v>
      </c>
      <c r="H161" s="164"/>
      <c r="T161"/>
    </row>
    <row r="162" spans="1:20" s="33" customFormat="1" x14ac:dyDescent="0.35">
      <c r="A162" s="167" t="s">
        <v>430</v>
      </c>
      <c r="B162" s="167"/>
      <c r="C162" s="165">
        <f>C152+C154+C156+C158+C161</f>
        <v>230</v>
      </c>
      <c r="D162" s="166"/>
      <c r="E162" s="165">
        <f t="shared" ref="E162" si="18">E152+E154+E156+E158+E161</f>
        <v>202005.18935999996</v>
      </c>
      <c r="F162" s="166"/>
      <c r="G162" s="165">
        <f t="shared" ref="G162" si="19">G152+G154+G156+G158+G161</f>
        <v>304052.79352499999</v>
      </c>
      <c r="H162" s="166"/>
      <c r="T162"/>
    </row>
    <row r="163" spans="1:20" s="33" customFormat="1" x14ac:dyDescent="0.35">
      <c r="A163" s="156" t="s">
        <v>431</v>
      </c>
      <c r="B163" s="156"/>
      <c r="C163" s="157">
        <f>C153+C155+C157</f>
        <v>192</v>
      </c>
      <c r="D163" s="158"/>
      <c r="E163" s="157">
        <f t="shared" ref="E163" si="20">E153+E155+E157</f>
        <v>179281.050624</v>
      </c>
      <c r="F163" s="158"/>
      <c r="G163" s="157">
        <f t="shared" ref="G163" si="21">G153+G155+G157</f>
        <v>269014.57689599996</v>
      </c>
      <c r="H163" s="158"/>
      <c r="T163"/>
    </row>
    <row r="164" spans="1:20" s="33" customFormat="1" ht="16" thickBot="1" x14ac:dyDescent="0.4">
      <c r="A164" s="156" t="s">
        <v>439</v>
      </c>
      <c r="B164" s="156"/>
      <c r="C164" s="157">
        <f>SUM(C152:D161)</f>
        <v>433</v>
      </c>
      <c r="D164" s="158"/>
      <c r="E164" s="157">
        <f>SUM(E152:F161)</f>
        <v>390873.465684</v>
      </c>
      <c r="F164" s="158"/>
      <c r="G164" s="157">
        <f>SUM(G152:H161)</f>
        <v>587448.20897099993</v>
      </c>
      <c r="H164" s="158"/>
      <c r="T164"/>
    </row>
    <row r="165" spans="1:20" s="33" customFormat="1" ht="16" thickBot="1" x14ac:dyDescent="0.4">
      <c r="A165" s="235" t="s">
        <v>168</v>
      </c>
      <c r="B165" s="236"/>
      <c r="C165" s="151">
        <f>C149+C162+C163+C159+C160</f>
        <v>482</v>
      </c>
      <c r="D165" s="152"/>
      <c r="E165" s="151">
        <f>E149+E162+E163+E159+E160</f>
        <v>408851.44466400001</v>
      </c>
      <c r="F165" s="152"/>
      <c r="G165" s="151">
        <f>G149+G162+G163+G159+G160</f>
        <v>614415.17744099989</v>
      </c>
      <c r="H165" s="181"/>
      <c r="T165"/>
    </row>
    <row r="166" spans="1:20" s="32" customFormat="1" x14ac:dyDescent="0.35">
      <c r="A166" s="239" t="s">
        <v>54</v>
      </c>
      <c r="B166" s="239"/>
      <c r="C166" s="239"/>
      <c r="D166" s="239"/>
      <c r="E166" s="239"/>
      <c r="F166" s="239"/>
      <c r="G166" s="239"/>
      <c r="H166" s="239"/>
      <c r="T166" s="33"/>
    </row>
    <row r="167" spans="1:20" x14ac:dyDescent="0.35">
      <c r="A167" s="249" t="s">
        <v>176</v>
      </c>
      <c r="B167" s="249"/>
      <c r="C167" s="249"/>
      <c r="D167" s="249"/>
      <c r="E167" s="249"/>
      <c r="F167" s="249"/>
      <c r="G167" s="249"/>
      <c r="H167" s="249"/>
      <c r="T167" s="33"/>
    </row>
    <row r="168" spans="1:20" ht="47.25" customHeight="1" x14ac:dyDescent="0.35">
      <c r="A168" s="123" t="s">
        <v>118</v>
      </c>
      <c r="B168" s="125" t="s">
        <v>178</v>
      </c>
      <c r="C168" s="123" t="s">
        <v>55</v>
      </c>
      <c r="D168" s="125" t="s">
        <v>383</v>
      </c>
      <c r="E168" s="185" t="s">
        <v>157</v>
      </c>
      <c r="F168" s="123" t="s">
        <v>56</v>
      </c>
      <c r="G168" s="175" t="s">
        <v>57</v>
      </c>
      <c r="H168" s="105" t="s">
        <v>149</v>
      </c>
      <c r="K168" s="85">
        <v>10.763999999999999</v>
      </c>
      <c r="T168" s="33"/>
    </row>
    <row r="169" spans="1:20" s="35" customFormat="1" x14ac:dyDescent="0.35">
      <c r="A169" s="124"/>
      <c r="B169" s="126"/>
      <c r="C169" s="124"/>
      <c r="D169" s="126"/>
      <c r="E169" s="186"/>
      <c r="F169" s="124"/>
      <c r="G169" s="176"/>
      <c r="H169" s="109">
        <v>0.5</v>
      </c>
      <c r="T169" s="33"/>
    </row>
    <row r="170" spans="1:20" s="87" customFormat="1" x14ac:dyDescent="0.35">
      <c r="A170" s="241" t="s">
        <v>387</v>
      </c>
      <c r="B170" s="242"/>
      <c r="C170" s="242"/>
      <c r="D170" s="242"/>
      <c r="E170" s="242"/>
      <c r="F170" s="242"/>
      <c r="G170" s="242"/>
      <c r="H170" s="243"/>
      <c r="J170" s="34"/>
      <c r="T170" s="33"/>
    </row>
    <row r="171" spans="1:20" s="87" customFormat="1" x14ac:dyDescent="0.35">
      <c r="A171" s="172" t="s">
        <v>380</v>
      </c>
      <c r="B171" s="173"/>
      <c r="C171" s="173"/>
      <c r="D171" s="173"/>
      <c r="E171" s="173"/>
      <c r="F171" s="173"/>
      <c r="G171" s="173"/>
      <c r="H171" s="174"/>
      <c r="J171" s="34"/>
      <c r="T171" s="33"/>
    </row>
    <row r="172" spans="1:20" s="87" customFormat="1" x14ac:dyDescent="0.35">
      <c r="A172" s="233" t="s">
        <v>379</v>
      </c>
      <c r="B172" s="233"/>
      <c r="C172" s="233"/>
      <c r="D172" s="233"/>
      <c r="E172" s="233"/>
      <c r="F172" s="233"/>
      <c r="G172" s="233"/>
      <c r="H172" s="233"/>
      <c r="J172" s="34"/>
      <c r="T172" s="33"/>
    </row>
    <row r="173" spans="1:20" s="87" customFormat="1" x14ac:dyDescent="0.35">
      <c r="A173" s="233" t="s">
        <v>381</v>
      </c>
      <c r="B173" s="233"/>
      <c r="C173" s="233"/>
      <c r="D173" s="233"/>
      <c r="E173" s="233"/>
      <c r="F173" s="233"/>
      <c r="G173" s="233"/>
      <c r="H173" s="233"/>
      <c r="J173" s="34"/>
      <c r="T173" s="33"/>
    </row>
    <row r="174" spans="1:20" s="87" customFormat="1" ht="15.75" customHeight="1" x14ac:dyDescent="0.35">
      <c r="A174" s="171">
        <v>1</v>
      </c>
      <c r="B174" s="171"/>
      <c r="C174" s="115" t="s">
        <v>384</v>
      </c>
      <c r="D174" s="115">
        <f>(41.534)*10.764</f>
        <v>447.07197599999995</v>
      </c>
      <c r="E174" s="115">
        <v>0</v>
      </c>
      <c r="F174" s="115">
        <f>D174+(IF(E174&lt;201,E174,IF(E174&lt;301,E174/2,E174/3)))</f>
        <v>447.07197599999995</v>
      </c>
      <c r="G174" s="60">
        <v>0</v>
      </c>
      <c r="H174" s="115">
        <f>(F174+(IF(G174&lt;101,G174,IF(G174&lt;201,G174/2,IF(G174&lt;=301,G174/3,G174/4)))))*(($H$169)+1)</f>
        <v>670.60796399999992</v>
      </c>
      <c r="I174" s="34"/>
      <c r="L174" s="177"/>
      <c r="M174" s="177"/>
      <c r="N174" s="34"/>
      <c r="T174" s="33"/>
    </row>
    <row r="175" spans="1:20" s="87" customFormat="1" ht="15.75" customHeight="1" x14ac:dyDescent="0.35">
      <c r="A175" s="171">
        <f>A174+1</f>
        <v>2</v>
      </c>
      <c r="B175" s="171"/>
      <c r="C175" s="115" t="s">
        <v>384</v>
      </c>
      <c r="D175" s="115">
        <f>(43.968)*10.764</f>
        <v>473.27155199999999</v>
      </c>
      <c r="E175" s="115">
        <v>0</v>
      </c>
      <c r="F175" s="115">
        <f>D175+(IF(E175&lt;201,E175,IF(E175&lt;301,E175/2,E175/3)))</f>
        <v>473.27155199999999</v>
      </c>
      <c r="G175" s="115">
        <v>0</v>
      </c>
      <c r="H175" s="115">
        <f>(F175+(IF(G175&lt;101,G175,IF(G175&lt;201,G175/2,IF(G175&lt;=301,G175/3,G175/4)))))*(($H$169)+1)</f>
        <v>709.90732800000001</v>
      </c>
      <c r="I175" s="34"/>
      <c r="L175" s="177"/>
      <c r="M175" s="177"/>
      <c r="N175" s="34"/>
      <c r="T175" s="32"/>
    </row>
    <row r="176" spans="1:20" s="87" customFormat="1" ht="15.75" customHeight="1" x14ac:dyDescent="0.35">
      <c r="A176" s="171">
        <f>A175+1</f>
        <v>3</v>
      </c>
      <c r="B176" s="171"/>
      <c r="C176" s="115" t="s">
        <v>384</v>
      </c>
      <c r="D176" s="115">
        <f>(24.43)*10.764</f>
        <v>262.96451999999999</v>
      </c>
      <c r="E176" s="115">
        <v>0</v>
      </c>
      <c r="F176" s="115">
        <f>D176+(IF(E176&lt;201,E176,IF(E176&lt;301,E176/2,E176/3)))</f>
        <v>262.96451999999999</v>
      </c>
      <c r="G176" s="115">
        <v>0</v>
      </c>
      <c r="H176" s="115">
        <f>(F176+(IF(G176&lt;101,G176,IF(G176&lt;201,G176/2,IF(G176&lt;=301,G176/3,G176/4)))))*(($H$169)+1)</f>
        <v>394.44677999999999</v>
      </c>
      <c r="I176" s="34">
        <f>3.3*6.1+1.55*1.3+1.5*1.2</f>
        <v>23.945</v>
      </c>
      <c r="L176" s="177"/>
      <c r="M176" s="177"/>
      <c r="N176" s="34"/>
      <c r="T176" s="19"/>
    </row>
    <row r="177" spans="1:20" s="87" customFormat="1" ht="15.75" customHeight="1" x14ac:dyDescent="0.35">
      <c r="A177" s="171">
        <f t="shared" ref="A177:A186" si="22">A176+1</f>
        <v>4</v>
      </c>
      <c r="B177" s="171"/>
      <c r="C177" s="115" t="s">
        <v>384</v>
      </c>
      <c r="D177" s="115">
        <f>(31.84)*10.764</f>
        <v>342.72575999999998</v>
      </c>
      <c r="E177" s="115">
        <v>0</v>
      </c>
      <c r="F177" s="115">
        <f t="shared" ref="F177:F186" si="23">D177+(IF(E177&lt;201,E177,IF(E177&lt;301,E177/2,E177/3)))</f>
        <v>342.72575999999998</v>
      </c>
      <c r="G177" s="115">
        <v>0</v>
      </c>
      <c r="H177" s="115">
        <f t="shared" ref="H177:H186" si="24">(F177+(IF(G177&lt;101,G177,IF(G177&lt;201,G177/2,IF(G177&lt;=301,G177/3,G177/4)))))*(($H$169)+1)</f>
        <v>514.08863999999994</v>
      </c>
      <c r="I177" s="34"/>
      <c r="L177" s="177"/>
      <c r="M177" s="177"/>
      <c r="N177" s="34"/>
      <c r="T177" s="19"/>
    </row>
    <row r="178" spans="1:20" s="87" customFormat="1" ht="15.75" customHeight="1" x14ac:dyDescent="0.35">
      <c r="A178" s="171">
        <f t="shared" si="22"/>
        <v>5</v>
      </c>
      <c r="B178" s="171"/>
      <c r="C178" s="115" t="s">
        <v>384</v>
      </c>
      <c r="D178" s="115">
        <f>(21.463)*10.764</f>
        <v>231.02773199999999</v>
      </c>
      <c r="E178" s="115">
        <v>0</v>
      </c>
      <c r="F178" s="115">
        <f t="shared" si="23"/>
        <v>231.02773199999999</v>
      </c>
      <c r="G178" s="115">
        <v>0</v>
      </c>
      <c r="H178" s="115">
        <f t="shared" si="24"/>
        <v>346.54159799999996</v>
      </c>
      <c r="I178" s="34">
        <f>2.9*6.1+1.3*1+1.5*1.2</f>
        <v>20.79</v>
      </c>
      <c r="L178" s="177"/>
      <c r="M178" s="177"/>
      <c r="N178" s="34"/>
      <c r="T178" s="19"/>
    </row>
    <row r="179" spans="1:20" s="87" customFormat="1" ht="15.75" customHeight="1" x14ac:dyDescent="0.35">
      <c r="A179" s="171">
        <f t="shared" si="22"/>
        <v>6</v>
      </c>
      <c r="B179" s="171"/>
      <c r="C179" s="115" t="s">
        <v>384</v>
      </c>
      <c r="D179" s="115">
        <f>(21.833)*10.764</f>
        <v>235.01041199999997</v>
      </c>
      <c r="E179" s="115">
        <v>0</v>
      </c>
      <c r="F179" s="115">
        <f t="shared" si="23"/>
        <v>235.01041199999997</v>
      </c>
      <c r="G179" s="115">
        <v>0</v>
      </c>
      <c r="H179" s="115">
        <f t="shared" si="24"/>
        <v>352.51561799999996</v>
      </c>
      <c r="I179" s="34"/>
      <c r="L179" s="177"/>
      <c r="M179" s="177"/>
      <c r="N179" s="34"/>
      <c r="T179" s="19"/>
    </row>
    <row r="180" spans="1:20" s="87" customFormat="1" ht="15.75" customHeight="1" x14ac:dyDescent="0.35">
      <c r="A180" s="171">
        <f t="shared" si="22"/>
        <v>7</v>
      </c>
      <c r="B180" s="171"/>
      <c r="C180" s="115" t="s">
        <v>384</v>
      </c>
      <c r="D180" s="115">
        <f>(22.08)*10.764</f>
        <v>237.66911999999996</v>
      </c>
      <c r="E180" s="115">
        <v>0</v>
      </c>
      <c r="F180" s="115">
        <f t="shared" si="23"/>
        <v>237.66911999999996</v>
      </c>
      <c r="G180" s="115">
        <v>0</v>
      </c>
      <c r="H180" s="115">
        <f t="shared" si="24"/>
        <v>356.50367999999992</v>
      </c>
      <c r="I180" s="34">
        <f>3.3*6.1+1.5*1.2</f>
        <v>21.93</v>
      </c>
      <c r="L180" s="177"/>
      <c r="M180" s="177"/>
      <c r="N180" s="34"/>
      <c r="T180" s="19"/>
    </row>
    <row r="181" spans="1:20" s="87" customFormat="1" ht="15.75" customHeight="1" x14ac:dyDescent="0.35">
      <c r="A181" s="171">
        <f t="shared" si="22"/>
        <v>8</v>
      </c>
      <c r="B181" s="171"/>
      <c r="C181" s="115" t="s">
        <v>384</v>
      </c>
      <c r="D181" s="115">
        <f>(52.85)*10.764</f>
        <v>568.87739999999997</v>
      </c>
      <c r="E181" s="115">
        <v>0</v>
      </c>
      <c r="F181" s="115">
        <f t="shared" si="23"/>
        <v>568.87739999999997</v>
      </c>
      <c r="G181" s="115">
        <v>0</v>
      </c>
      <c r="H181" s="115">
        <f t="shared" si="24"/>
        <v>853.31610000000001</v>
      </c>
      <c r="I181" s="34"/>
      <c r="L181" s="177"/>
      <c r="M181" s="177"/>
      <c r="N181" s="34"/>
      <c r="T181" s="19"/>
    </row>
    <row r="182" spans="1:20" s="87" customFormat="1" ht="15.75" customHeight="1" x14ac:dyDescent="0.35">
      <c r="A182" s="171">
        <f t="shared" si="22"/>
        <v>9</v>
      </c>
      <c r="B182" s="171"/>
      <c r="C182" s="115" t="s">
        <v>384</v>
      </c>
      <c r="D182" s="115">
        <f>(32.625)*10.764</f>
        <v>351.1755</v>
      </c>
      <c r="E182" s="115">
        <v>0</v>
      </c>
      <c r="F182" s="115">
        <f t="shared" si="23"/>
        <v>351.1755</v>
      </c>
      <c r="G182" s="115">
        <v>0</v>
      </c>
      <c r="H182" s="115">
        <f t="shared" si="24"/>
        <v>526.76324999999997</v>
      </c>
      <c r="I182" s="34"/>
      <c r="L182" s="177"/>
      <c r="M182" s="177"/>
      <c r="N182" s="34"/>
      <c r="T182" s="19"/>
    </row>
    <row r="183" spans="1:20" s="87" customFormat="1" ht="15.75" customHeight="1" x14ac:dyDescent="0.35">
      <c r="A183" s="171">
        <f t="shared" si="22"/>
        <v>10</v>
      </c>
      <c r="B183" s="171"/>
      <c r="C183" s="115" t="s">
        <v>384</v>
      </c>
      <c r="D183" s="115">
        <f>(33.175)*10.764</f>
        <v>357.09569999999997</v>
      </c>
      <c r="E183" s="115">
        <v>0</v>
      </c>
      <c r="F183" s="115">
        <f t="shared" si="23"/>
        <v>357.09569999999997</v>
      </c>
      <c r="G183" s="115">
        <v>0</v>
      </c>
      <c r="H183" s="115">
        <f t="shared" si="24"/>
        <v>535.64355</v>
      </c>
      <c r="I183" s="34"/>
      <c r="L183" s="177"/>
      <c r="M183" s="177"/>
      <c r="N183" s="34"/>
      <c r="T183" s="19"/>
    </row>
    <row r="184" spans="1:20" s="87" customFormat="1" ht="15.75" customHeight="1" x14ac:dyDescent="0.35">
      <c r="A184" s="171">
        <f t="shared" si="22"/>
        <v>11</v>
      </c>
      <c r="B184" s="171"/>
      <c r="C184" s="115" t="s">
        <v>384</v>
      </c>
      <c r="D184" s="115">
        <f>(31.302)*10.764</f>
        <v>336.93472799999995</v>
      </c>
      <c r="E184" s="115">
        <v>0</v>
      </c>
      <c r="F184" s="115">
        <f t="shared" si="23"/>
        <v>336.93472799999995</v>
      </c>
      <c r="G184" s="115">
        <v>0</v>
      </c>
      <c r="H184" s="115">
        <f t="shared" si="24"/>
        <v>505.40209199999993</v>
      </c>
      <c r="I184" s="34"/>
      <c r="L184" s="177"/>
      <c r="M184" s="177"/>
      <c r="N184" s="34"/>
      <c r="T184" s="19"/>
    </row>
    <row r="185" spans="1:20" s="87" customFormat="1" ht="15.75" customHeight="1" x14ac:dyDescent="0.35">
      <c r="A185" s="169">
        <f t="shared" si="22"/>
        <v>12</v>
      </c>
      <c r="B185" s="170"/>
      <c r="C185" s="85" t="s">
        <v>384</v>
      </c>
      <c r="D185" s="85">
        <f>(32.625)*10.764</f>
        <v>351.1755</v>
      </c>
      <c r="E185" s="85">
        <v>0</v>
      </c>
      <c r="F185" s="85">
        <f t="shared" si="23"/>
        <v>351.1755</v>
      </c>
      <c r="G185" s="85">
        <v>0</v>
      </c>
      <c r="H185" s="85">
        <f t="shared" si="24"/>
        <v>526.76324999999997</v>
      </c>
      <c r="I185" s="34">
        <f>2.9*9.95+1.3*1.3+1.5*1.2</f>
        <v>32.344999999999999</v>
      </c>
      <c r="L185" s="177"/>
      <c r="M185" s="177"/>
      <c r="N185" s="34"/>
      <c r="T185" s="19"/>
    </row>
    <row r="186" spans="1:20" s="87" customFormat="1" ht="15.75" customHeight="1" x14ac:dyDescent="0.35">
      <c r="A186" s="169">
        <f t="shared" si="22"/>
        <v>13</v>
      </c>
      <c r="B186" s="170"/>
      <c r="C186" s="85" t="s">
        <v>384</v>
      </c>
      <c r="D186" s="85">
        <f>(52.85)*10.764</f>
        <v>568.87739999999997</v>
      </c>
      <c r="E186" s="85">
        <v>0</v>
      </c>
      <c r="F186" s="85">
        <f t="shared" si="23"/>
        <v>568.87739999999997</v>
      </c>
      <c r="G186" s="85">
        <v>0</v>
      </c>
      <c r="H186" s="85">
        <f t="shared" si="24"/>
        <v>853.31610000000001</v>
      </c>
      <c r="I186" s="34"/>
      <c r="L186" s="177"/>
      <c r="M186" s="177"/>
      <c r="N186" s="34"/>
      <c r="T186" s="19"/>
    </row>
    <row r="187" spans="1:20" s="87" customFormat="1" ht="15.75" customHeight="1" x14ac:dyDescent="0.35">
      <c r="A187" s="169">
        <v>14</v>
      </c>
      <c r="B187" s="170"/>
      <c r="C187" s="85" t="s">
        <v>384</v>
      </c>
      <c r="D187" s="85">
        <f>(22.08)*10.764</f>
        <v>237.66911999999996</v>
      </c>
      <c r="E187" s="85">
        <v>0</v>
      </c>
      <c r="F187" s="85">
        <f>D187+(IF(E187&lt;201,E187,IF(E187&lt;301,E187/2,E187/3)))</f>
        <v>237.66911999999996</v>
      </c>
      <c r="G187" s="60">
        <v>0</v>
      </c>
      <c r="H187" s="85">
        <f>(F187+(IF(G187&lt;101,G187,IF(G187&lt;201,G187/2,IF(G187&lt;=301,G187/3,G187/4)))))*(($H$169)+1)</f>
        <v>356.50367999999992</v>
      </c>
      <c r="I187" s="34"/>
      <c r="L187" s="177"/>
      <c r="M187" s="177"/>
      <c r="N187" s="34"/>
      <c r="T187" s="33"/>
    </row>
    <row r="188" spans="1:20" s="87" customFormat="1" ht="15.75" customHeight="1" x14ac:dyDescent="0.35">
      <c r="A188" s="169">
        <f>A187+1</f>
        <v>15</v>
      </c>
      <c r="B188" s="170"/>
      <c r="C188" s="85" t="s">
        <v>384</v>
      </c>
      <c r="D188" s="85">
        <f>(21.83)*10.764</f>
        <v>234.97811999999996</v>
      </c>
      <c r="E188" s="85">
        <v>0</v>
      </c>
      <c r="F188" s="85">
        <f>D188+(IF(E188&lt;201,E188,IF(E188&lt;301,E188/2,E188/3)))</f>
        <v>234.97811999999996</v>
      </c>
      <c r="G188" s="85">
        <v>0</v>
      </c>
      <c r="H188" s="85">
        <f>(F188+(IF(G188&lt;101,G188,IF(G188&lt;201,G188/2,IF(G188&lt;=301,G188/3,G188/4)))))*(($H$169)+1)</f>
        <v>352.46717999999993</v>
      </c>
      <c r="I188" s="34"/>
      <c r="L188" s="177"/>
      <c r="M188" s="177"/>
      <c r="N188" s="34"/>
      <c r="T188" s="32"/>
    </row>
    <row r="189" spans="1:20" s="87" customFormat="1" ht="15.75" customHeight="1" x14ac:dyDescent="0.35">
      <c r="A189" s="169">
        <f>A188+1</f>
        <v>16</v>
      </c>
      <c r="B189" s="170"/>
      <c r="C189" s="85" t="s">
        <v>384</v>
      </c>
      <c r="D189" s="85">
        <f>(19.335)*10.764</f>
        <v>208.12194</v>
      </c>
      <c r="E189" s="85">
        <v>0</v>
      </c>
      <c r="F189" s="85">
        <f>D189+(IF(E189&lt;201,E189,IF(E189&lt;301,E189/2,E189/3)))</f>
        <v>208.12194</v>
      </c>
      <c r="G189" s="85">
        <v>0</v>
      </c>
      <c r="H189" s="85">
        <f>(F189+(IF(G189&lt;101,G189,IF(G189&lt;201,G189/2,IF(G189&lt;=301,G189/3,G189/4)))))*(($H$169)+1)</f>
        <v>312.18290999999999</v>
      </c>
      <c r="I189" s="34">
        <f>2.85*6.1+1.5*1.2</f>
        <v>19.184999999999999</v>
      </c>
      <c r="L189" s="177"/>
      <c r="M189" s="177"/>
      <c r="N189" s="34"/>
      <c r="T189" s="19"/>
    </row>
    <row r="190" spans="1:20" s="87" customFormat="1" ht="15.75" customHeight="1" x14ac:dyDescent="0.35">
      <c r="A190" s="169">
        <f t="shared" ref="A190:A194" si="25">A189+1</f>
        <v>17</v>
      </c>
      <c r="B190" s="170"/>
      <c r="C190" s="85" t="s">
        <v>384</v>
      </c>
      <c r="D190" s="85">
        <f>(34.335)*10.764</f>
        <v>369.58193999999997</v>
      </c>
      <c r="E190" s="85">
        <v>0</v>
      </c>
      <c r="F190" s="85">
        <f t="shared" ref="F190:F193" si="26">D190+(IF(E190&lt;201,E190,IF(E190&lt;301,E190/2,E190/3)))</f>
        <v>369.58193999999997</v>
      </c>
      <c r="G190" s="85">
        <v>0</v>
      </c>
      <c r="H190" s="85">
        <f t="shared" ref="H190:H193" si="27">(F190+(IF(G190&lt;101,G190,IF(G190&lt;201,G190/2,IF(G190&lt;=301,G190/3,G190/4)))))*(($H$169)+1)</f>
        <v>554.37290999999993</v>
      </c>
      <c r="I190" s="34"/>
      <c r="L190" s="177"/>
      <c r="M190" s="177"/>
      <c r="N190" s="34"/>
      <c r="T190" s="19"/>
    </row>
    <row r="191" spans="1:20" s="87" customFormat="1" ht="15.75" customHeight="1" x14ac:dyDescent="0.35">
      <c r="A191" s="169">
        <f t="shared" si="25"/>
        <v>18</v>
      </c>
      <c r="B191" s="170"/>
      <c r="C191" s="85" t="s">
        <v>384</v>
      </c>
      <c r="D191" s="85">
        <f>(24.42)*10.764</f>
        <v>262.85687999999999</v>
      </c>
      <c r="E191" s="85">
        <v>0</v>
      </c>
      <c r="F191" s="85">
        <f t="shared" si="26"/>
        <v>262.85687999999999</v>
      </c>
      <c r="G191" s="85">
        <v>0</v>
      </c>
      <c r="H191" s="85">
        <f t="shared" si="27"/>
        <v>394.28531999999996</v>
      </c>
      <c r="I191" s="34"/>
      <c r="L191" s="177"/>
      <c r="M191" s="177"/>
      <c r="N191" s="34"/>
      <c r="T191" s="19"/>
    </row>
    <row r="192" spans="1:20" s="87" customFormat="1" ht="15.75" customHeight="1" x14ac:dyDescent="0.35">
      <c r="A192" s="169">
        <f t="shared" si="25"/>
        <v>19</v>
      </c>
      <c r="B192" s="170"/>
      <c r="C192" s="85" t="s">
        <v>384</v>
      </c>
      <c r="D192" s="85">
        <f>(49.01)*10.764</f>
        <v>527.54363999999998</v>
      </c>
      <c r="E192" s="85">
        <v>0</v>
      </c>
      <c r="F192" s="85">
        <f t="shared" si="26"/>
        <v>527.54363999999998</v>
      </c>
      <c r="G192" s="85">
        <v>0</v>
      </c>
      <c r="H192" s="85">
        <f t="shared" si="27"/>
        <v>791.31546000000003</v>
      </c>
      <c r="I192" s="34"/>
      <c r="L192" s="177"/>
      <c r="M192" s="177"/>
      <c r="N192" s="34"/>
      <c r="T192" s="19"/>
    </row>
    <row r="193" spans="1:20" s="87" customFormat="1" ht="15.75" customHeight="1" x14ac:dyDescent="0.35">
      <c r="A193" s="169">
        <f t="shared" si="25"/>
        <v>20</v>
      </c>
      <c r="B193" s="170"/>
      <c r="C193" s="85" t="s">
        <v>384</v>
      </c>
      <c r="D193" s="85">
        <f>(46.325)*10.764</f>
        <v>498.64229999999998</v>
      </c>
      <c r="E193" s="85">
        <v>0</v>
      </c>
      <c r="F193" s="85">
        <f t="shared" si="26"/>
        <v>498.64229999999998</v>
      </c>
      <c r="G193" s="85">
        <v>0</v>
      </c>
      <c r="H193" s="85">
        <f t="shared" si="27"/>
        <v>747.96344999999997</v>
      </c>
      <c r="I193" s="34">
        <f>3.45*12.45+1.5*1.2+1.3*1</f>
        <v>46.052499999999995</v>
      </c>
      <c r="L193" s="177"/>
      <c r="M193" s="177"/>
      <c r="N193" s="34"/>
      <c r="T193" s="19"/>
    </row>
    <row r="194" spans="1:20" s="87" customFormat="1" ht="15.75" customHeight="1" x14ac:dyDescent="0.35">
      <c r="A194" s="169">
        <f t="shared" si="25"/>
        <v>21</v>
      </c>
      <c r="B194" s="170"/>
      <c r="C194" s="85" t="s">
        <v>384</v>
      </c>
      <c r="D194" s="85">
        <f>(75.42)*10.764</f>
        <v>811.82087999999999</v>
      </c>
      <c r="E194" s="85">
        <v>0</v>
      </c>
      <c r="F194" s="85">
        <f>D194+(IF(E194&lt;201,E194,IF(E194&lt;301,E194/2,E194/3)))</f>
        <v>811.82087999999999</v>
      </c>
      <c r="G194" s="85">
        <v>0</v>
      </c>
      <c r="H194" s="85">
        <f>(F194+(IF(G194&lt;101,G194,IF(G194&lt;201,G194/2,IF(G194&lt;=301,G194/3,G194/4)))))*(($H$169)+1)</f>
        <v>1217.7313199999999</v>
      </c>
      <c r="I194" s="34"/>
      <c r="L194" s="177"/>
      <c r="M194" s="177"/>
      <c r="N194" s="34"/>
      <c r="T194" s="19"/>
    </row>
    <row r="195" spans="1:20" s="35" customFormat="1" ht="15.75" customHeight="1" x14ac:dyDescent="0.35">
      <c r="A195" s="169">
        <v>22</v>
      </c>
      <c r="B195" s="170"/>
      <c r="C195" s="85" t="s">
        <v>384</v>
      </c>
      <c r="D195" s="85">
        <f>(41.276)*10.764</f>
        <v>444.29486400000002</v>
      </c>
      <c r="E195" s="40">
        <v>0</v>
      </c>
      <c r="F195" s="59">
        <f>D195+(IF(E195&lt;201,E195,IF(E195&lt;301,E195/2,E195/3)))</f>
        <v>444.29486400000002</v>
      </c>
      <c r="G195" s="60">
        <v>0</v>
      </c>
      <c r="H195" s="59">
        <f>(F195+(IF(G195&lt;101,G195,IF(G195&lt;201,G195/2,IF(G195&lt;=301,G195/3,G195/4)))))*(($H$169)+1)</f>
        <v>666.44229600000006</v>
      </c>
      <c r="I195" s="34"/>
      <c r="L195" s="177"/>
      <c r="M195" s="177"/>
      <c r="N195" s="34"/>
      <c r="T195" s="33"/>
    </row>
    <row r="196" spans="1:20" s="35" customFormat="1" ht="15.75" customHeight="1" x14ac:dyDescent="0.35">
      <c r="A196" s="169">
        <f>A195+1</f>
        <v>23</v>
      </c>
      <c r="B196" s="170"/>
      <c r="C196" s="85" t="s">
        <v>384</v>
      </c>
      <c r="D196" s="85">
        <f>(47.43)*10.764</f>
        <v>510.53651999999994</v>
      </c>
      <c r="E196" s="40">
        <v>0</v>
      </c>
      <c r="F196" s="59">
        <f>D196+(IF(E196&lt;201,E196,IF(E196&lt;301,E196/2,E196/3)))</f>
        <v>510.53651999999994</v>
      </c>
      <c r="G196" s="52">
        <v>0</v>
      </c>
      <c r="H196" s="59">
        <f>(F196+(IF(G196&lt;101,G196,IF(G196&lt;201,G196/2,IF(G196&lt;=301,G196/3,G196/4)))))*(($H$169)+1)</f>
        <v>765.80477999999994</v>
      </c>
      <c r="I196" s="34"/>
      <c r="L196" s="177"/>
      <c r="M196" s="177"/>
      <c r="N196" s="34"/>
      <c r="T196" s="32"/>
    </row>
    <row r="197" spans="1:20" s="35" customFormat="1" ht="15.75" customHeight="1" x14ac:dyDescent="0.35">
      <c r="A197" s="169">
        <f>A196+1</f>
        <v>24</v>
      </c>
      <c r="B197" s="170"/>
      <c r="C197" s="85" t="s">
        <v>384</v>
      </c>
      <c r="D197" s="85">
        <f>(49.043)*10.764</f>
        <v>527.89885199999992</v>
      </c>
      <c r="E197" s="40">
        <v>0</v>
      </c>
      <c r="F197" s="59">
        <f>D197+(IF(E197&lt;201,E197,IF(E197&lt;301,E197/2,E197/3)))</f>
        <v>527.89885199999992</v>
      </c>
      <c r="G197" s="52">
        <v>0</v>
      </c>
      <c r="H197" s="59">
        <f>(F197+(IF(G197&lt;101,G197,IF(G197&lt;201,G197/2,IF(G197&lt;=301,G197/3,G197/4)))))*(($H$169)+1)</f>
        <v>791.84827799999994</v>
      </c>
      <c r="I197" s="34"/>
      <c r="L197" s="177"/>
      <c r="M197" s="177"/>
      <c r="N197" s="34"/>
      <c r="T197" s="19"/>
    </row>
    <row r="198" spans="1:20" s="87" customFormat="1" ht="15.75" customHeight="1" x14ac:dyDescent="0.35">
      <c r="A198" s="169">
        <f t="shared" ref="A198:A209" si="28">A197+1</f>
        <v>25</v>
      </c>
      <c r="B198" s="170"/>
      <c r="C198" s="85" t="s">
        <v>384</v>
      </c>
      <c r="D198" s="85">
        <f>(19.945)*10.764</f>
        <v>214.68797999999998</v>
      </c>
      <c r="E198" s="85">
        <v>0</v>
      </c>
      <c r="F198" s="85">
        <f t="shared" ref="F198:F208" si="29">D198+(IF(E198&lt;201,E198,IF(E198&lt;301,E198/2,E198/3)))</f>
        <v>214.68797999999998</v>
      </c>
      <c r="G198" s="85">
        <v>0</v>
      </c>
      <c r="H198" s="85">
        <f t="shared" ref="H198:H208" si="30">(F198+(IF(G198&lt;101,G198,IF(G198&lt;201,G198/2,IF(G198&lt;=301,G198/3,G198/4)))))*(($H$169)+1)</f>
        <v>322.03197</v>
      </c>
      <c r="I198" s="94">
        <f>2.95*6.1+1.5*1.2</f>
        <v>19.795000000000002</v>
      </c>
      <c r="L198" s="177"/>
      <c r="M198" s="177"/>
      <c r="N198" s="34"/>
      <c r="T198" s="19"/>
    </row>
    <row r="199" spans="1:20" s="87" customFormat="1" ht="15.75" customHeight="1" x14ac:dyDescent="0.35">
      <c r="A199" s="169">
        <f t="shared" si="28"/>
        <v>26</v>
      </c>
      <c r="B199" s="170"/>
      <c r="C199" s="85" t="s">
        <v>384</v>
      </c>
      <c r="D199" s="85">
        <f>(22.2)*10.764</f>
        <v>238.96079999999998</v>
      </c>
      <c r="E199" s="85">
        <v>0</v>
      </c>
      <c r="F199" s="85">
        <f t="shared" si="29"/>
        <v>238.96079999999998</v>
      </c>
      <c r="G199" s="85">
        <v>0</v>
      </c>
      <c r="H199" s="85">
        <f t="shared" si="30"/>
        <v>358.44119999999998</v>
      </c>
      <c r="I199" s="34"/>
      <c r="L199" s="177"/>
      <c r="M199" s="177"/>
      <c r="N199" s="34"/>
      <c r="T199" s="19"/>
    </row>
    <row r="200" spans="1:20" s="87" customFormat="1" ht="15.75" customHeight="1" x14ac:dyDescent="0.35">
      <c r="A200" s="169">
        <f t="shared" si="28"/>
        <v>27</v>
      </c>
      <c r="B200" s="170"/>
      <c r="C200" s="85" t="s">
        <v>384</v>
      </c>
      <c r="D200" s="85">
        <f>(34.36)*10.764</f>
        <v>369.85103999999995</v>
      </c>
      <c r="E200" s="85">
        <v>0</v>
      </c>
      <c r="F200" s="85">
        <f t="shared" si="29"/>
        <v>369.85103999999995</v>
      </c>
      <c r="G200" s="85">
        <v>0</v>
      </c>
      <c r="H200" s="85">
        <f t="shared" si="30"/>
        <v>554.7765599999999</v>
      </c>
      <c r="I200" s="34"/>
      <c r="L200" s="177"/>
      <c r="M200" s="177"/>
      <c r="N200" s="34"/>
      <c r="T200" s="19"/>
    </row>
    <row r="201" spans="1:20" s="87" customFormat="1" ht="15.75" customHeight="1" x14ac:dyDescent="0.35">
      <c r="A201" s="169">
        <f t="shared" si="28"/>
        <v>28</v>
      </c>
      <c r="B201" s="170"/>
      <c r="C201" s="85" t="s">
        <v>384</v>
      </c>
      <c r="D201" s="85">
        <f>(23.313)*10.764</f>
        <v>250.94113199999998</v>
      </c>
      <c r="E201" s="85">
        <v>0</v>
      </c>
      <c r="F201" s="85">
        <f t="shared" si="29"/>
        <v>250.94113199999998</v>
      </c>
      <c r="G201" s="85">
        <v>0</v>
      </c>
      <c r="H201" s="85">
        <f t="shared" si="30"/>
        <v>376.411698</v>
      </c>
      <c r="I201" s="34">
        <f>3.15*6.15+1.66*1.3+1.5*1.2</f>
        <v>23.330500000000004</v>
      </c>
      <c r="L201" s="177"/>
      <c r="M201" s="177"/>
      <c r="N201" s="34"/>
      <c r="T201" s="19"/>
    </row>
    <row r="202" spans="1:20" s="87" customFormat="1" ht="15.75" customHeight="1" x14ac:dyDescent="0.35">
      <c r="A202" s="169">
        <f t="shared" si="28"/>
        <v>29</v>
      </c>
      <c r="B202" s="170"/>
      <c r="C202" s="85" t="s">
        <v>384</v>
      </c>
      <c r="D202" s="85">
        <f>(20.256)*10.764</f>
        <v>218.035584</v>
      </c>
      <c r="E202" s="85">
        <v>0</v>
      </c>
      <c r="F202" s="85">
        <f t="shared" si="29"/>
        <v>218.035584</v>
      </c>
      <c r="G202" s="85">
        <v>0</v>
      </c>
      <c r="H202" s="85">
        <f t="shared" si="30"/>
        <v>327.05337600000001</v>
      </c>
      <c r="I202" s="34"/>
      <c r="L202" s="177"/>
      <c r="M202" s="177"/>
      <c r="N202" s="34"/>
      <c r="T202" s="19"/>
    </row>
    <row r="203" spans="1:20" s="87" customFormat="1" ht="15.75" customHeight="1" x14ac:dyDescent="0.35">
      <c r="A203" s="169">
        <f t="shared" si="28"/>
        <v>30</v>
      </c>
      <c r="B203" s="170"/>
      <c r="C203" s="85" t="s">
        <v>384</v>
      </c>
      <c r="D203" s="85">
        <f>(61.739)*10.764</f>
        <v>664.55859599999997</v>
      </c>
      <c r="E203" s="85">
        <v>0</v>
      </c>
      <c r="F203" s="85">
        <f t="shared" si="29"/>
        <v>664.55859599999997</v>
      </c>
      <c r="G203" s="85">
        <v>0</v>
      </c>
      <c r="H203" s="85">
        <f t="shared" si="30"/>
        <v>996.83789400000001</v>
      </c>
      <c r="I203" s="34"/>
      <c r="L203" s="177"/>
      <c r="M203" s="177"/>
      <c r="N203" s="34"/>
      <c r="T203" s="19"/>
    </row>
    <row r="204" spans="1:20" s="87" customFormat="1" ht="15.75" customHeight="1" x14ac:dyDescent="0.35">
      <c r="A204" s="169">
        <f t="shared" si="28"/>
        <v>31</v>
      </c>
      <c r="B204" s="170"/>
      <c r="C204" s="85" t="s">
        <v>384</v>
      </c>
      <c r="D204" s="85">
        <f>(33.003)*10.764</f>
        <v>355.24429199999997</v>
      </c>
      <c r="E204" s="85">
        <v>0</v>
      </c>
      <c r="F204" s="85">
        <f t="shared" si="29"/>
        <v>355.24429199999997</v>
      </c>
      <c r="G204" s="85">
        <v>0</v>
      </c>
      <c r="H204" s="85">
        <f t="shared" si="30"/>
        <v>532.86643800000002</v>
      </c>
      <c r="I204" s="34"/>
      <c r="L204" s="177"/>
      <c r="M204" s="177"/>
      <c r="N204" s="34"/>
      <c r="T204" s="19"/>
    </row>
    <row r="205" spans="1:20" s="87" customFormat="1" ht="15.75" customHeight="1" x14ac:dyDescent="0.35">
      <c r="A205" s="169">
        <f t="shared" si="28"/>
        <v>32</v>
      </c>
      <c r="B205" s="170"/>
      <c r="C205" s="85" t="s">
        <v>384</v>
      </c>
      <c r="D205" s="85">
        <f>(34.367)*10.764</f>
        <v>369.92638799999997</v>
      </c>
      <c r="E205" s="85">
        <v>0</v>
      </c>
      <c r="F205" s="85">
        <f t="shared" si="29"/>
        <v>369.92638799999997</v>
      </c>
      <c r="G205" s="85">
        <v>0</v>
      </c>
      <c r="H205" s="85">
        <f t="shared" si="30"/>
        <v>554.88958200000002</v>
      </c>
      <c r="I205" s="34"/>
      <c r="L205" s="177"/>
      <c r="M205" s="177"/>
      <c r="N205" s="34"/>
      <c r="T205" s="19"/>
    </row>
    <row r="206" spans="1:20" s="87" customFormat="1" ht="15.75" customHeight="1" x14ac:dyDescent="0.35">
      <c r="A206" s="169">
        <f t="shared" si="28"/>
        <v>33</v>
      </c>
      <c r="B206" s="170"/>
      <c r="C206" s="85" t="s">
        <v>384</v>
      </c>
      <c r="D206" s="85">
        <f>(60.058)*10.764</f>
        <v>646.46431199999995</v>
      </c>
      <c r="E206" s="85">
        <v>0</v>
      </c>
      <c r="F206" s="85">
        <f t="shared" si="29"/>
        <v>646.46431199999995</v>
      </c>
      <c r="G206" s="85">
        <v>0</v>
      </c>
      <c r="H206" s="85">
        <f t="shared" si="30"/>
        <v>969.69646799999987</v>
      </c>
      <c r="I206" s="34"/>
      <c r="L206" s="177"/>
      <c r="M206" s="177"/>
      <c r="N206" s="34"/>
      <c r="T206" s="19"/>
    </row>
    <row r="207" spans="1:20" s="87" customFormat="1" ht="15.75" customHeight="1" x14ac:dyDescent="0.35">
      <c r="A207" s="169">
        <f t="shared" si="28"/>
        <v>34</v>
      </c>
      <c r="B207" s="170"/>
      <c r="C207" s="85" t="s">
        <v>384</v>
      </c>
      <c r="D207" s="85">
        <f>(34.95)*10.764</f>
        <v>376.20179999999999</v>
      </c>
      <c r="E207" s="85">
        <v>0</v>
      </c>
      <c r="F207" s="85">
        <f t="shared" si="29"/>
        <v>376.20179999999999</v>
      </c>
      <c r="G207" s="85">
        <v>0</v>
      </c>
      <c r="H207" s="85">
        <f t="shared" si="30"/>
        <v>564.30269999999996</v>
      </c>
      <c r="I207" s="34"/>
      <c r="L207" s="177"/>
      <c r="M207" s="177"/>
      <c r="N207" s="34"/>
      <c r="T207" s="19"/>
    </row>
    <row r="208" spans="1:20" s="87" customFormat="1" ht="15.75" customHeight="1" x14ac:dyDescent="0.35">
      <c r="A208" s="169">
        <f t="shared" si="28"/>
        <v>35</v>
      </c>
      <c r="B208" s="170"/>
      <c r="C208" s="85" t="s">
        <v>384</v>
      </c>
      <c r="D208" s="85">
        <f>(32.485)*10.764</f>
        <v>349.66853999999995</v>
      </c>
      <c r="E208" s="85">
        <v>0</v>
      </c>
      <c r="F208" s="85">
        <f t="shared" si="29"/>
        <v>349.66853999999995</v>
      </c>
      <c r="G208" s="85">
        <v>0</v>
      </c>
      <c r="H208" s="85">
        <f t="shared" si="30"/>
        <v>524.50280999999995</v>
      </c>
      <c r="I208" s="34">
        <f>2.95*10.35+1.5*1.2</f>
        <v>32.332500000000003</v>
      </c>
      <c r="L208" s="177"/>
      <c r="M208" s="177"/>
      <c r="N208" s="34"/>
      <c r="T208" s="19"/>
    </row>
    <row r="209" spans="1:20" s="35" customFormat="1" ht="15.75" customHeight="1" x14ac:dyDescent="0.35">
      <c r="A209" s="169">
        <f t="shared" si="28"/>
        <v>36</v>
      </c>
      <c r="B209" s="170"/>
      <c r="C209" s="85" t="s">
        <v>384</v>
      </c>
      <c r="D209" s="85">
        <f>(34.95)*10.764</f>
        <v>376.20179999999999</v>
      </c>
      <c r="E209" s="40">
        <v>0</v>
      </c>
      <c r="F209" s="59">
        <f>D209+(IF(E209&lt;201,E209,IF(E209&lt;301,E209/2,E209/3)))</f>
        <v>376.20179999999999</v>
      </c>
      <c r="G209" s="52">
        <v>0</v>
      </c>
      <c r="H209" s="59">
        <f t="shared" ref="H209:H222" si="31">(F209+(IF(G209&lt;101,G209,IF(G209&lt;201,G209/2,IF(G209&lt;=301,G209/3,G209/4)))))*(($H$169)+1)</f>
        <v>564.30269999999996</v>
      </c>
      <c r="I209" s="34"/>
      <c r="L209" s="177"/>
      <c r="M209" s="177"/>
      <c r="N209" s="34"/>
      <c r="T209" s="19"/>
    </row>
    <row r="210" spans="1:20" s="87" customFormat="1" ht="15.75" customHeight="1" x14ac:dyDescent="0.35">
      <c r="A210" s="169">
        <f t="shared" ref="A210" si="32">A209+1</f>
        <v>37</v>
      </c>
      <c r="B210" s="170"/>
      <c r="C210" s="85" t="s">
        <v>384</v>
      </c>
      <c r="D210" s="85">
        <f>(55.397)*10.764</f>
        <v>596.29330799999991</v>
      </c>
      <c r="E210" s="85">
        <v>0</v>
      </c>
      <c r="F210" s="85">
        <f>D210+(IF(E210&lt;201,E210,IF(E210&lt;301,E210/2,E210/3)))</f>
        <v>596.29330799999991</v>
      </c>
      <c r="G210" s="85">
        <v>0</v>
      </c>
      <c r="H210" s="85">
        <f t="shared" si="31"/>
        <v>894.43996199999992</v>
      </c>
      <c r="I210" s="34"/>
      <c r="L210" s="177"/>
      <c r="M210" s="177"/>
      <c r="N210" s="34"/>
      <c r="T210" s="19"/>
    </row>
    <row r="211" spans="1:20" s="87" customFormat="1" ht="15.75" customHeight="1" x14ac:dyDescent="0.35">
      <c r="A211" s="169">
        <v>38</v>
      </c>
      <c r="B211" s="170"/>
      <c r="C211" s="85" t="s">
        <v>384</v>
      </c>
      <c r="D211" s="85">
        <f>(21.168)*10.764</f>
        <v>227.85235199999997</v>
      </c>
      <c r="E211" s="85">
        <v>0</v>
      </c>
      <c r="F211" s="85">
        <f>D211+(IF(E211&lt;201,E211,IF(E211&lt;301,E211/2,E211/3)))</f>
        <v>227.85235199999997</v>
      </c>
      <c r="G211" s="60">
        <v>0</v>
      </c>
      <c r="H211" s="85">
        <f t="shared" si="31"/>
        <v>341.77852799999994</v>
      </c>
      <c r="I211" s="34">
        <f>3.15*6.1+1.5*1.2</f>
        <v>21.015000000000001</v>
      </c>
      <c r="L211" s="177"/>
      <c r="M211" s="177"/>
      <c r="N211" s="34"/>
      <c r="T211" s="33"/>
    </row>
    <row r="212" spans="1:20" s="87" customFormat="1" ht="15.75" customHeight="1" x14ac:dyDescent="0.35">
      <c r="A212" s="169">
        <f>A211+1</f>
        <v>39</v>
      </c>
      <c r="B212" s="170"/>
      <c r="C212" s="85" t="s">
        <v>384</v>
      </c>
      <c r="D212" s="85">
        <f>(21.82)*10.764</f>
        <v>234.87047999999999</v>
      </c>
      <c r="E212" s="85">
        <v>0</v>
      </c>
      <c r="F212" s="85">
        <f>D212+(IF(E212&lt;201,E212,IF(E212&lt;301,E212/2,E212/3)))</f>
        <v>234.87047999999999</v>
      </c>
      <c r="G212" s="85">
        <v>0</v>
      </c>
      <c r="H212" s="85">
        <f t="shared" si="31"/>
        <v>352.30571999999995</v>
      </c>
      <c r="I212" s="34"/>
      <c r="L212" s="177"/>
      <c r="M212" s="177"/>
      <c r="N212" s="34"/>
      <c r="T212" s="32"/>
    </row>
    <row r="213" spans="1:20" s="87" customFormat="1" ht="15.75" customHeight="1" x14ac:dyDescent="0.35">
      <c r="A213" s="169">
        <f>A212+1</f>
        <v>40</v>
      </c>
      <c r="B213" s="170"/>
      <c r="C213" s="85" t="s">
        <v>384</v>
      </c>
      <c r="D213" s="85">
        <f>(22.203)*10.764</f>
        <v>238.99309199999999</v>
      </c>
      <c r="E213" s="85">
        <v>0</v>
      </c>
      <c r="F213" s="85">
        <f>D213+(IF(E213&lt;201,E213,IF(E213&lt;301,E213/2,E213/3)))</f>
        <v>238.99309199999999</v>
      </c>
      <c r="G213" s="85">
        <v>0</v>
      </c>
      <c r="H213" s="85">
        <f t="shared" si="31"/>
        <v>358.48963800000001</v>
      </c>
      <c r="I213" s="34"/>
      <c r="L213" s="177"/>
      <c r="M213" s="177"/>
      <c r="N213" s="34"/>
      <c r="T213" s="19"/>
    </row>
    <row r="214" spans="1:20" s="87" customFormat="1" ht="15.75" customHeight="1" x14ac:dyDescent="0.35">
      <c r="A214" s="169">
        <f t="shared" ref="A214:A222" si="33">A213+1</f>
        <v>41</v>
      </c>
      <c r="B214" s="170"/>
      <c r="C214" s="85" t="s">
        <v>384</v>
      </c>
      <c r="D214" s="85">
        <f>(34.36)*10.764</f>
        <v>369.85103999999995</v>
      </c>
      <c r="E214" s="85">
        <v>0</v>
      </c>
      <c r="F214" s="85">
        <f t="shared" ref="F214:F222" si="34">D214+(IF(E214&lt;201,E214,IF(E214&lt;301,E214/2,E214/3)))</f>
        <v>369.85103999999995</v>
      </c>
      <c r="G214" s="85">
        <v>0</v>
      </c>
      <c r="H214" s="85">
        <f t="shared" si="31"/>
        <v>554.7765599999999</v>
      </c>
      <c r="I214" s="34"/>
      <c r="L214" s="177"/>
      <c r="M214" s="177"/>
      <c r="N214" s="34"/>
      <c r="T214" s="19"/>
    </row>
    <row r="215" spans="1:20" s="87" customFormat="1" ht="15.75" customHeight="1" x14ac:dyDescent="0.35">
      <c r="A215" s="169">
        <f t="shared" si="33"/>
        <v>42</v>
      </c>
      <c r="B215" s="170"/>
      <c r="C215" s="85" t="s">
        <v>384</v>
      </c>
      <c r="D215" s="85">
        <f>(23.313)*10.764</f>
        <v>250.94113199999998</v>
      </c>
      <c r="E215" s="85">
        <v>0</v>
      </c>
      <c r="F215" s="85">
        <f t="shared" si="34"/>
        <v>250.94113199999998</v>
      </c>
      <c r="G215" s="85">
        <v>0</v>
      </c>
      <c r="H215" s="85">
        <f t="shared" si="31"/>
        <v>376.411698</v>
      </c>
      <c r="I215" s="34">
        <f>3.15*6.1+1.55*1.3+1.5*1.2</f>
        <v>23.03</v>
      </c>
      <c r="L215" s="177"/>
      <c r="M215" s="177"/>
      <c r="N215" s="34"/>
      <c r="T215" s="19"/>
    </row>
    <row r="216" spans="1:20" s="87" customFormat="1" ht="15.75" customHeight="1" x14ac:dyDescent="0.35">
      <c r="A216" s="169">
        <f t="shared" si="33"/>
        <v>43</v>
      </c>
      <c r="B216" s="170"/>
      <c r="C216" s="85" t="s">
        <v>384</v>
      </c>
      <c r="D216" s="85">
        <f>(49.3)*10.764</f>
        <v>530.66519999999991</v>
      </c>
      <c r="E216" s="85">
        <v>0</v>
      </c>
      <c r="F216" s="85">
        <f t="shared" si="34"/>
        <v>530.66519999999991</v>
      </c>
      <c r="G216" s="85">
        <v>0</v>
      </c>
      <c r="H216" s="85">
        <f t="shared" si="31"/>
        <v>795.99779999999987</v>
      </c>
      <c r="I216" s="34"/>
      <c r="L216" s="177"/>
      <c r="M216" s="177"/>
      <c r="N216" s="34"/>
      <c r="T216" s="19"/>
    </row>
    <row r="217" spans="1:20" s="87" customFormat="1" ht="15.75" customHeight="1" x14ac:dyDescent="0.35">
      <c r="A217" s="169">
        <f t="shared" si="33"/>
        <v>44</v>
      </c>
      <c r="B217" s="170"/>
      <c r="C217" s="85" t="s">
        <v>384</v>
      </c>
      <c r="D217" s="85">
        <f>(35.069)*10.764</f>
        <v>377.48271599999998</v>
      </c>
      <c r="E217" s="85">
        <v>0</v>
      </c>
      <c r="F217" s="85">
        <f t="shared" si="34"/>
        <v>377.48271599999998</v>
      </c>
      <c r="G217" s="85">
        <v>0</v>
      </c>
      <c r="H217" s="85">
        <f t="shared" si="31"/>
        <v>566.22407399999997</v>
      </c>
      <c r="I217" s="34"/>
      <c r="L217" s="177"/>
      <c r="M217" s="177"/>
      <c r="N217" s="34"/>
      <c r="T217" s="19"/>
    </row>
    <row r="218" spans="1:20" s="87" customFormat="1" ht="15.75" customHeight="1" x14ac:dyDescent="0.35">
      <c r="A218" s="171">
        <f t="shared" si="33"/>
        <v>45</v>
      </c>
      <c r="B218" s="171"/>
      <c r="C218" s="115" t="s">
        <v>384</v>
      </c>
      <c r="D218" s="115">
        <f>(21.165)*10.764</f>
        <v>227.82005999999998</v>
      </c>
      <c r="E218" s="115">
        <v>0</v>
      </c>
      <c r="F218" s="115">
        <f t="shared" si="34"/>
        <v>227.82005999999998</v>
      </c>
      <c r="G218" s="115">
        <v>0</v>
      </c>
      <c r="H218" s="115">
        <f t="shared" si="31"/>
        <v>341.73008999999996</v>
      </c>
      <c r="I218" s="34"/>
      <c r="L218" s="177"/>
      <c r="M218" s="177"/>
      <c r="N218" s="34"/>
      <c r="T218" s="19"/>
    </row>
    <row r="219" spans="1:20" s="87" customFormat="1" ht="15.75" customHeight="1" x14ac:dyDescent="0.35">
      <c r="A219" s="171">
        <f t="shared" si="33"/>
        <v>46</v>
      </c>
      <c r="B219" s="171"/>
      <c r="C219" s="115" t="s">
        <v>384</v>
      </c>
      <c r="D219" s="115">
        <f>(23.31)*10.764</f>
        <v>250.90883999999997</v>
      </c>
      <c r="E219" s="115">
        <v>0</v>
      </c>
      <c r="F219" s="115">
        <f t="shared" si="34"/>
        <v>250.90883999999997</v>
      </c>
      <c r="G219" s="115">
        <v>0</v>
      </c>
      <c r="H219" s="115">
        <f t="shared" si="31"/>
        <v>376.36325999999997</v>
      </c>
      <c r="I219" s="34"/>
      <c r="L219" s="177"/>
      <c r="M219" s="177"/>
      <c r="N219" s="34"/>
      <c r="T219" s="19"/>
    </row>
    <row r="220" spans="1:20" s="87" customFormat="1" ht="15.75" customHeight="1" x14ac:dyDescent="0.35">
      <c r="A220" s="171">
        <f t="shared" si="33"/>
        <v>47</v>
      </c>
      <c r="B220" s="171"/>
      <c r="C220" s="115" t="s">
        <v>384</v>
      </c>
      <c r="D220" s="115">
        <f>(34.355)*10.764</f>
        <v>369.79721999999992</v>
      </c>
      <c r="E220" s="115">
        <v>0</v>
      </c>
      <c r="F220" s="115">
        <f t="shared" si="34"/>
        <v>369.79721999999992</v>
      </c>
      <c r="G220" s="115">
        <v>0</v>
      </c>
      <c r="H220" s="115">
        <f t="shared" si="31"/>
        <v>554.69582999999989</v>
      </c>
      <c r="I220" s="34">
        <f>6.1*4.95+1.6*1.3+1.5*1.2</f>
        <v>34.074999999999996</v>
      </c>
      <c r="L220" s="177"/>
      <c r="M220" s="177"/>
      <c r="N220" s="34"/>
      <c r="T220" s="19"/>
    </row>
    <row r="221" spans="1:20" s="87" customFormat="1" ht="15.75" customHeight="1" x14ac:dyDescent="0.35">
      <c r="A221" s="171">
        <f t="shared" si="33"/>
        <v>48</v>
      </c>
      <c r="B221" s="171"/>
      <c r="C221" s="115" t="s">
        <v>384</v>
      </c>
      <c r="D221" s="115">
        <f>(22.2)*10.764</f>
        <v>238.96079999999998</v>
      </c>
      <c r="E221" s="115">
        <v>0</v>
      </c>
      <c r="F221" s="115">
        <f t="shared" si="34"/>
        <v>238.96079999999998</v>
      </c>
      <c r="G221" s="115">
        <v>0</v>
      </c>
      <c r="H221" s="115">
        <f t="shared" si="31"/>
        <v>358.44119999999998</v>
      </c>
      <c r="I221" s="34"/>
      <c r="L221" s="177"/>
      <c r="M221" s="177"/>
      <c r="N221" s="34"/>
      <c r="T221" s="19"/>
    </row>
    <row r="222" spans="1:20" s="87" customFormat="1" ht="15.75" customHeight="1" x14ac:dyDescent="0.35">
      <c r="A222" s="171">
        <f t="shared" si="33"/>
        <v>49</v>
      </c>
      <c r="B222" s="171"/>
      <c r="C222" s="115" t="s">
        <v>384</v>
      </c>
      <c r="D222" s="115">
        <f>(21.83)*10.764</f>
        <v>234.97811999999996</v>
      </c>
      <c r="E222" s="115">
        <v>0</v>
      </c>
      <c r="F222" s="115">
        <f t="shared" si="34"/>
        <v>234.97811999999996</v>
      </c>
      <c r="G222" s="115">
        <v>0</v>
      </c>
      <c r="H222" s="115">
        <f t="shared" si="31"/>
        <v>352.46717999999993</v>
      </c>
      <c r="I222" s="34"/>
      <c r="L222" s="177"/>
      <c r="M222" s="177"/>
      <c r="N222" s="34"/>
      <c r="T222" s="19"/>
    </row>
    <row r="223" spans="1:20" s="87" customFormat="1" hidden="1" x14ac:dyDescent="0.35">
      <c r="A223" s="233" t="s">
        <v>116</v>
      </c>
      <c r="B223" s="233"/>
      <c r="C223" s="233"/>
      <c r="D223" s="233"/>
      <c r="E223" s="233"/>
      <c r="F223" s="233"/>
      <c r="G223" s="233"/>
      <c r="H223" s="233"/>
      <c r="J223" s="34"/>
      <c r="T223" s="33"/>
    </row>
    <row r="224" spans="1:20" s="87" customFormat="1" ht="15.75" hidden="1" customHeight="1" x14ac:dyDescent="0.35">
      <c r="A224" s="171">
        <v>1</v>
      </c>
      <c r="B224" s="171"/>
      <c r="C224" s="115"/>
      <c r="D224" s="115"/>
      <c r="E224" s="115">
        <v>0</v>
      </c>
      <c r="F224" s="115">
        <f>D224+(IF(E224&lt;201,E224,IF(E224&lt;301,E224/2,E224/3)))</f>
        <v>0</v>
      </c>
      <c r="G224" s="60">
        <v>0</v>
      </c>
      <c r="H224" s="115">
        <f>(F224+(IF(G224&lt;101,G224,IF(G224&lt;201,G224/2,IF(G224&lt;=301,G224/3,G224/4)))))*(($H$169)+1)</f>
        <v>0</v>
      </c>
      <c r="I224" s="34"/>
      <c r="L224" s="177"/>
      <c r="M224" s="177"/>
      <c r="N224" s="34"/>
      <c r="T224" s="33"/>
    </row>
    <row r="225" spans="1:20" s="87" customFormat="1" ht="15.75" hidden="1" customHeight="1" x14ac:dyDescent="0.35">
      <c r="A225" s="171">
        <f>A224+1</f>
        <v>2</v>
      </c>
      <c r="B225" s="171"/>
      <c r="C225" s="115"/>
      <c r="D225" s="115"/>
      <c r="E225" s="115">
        <v>0</v>
      </c>
      <c r="F225" s="115">
        <f>D225+(IF(E225&lt;201,E225,IF(E225&lt;301,E225/2,E225/3)))</f>
        <v>0</v>
      </c>
      <c r="G225" s="115">
        <v>0</v>
      </c>
      <c r="H225" s="115">
        <f>(F225+(IF(G225&lt;101,G225,IF(G225&lt;201,G225/2,IF(G225&lt;=301,G225/3,G225/4)))))*(($H$169)+1)</f>
        <v>0</v>
      </c>
      <c r="I225" s="34"/>
      <c r="L225" s="177"/>
      <c r="M225" s="177"/>
      <c r="N225" s="34"/>
      <c r="T225" s="32"/>
    </row>
    <row r="226" spans="1:20" s="87" customFormat="1" ht="15.75" hidden="1" customHeight="1" x14ac:dyDescent="0.35">
      <c r="A226" s="171">
        <f>A225+1</f>
        <v>3</v>
      </c>
      <c r="B226" s="171"/>
      <c r="C226" s="115"/>
      <c r="D226" s="115"/>
      <c r="E226" s="115">
        <v>0</v>
      </c>
      <c r="F226" s="115">
        <f>D226+(IF(E226&lt;201,E226,IF(E226&lt;301,E226/2,E226/3)))</f>
        <v>0</v>
      </c>
      <c r="G226" s="115">
        <v>0</v>
      </c>
      <c r="H226" s="115">
        <f>(F226+(IF(G226&lt;101,G226,IF(G226&lt;201,G226/2,IF(G226&lt;=301,G226/3,G226/4)))))*(($H$169)+1)</f>
        <v>0</v>
      </c>
      <c r="I226" s="34"/>
      <c r="L226" s="177"/>
      <c r="M226" s="177"/>
      <c r="N226" s="34"/>
      <c r="T226" s="19"/>
    </row>
    <row r="227" spans="1:20" s="87" customFormat="1" ht="15.75" hidden="1" customHeight="1" x14ac:dyDescent="0.35">
      <c r="A227" s="171">
        <f>A226+1</f>
        <v>4</v>
      </c>
      <c r="B227" s="171"/>
      <c r="C227" s="115"/>
      <c r="D227" s="115"/>
      <c r="E227" s="115">
        <v>0</v>
      </c>
      <c r="F227" s="115">
        <f>D227+(IF(E227&lt;201,E227,IF(E227&lt;301,E227/2,E227/3)))</f>
        <v>0</v>
      </c>
      <c r="G227" s="115">
        <v>0</v>
      </c>
      <c r="H227" s="115">
        <f>(F227+(IF(G227&lt;101,G227,IF(G227&lt;201,G227/2,IF(G227&lt;=301,G227/3,G227/4)))))*(($H$169)+1)</f>
        <v>0</v>
      </c>
      <c r="I227" s="34"/>
      <c r="L227" s="177"/>
      <c r="M227" s="177"/>
      <c r="N227" s="34"/>
      <c r="T227" s="19"/>
    </row>
    <row r="228" spans="1:20" s="35" customFormat="1" x14ac:dyDescent="0.35">
      <c r="A228" s="171"/>
      <c r="B228" s="171"/>
      <c r="C228" s="171"/>
      <c r="D228" s="171"/>
      <c r="E228" s="171"/>
      <c r="F228" s="171"/>
      <c r="G228" s="171"/>
      <c r="H228" s="171"/>
      <c r="I228" s="34"/>
      <c r="N228" s="34"/>
    </row>
    <row r="229" spans="1:20" ht="47.25" customHeight="1" x14ac:dyDescent="0.35">
      <c r="A229" s="296" t="s">
        <v>119</v>
      </c>
      <c r="B229" s="297" t="s">
        <v>416</v>
      </c>
      <c r="C229" s="297" t="s">
        <v>55</v>
      </c>
      <c r="D229" s="297" t="s">
        <v>383</v>
      </c>
      <c r="E229" s="297" t="s">
        <v>403</v>
      </c>
      <c r="F229" s="296" t="s">
        <v>56</v>
      </c>
      <c r="G229" s="298" t="s">
        <v>57</v>
      </c>
      <c r="H229" s="299" t="s">
        <v>149</v>
      </c>
      <c r="I229" s="34"/>
      <c r="T229" s="35"/>
    </row>
    <row r="230" spans="1:20" s="35" customFormat="1" x14ac:dyDescent="0.35">
      <c r="A230" s="296"/>
      <c r="B230" s="297"/>
      <c r="C230" s="297"/>
      <c r="D230" s="297"/>
      <c r="E230" s="297"/>
      <c r="F230" s="296"/>
      <c r="G230" s="298"/>
      <c r="H230" s="300">
        <v>0.5</v>
      </c>
      <c r="I230" s="34"/>
    </row>
    <row r="231" spans="1:20" s="87" customFormat="1" x14ac:dyDescent="0.35">
      <c r="A231" s="301" t="s">
        <v>389</v>
      </c>
      <c r="B231" s="301"/>
      <c r="C231" s="301"/>
      <c r="D231" s="301"/>
      <c r="E231" s="301"/>
      <c r="F231" s="301"/>
      <c r="G231" s="301"/>
      <c r="H231" s="301"/>
      <c r="J231" s="34"/>
    </row>
    <row r="232" spans="1:20" s="87" customFormat="1" x14ac:dyDescent="0.35">
      <c r="A232" s="233" t="s">
        <v>379</v>
      </c>
      <c r="B232" s="233"/>
      <c r="C232" s="233"/>
      <c r="D232" s="233"/>
      <c r="E232" s="233"/>
      <c r="F232" s="233"/>
      <c r="G232" s="233"/>
      <c r="H232" s="233"/>
      <c r="J232" s="34"/>
    </row>
    <row r="233" spans="1:20" s="87" customFormat="1" ht="15.75" customHeight="1" x14ac:dyDescent="0.35">
      <c r="A233" s="233" t="s">
        <v>380</v>
      </c>
      <c r="B233" s="233"/>
      <c r="C233" s="233"/>
      <c r="D233" s="233"/>
      <c r="E233" s="233"/>
      <c r="F233" s="233"/>
      <c r="G233" s="233"/>
      <c r="H233" s="233"/>
      <c r="J233" s="34"/>
    </row>
    <row r="234" spans="1:20" s="87" customFormat="1" x14ac:dyDescent="0.35">
      <c r="A234" s="172" t="s">
        <v>432</v>
      </c>
      <c r="B234" s="173"/>
      <c r="C234" s="173"/>
      <c r="D234" s="173"/>
      <c r="E234" s="173"/>
      <c r="F234" s="173"/>
      <c r="G234" s="173"/>
      <c r="H234" s="174"/>
      <c r="J234" s="34"/>
    </row>
    <row r="235" spans="1:20" s="35" customFormat="1" x14ac:dyDescent="0.35">
      <c r="A235" s="172" t="s">
        <v>391</v>
      </c>
      <c r="B235" s="173"/>
      <c r="C235" s="173"/>
      <c r="D235" s="173"/>
      <c r="E235" s="173"/>
      <c r="F235" s="173"/>
      <c r="G235" s="173"/>
      <c r="H235" s="174"/>
      <c r="I235" s="95">
        <v>1</v>
      </c>
      <c r="J235" s="34"/>
    </row>
    <row r="236" spans="1:20" s="35" customFormat="1" ht="15.75" customHeight="1" x14ac:dyDescent="0.35">
      <c r="A236" s="169">
        <v>1</v>
      </c>
      <c r="B236" s="170"/>
      <c r="C236" s="276" t="s">
        <v>393</v>
      </c>
      <c r="D236" s="267" t="s">
        <v>392</v>
      </c>
      <c r="E236" s="268"/>
      <c r="F236" s="268"/>
      <c r="G236" s="269"/>
      <c r="H236" s="276" t="s">
        <v>393</v>
      </c>
      <c r="I236" s="34"/>
      <c r="L236" s="177"/>
      <c r="M236" s="177"/>
      <c r="N236" s="34"/>
    </row>
    <row r="237" spans="1:20" s="35" customFormat="1" ht="15.75" customHeight="1" x14ac:dyDescent="0.35">
      <c r="A237" s="169">
        <f>A236+1</f>
        <v>2</v>
      </c>
      <c r="B237" s="170"/>
      <c r="C237" s="277"/>
      <c r="D237" s="270"/>
      <c r="E237" s="271"/>
      <c r="F237" s="271"/>
      <c r="G237" s="272"/>
      <c r="H237" s="277"/>
      <c r="I237" s="34"/>
      <c r="L237" s="177"/>
      <c r="M237" s="177"/>
      <c r="N237" s="34"/>
    </row>
    <row r="238" spans="1:20" s="35" customFormat="1" ht="15.75" customHeight="1" x14ac:dyDescent="0.35">
      <c r="A238" s="169">
        <f>A237+1</f>
        <v>3</v>
      </c>
      <c r="B238" s="170"/>
      <c r="C238" s="278"/>
      <c r="D238" s="273"/>
      <c r="E238" s="274"/>
      <c r="F238" s="274"/>
      <c r="G238" s="275"/>
      <c r="H238" s="278"/>
      <c r="I238" s="34"/>
      <c r="L238" s="177"/>
      <c r="M238" s="177"/>
      <c r="N238" s="34"/>
    </row>
    <row r="239" spans="1:20" s="35" customFormat="1" ht="15.75" customHeight="1" x14ac:dyDescent="0.35">
      <c r="A239" s="85">
        <f>A238+1</f>
        <v>4</v>
      </c>
      <c r="B239" s="85" t="s">
        <v>395</v>
      </c>
      <c r="C239" s="40" t="s">
        <v>394</v>
      </c>
      <c r="D239" s="85">
        <f>(81.798)*10.764</f>
        <v>880.47367199999997</v>
      </c>
      <c r="E239" s="85">
        <f>(4.95)*10.764</f>
        <v>53.281799999999997</v>
      </c>
      <c r="F239" s="52">
        <f>D239+E239</f>
        <v>933.75547199999994</v>
      </c>
      <c r="G239" s="52">
        <v>0</v>
      </c>
      <c r="H239" s="52">
        <f>F239*(($H$230)+1)+(IF(G239&lt;101,G239,IF(G239&lt;201,G239/2,IF(G239&lt;=301,G239/3,G239/4))))</f>
        <v>1400.633208</v>
      </c>
      <c r="I239" s="34">
        <f>3.35*6+2.1*3.5+(2.75+2.9)*3.5+3.25*3.65+1.2*(2.1+2.2)+1.25*2.6+0.95*6.85+0.5*1.2+1.05*3.65</f>
        <v>78.437499999999986</v>
      </c>
      <c r="J239" s="34">
        <f>3.35+1.65</f>
        <v>5</v>
      </c>
      <c r="L239" s="177"/>
      <c r="M239" s="177"/>
      <c r="N239" s="34"/>
      <c r="T239" s="19"/>
    </row>
    <row r="240" spans="1:20" s="87" customFormat="1" ht="15.75" customHeight="1" x14ac:dyDescent="0.35">
      <c r="A240" s="85">
        <f t="shared" ref="A240:A241" si="35">A239+1</f>
        <v>5</v>
      </c>
      <c r="B240" s="85" t="s">
        <v>395</v>
      </c>
      <c r="C240" s="85" t="s">
        <v>394</v>
      </c>
      <c r="D240" s="85">
        <f>(81.798)*10.764</f>
        <v>880.47367199999997</v>
      </c>
      <c r="E240" s="85">
        <f>(4.95)*10.764</f>
        <v>53.281799999999997</v>
      </c>
      <c r="F240" s="85">
        <f t="shared" ref="F240:F241" si="36">D240+E240</f>
        <v>933.75547199999994</v>
      </c>
      <c r="G240" s="85">
        <v>0</v>
      </c>
      <c r="H240" s="85">
        <f t="shared" ref="H240:H241" si="37">F240*(($H$230)+1)+(IF(G240&lt;101,G240,IF(G240&lt;201,G240/2,IF(G240&lt;=301,G240/3,G240/4))))</f>
        <v>1400.633208</v>
      </c>
      <c r="I240" s="34">
        <f>3.35*6+1.05*3.65+2.1*3.5+2.75*3.5+2.9*3.5+3.25*3.65+1.25*2.6+1.2*2.2+1.2*2.1+0.95*6.35</f>
        <v>77.362499999999983</v>
      </c>
      <c r="J240" s="87">
        <f>(3.35+1.8)</f>
        <v>5.15</v>
      </c>
      <c r="L240" s="177"/>
      <c r="M240" s="177"/>
      <c r="N240" s="34"/>
      <c r="T240" s="19"/>
    </row>
    <row r="241" spans="1:20" s="87" customFormat="1" ht="15.75" customHeight="1" x14ac:dyDescent="0.35">
      <c r="A241" s="85">
        <f t="shared" si="35"/>
        <v>6</v>
      </c>
      <c r="B241" s="85" t="s">
        <v>395</v>
      </c>
      <c r="C241" s="85" t="s">
        <v>394</v>
      </c>
      <c r="D241" s="85">
        <f>(81.798)*10.764</f>
        <v>880.47367199999997</v>
      </c>
      <c r="E241" s="85">
        <f>(4.95)*10.764</f>
        <v>53.281799999999997</v>
      </c>
      <c r="F241" s="85">
        <f t="shared" si="36"/>
        <v>933.75547199999994</v>
      </c>
      <c r="G241" s="85">
        <v>0</v>
      </c>
      <c r="H241" s="85">
        <f t="shared" si="37"/>
        <v>1400.633208</v>
      </c>
      <c r="I241" s="34"/>
      <c r="L241" s="177"/>
      <c r="M241" s="177"/>
      <c r="N241" s="34"/>
      <c r="T241" s="19"/>
    </row>
    <row r="242" spans="1:20" s="87" customFormat="1" x14ac:dyDescent="0.35">
      <c r="A242" s="172" t="s">
        <v>117</v>
      </c>
      <c r="B242" s="173"/>
      <c r="C242" s="173"/>
      <c r="D242" s="173"/>
      <c r="E242" s="173"/>
      <c r="F242" s="173"/>
      <c r="G242" s="173"/>
      <c r="H242" s="174"/>
      <c r="I242" s="87">
        <v>1</v>
      </c>
      <c r="J242" s="34"/>
    </row>
    <row r="243" spans="1:20" s="87" customFormat="1" ht="15.75" customHeight="1" x14ac:dyDescent="0.35">
      <c r="A243" s="85">
        <v>1</v>
      </c>
      <c r="B243" s="86" t="s">
        <v>396</v>
      </c>
      <c r="C243" s="85" t="s">
        <v>394</v>
      </c>
      <c r="D243" s="85">
        <f>(89.633)*10.764</f>
        <v>964.8096119999999</v>
      </c>
      <c r="E243" s="85">
        <f>(4.32)*10.764</f>
        <v>46.500480000000003</v>
      </c>
      <c r="F243" s="85">
        <f>D243+E243</f>
        <v>1011.3100919999999</v>
      </c>
      <c r="G243" s="85">
        <v>0</v>
      </c>
      <c r="H243" s="85">
        <f>F243*(($H$230)+1)+(IF(G243&lt;101,G243,IF(G243&lt;201,G243/2,IF(G243&lt;=301,G243/3,G243/4))))</f>
        <v>1516.965138</v>
      </c>
      <c r="I243" s="34">
        <f>3.65*6.45+2.4*3.5+2.75*3.5+3.2*(3.65+3.5)+1.2*(2.1+2.2)+1.25*2.6+1.2*0.9+5.45*0.95+1.8*3.65</f>
        <v>85.685000000000002</v>
      </c>
      <c r="J243" s="87">
        <f>1.2*3.65</f>
        <v>4.38</v>
      </c>
      <c r="L243" s="177"/>
      <c r="M243" s="177"/>
      <c r="N243" s="34"/>
    </row>
    <row r="244" spans="1:20" s="87" customFormat="1" ht="15.75" customHeight="1" x14ac:dyDescent="0.35">
      <c r="A244" s="85">
        <v>2</v>
      </c>
      <c r="B244" s="86" t="s">
        <v>396</v>
      </c>
      <c r="C244" s="85" t="s">
        <v>394</v>
      </c>
      <c r="D244" s="85">
        <f>(89.633)*10.764</f>
        <v>964.8096119999999</v>
      </c>
      <c r="E244" s="85">
        <f>(4.32)*10.764</f>
        <v>46.500480000000003</v>
      </c>
      <c r="F244" s="85">
        <f>D244+E244</f>
        <v>1011.3100919999999</v>
      </c>
      <c r="G244" s="85">
        <v>0</v>
      </c>
      <c r="H244" s="85">
        <f>F244*(($H$230)+1)+(IF(G244&lt;101,G244,IF(G244&lt;201,G244/2,IF(G244&lt;=301,G244/3,G244/4))))</f>
        <v>1516.965138</v>
      </c>
      <c r="I244" s="34"/>
      <c r="L244" s="177"/>
      <c r="M244" s="177"/>
      <c r="N244" s="34"/>
    </row>
    <row r="245" spans="1:20" s="87" customFormat="1" ht="15.75" customHeight="1" x14ac:dyDescent="0.35">
      <c r="A245" s="85">
        <v>3</v>
      </c>
      <c r="B245" s="86" t="s">
        <v>396</v>
      </c>
      <c r="C245" s="85" t="s">
        <v>398</v>
      </c>
      <c r="D245" s="85">
        <f>(66.815)*10.764</f>
        <v>719.19665999999995</v>
      </c>
      <c r="E245" s="85">
        <f>(3.96)*10.764</f>
        <v>42.625439999999998</v>
      </c>
      <c r="F245" s="85">
        <f>D245+E245</f>
        <v>761.82209999999998</v>
      </c>
      <c r="G245" s="85">
        <v>0</v>
      </c>
      <c r="H245" s="85">
        <f>F245*(($H$230)+1)+(IF(G245&lt;101,G245,IF(G245&lt;201,G245/2,IF(G245&lt;=301,G245/3,G245/4))))</f>
        <v>1142.73315</v>
      </c>
      <c r="I245" s="110">
        <f>1430/F245</f>
        <v>1.8770786513019246</v>
      </c>
      <c r="L245" s="177"/>
      <c r="M245" s="177"/>
      <c r="N245" s="34"/>
    </row>
    <row r="246" spans="1:20" s="87" customFormat="1" ht="15.75" customHeight="1" x14ac:dyDescent="0.35">
      <c r="A246" s="85">
        <v>4</v>
      </c>
      <c r="B246" s="85" t="s">
        <v>395</v>
      </c>
      <c r="C246" s="85" t="s">
        <v>394</v>
      </c>
      <c r="D246" s="85">
        <f>(81.798)*10.764</f>
        <v>880.47367199999997</v>
      </c>
      <c r="E246" s="85">
        <f>(4.95)*10.764</f>
        <v>53.281799999999997</v>
      </c>
      <c r="F246" s="85">
        <f>D246+E246</f>
        <v>933.75547199999994</v>
      </c>
      <c r="G246" s="85">
        <v>0</v>
      </c>
      <c r="H246" s="85">
        <f>F246*(($H$230)+1)+(IF(G246&lt;101,G246,IF(G246&lt;201,G246/2,IF(G246&lt;=301,G246/3,G246/4))))</f>
        <v>1400.633208</v>
      </c>
      <c r="I246" s="34"/>
      <c r="L246" s="177"/>
      <c r="M246" s="177"/>
      <c r="N246" s="34"/>
      <c r="T246" s="19"/>
    </row>
    <row r="247" spans="1:20" s="87" customFormat="1" ht="15.75" customHeight="1" x14ac:dyDescent="0.35">
      <c r="A247" s="85">
        <v>5</v>
      </c>
      <c r="B247" s="85" t="s">
        <v>395</v>
      </c>
      <c r="C247" s="85" t="s">
        <v>394</v>
      </c>
      <c r="D247" s="85">
        <f>(81.798)*10.764</f>
        <v>880.47367199999997</v>
      </c>
      <c r="E247" s="85">
        <f>(4.95)*10.764</f>
        <v>53.281799999999997</v>
      </c>
      <c r="F247" s="85">
        <f t="shared" ref="F247:F248" si="38">D247+E247</f>
        <v>933.75547199999994</v>
      </c>
      <c r="G247" s="85">
        <v>0</v>
      </c>
      <c r="H247" s="85">
        <f t="shared" ref="H247:H248" si="39">F247*(($H$230)+1)+(IF(G247&lt;101,G247,IF(G247&lt;201,G247/2,IF(G247&lt;=301,G247/3,G247/4))))</f>
        <v>1400.633208</v>
      </c>
      <c r="I247" s="34"/>
      <c r="L247" s="177"/>
      <c r="M247" s="177"/>
      <c r="N247" s="34"/>
      <c r="T247" s="19"/>
    </row>
    <row r="248" spans="1:20" s="87" customFormat="1" ht="15.75" customHeight="1" x14ac:dyDescent="0.35">
      <c r="A248" s="85">
        <v>6</v>
      </c>
      <c r="B248" s="85" t="s">
        <v>395</v>
      </c>
      <c r="C248" s="85" t="s">
        <v>394</v>
      </c>
      <c r="D248" s="85">
        <f>(81.798)*10.764</f>
        <v>880.47367199999997</v>
      </c>
      <c r="E248" s="85">
        <f>(4.95)*10.764</f>
        <v>53.281799999999997</v>
      </c>
      <c r="F248" s="85">
        <f t="shared" si="38"/>
        <v>933.75547199999994</v>
      </c>
      <c r="G248" s="85">
        <v>0</v>
      </c>
      <c r="H248" s="85">
        <f t="shared" si="39"/>
        <v>1400.633208</v>
      </c>
      <c r="I248" s="34"/>
      <c r="L248" s="177"/>
      <c r="M248" s="177"/>
      <c r="N248" s="34"/>
      <c r="T248" s="19"/>
    </row>
    <row r="249" spans="1:20" s="87" customFormat="1" x14ac:dyDescent="0.35">
      <c r="A249" s="172" t="s">
        <v>397</v>
      </c>
      <c r="B249" s="173"/>
      <c r="C249" s="173"/>
      <c r="D249" s="173"/>
      <c r="E249" s="173"/>
      <c r="F249" s="173"/>
      <c r="G249" s="173"/>
      <c r="H249" s="174"/>
      <c r="I249" s="87">
        <f>4+4</f>
        <v>8</v>
      </c>
      <c r="J249" s="34"/>
    </row>
    <row r="250" spans="1:20" s="87" customFormat="1" ht="15.75" customHeight="1" x14ac:dyDescent="0.35">
      <c r="A250" s="85">
        <v>1</v>
      </c>
      <c r="B250" s="86" t="s">
        <v>396</v>
      </c>
      <c r="C250" s="85" t="s">
        <v>394</v>
      </c>
      <c r="D250" s="85">
        <f>(89.633)*10.764</f>
        <v>964.8096119999999</v>
      </c>
      <c r="E250" s="85">
        <f>(4.32)*10.764</f>
        <v>46.500480000000003</v>
      </c>
      <c r="F250" s="85">
        <f>D250+E250</f>
        <v>1011.3100919999999</v>
      </c>
      <c r="G250" s="85">
        <v>0</v>
      </c>
      <c r="H250" s="85">
        <f>F250*(($H$230)+1)+(IF(G250&lt;101,G250,IF(G250&lt;201,G250/2,IF(G250&lt;=301,G250/3,G250/4))))</f>
        <v>1516.965138</v>
      </c>
      <c r="I250" s="110">
        <f>1890/F250</f>
        <v>1.8688629876740122</v>
      </c>
      <c r="L250" s="177"/>
      <c r="M250" s="177"/>
      <c r="N250" s="34"/>
    </row>
    <row r="251" spans="1:20" s="87" customFormat="1" ht="15.75" customHeight="1" x14ac:dyDescent="0.35">
      <c r="A251" s="85">
        <v>2</v>
      </c>
      <c r="B251" s="86" t="s">
        <v>396</v>
      </c>
      <c r="C251" s="85" t="s">
        <v>394</v>
      </c>
      <c r="D251" s="85">
        <f>(89.633)*10.764</f>
        <v>964.8096119999999</v>
      </c>
      <c r="E251" s="85">
        <f>(4.32)*10.764</f>
        <v>46.500480000000003</v>
      </c>
      <c r="F251" s="85">
        <f>D251+E251</f>
        <v>1011.3100919999999</v>
      </c>
      <c r="G251" s="85">
        <v>0</v>
      </c>
      <c r="H251" s="85">
        <f>F251*(($H$230)+1)+(IF(G251&lt;101,G251,IF(G251&lt;201,G251/2,IF(G251&lt;=301,G251/3,G251/4))))</f>
        <v>1516.965138</v>
      </c>
      <c r="I251" s="34"/>
      <c r="L251" s="177"/>
      <c r="M251" s="177"/>
      <c r="N251" s="34"/>
    </row>
    <row r="252" spans="1:20" s="87" customFormat="1" ht="15.75" customHeight="1" x14ac:dyDescent="0.35">
      <c r="A252" s="85">
        <v>3</v>
      </c>
      <c r="B252" s="86" t="s">
        <v>396</v>
      </c>
      <c r="C252" s="85" t="s">
        <v>398</v>
      </c>
      <c r="D252" s="85">
        <f>(66.815)*10.764</f>
        <v>719.19665999999995</v>
      </c>
      <c r="E252" s="85">
        <f>(3.96)*10.764</f>
        <v>42.625439999999998</v>
      </c>
      <c r="F252" s="85">
        <f>D252+E252</f>
        <v>761.82209999999998</v>
      </c>
      <c r="G252" s="85">
        <v>0</v>
      </c>
      <c r="H252" s="85">
        <f>F252*(($H$230)+1)+(IF(G252&lt;101,G252,IF(G252&lt;201,G252/2,IF(G252&lt;=301,G252/3,G252/4))))</f>
        <v>1142.73315</v>
      </c>
      <c r="I252" s="34"/>
      <c r="L252" s="177"/>
      <c r="M252" s="177"/>
      <c r="N252" s="34"/>
    </row>
    <row r="253" spans="1:20" s="87" customFormat="1" ht="15.75" customHeight="1" x14ac:dyDescent="0.35">
      <c r="A253" s="85">
        <v>4</v>
      </c>
      <c r="B253" s="85" t="s">
        <v>395</v>
      </c>
      <c r="C253" s="85" t="s">
        <v>394</v>
      </c>
      <c r="D253" s="85">
        <f>(81.798)*10.764</f>
        <v>880.47367199999997</v>
      </c>
      <c r="E253" s="85">
        <f>(4.95)*10.764</f>
        <v>53.281799999999997</v>
      </c>
      <c r="F253" s="85">
        <f>D253+E253</f>
        <v>933.75547199999994</v>
      </c>
      <c r="G253" s="85">
        <v>0</v>
      </c>
      <c r="H253" s="85">
        <f>F253*(($H$230)+1)+(IF(G253&lt;101,G253,IF(G253&lt;201,G253/2,IF(G253&lt;=301,G253/3,G253/4))))</f>
        <v>1400.633208</v>
      </c>
      <c r="I253" s="34"/>
      <c r="L253" s="177"/>
      <c r="M253" s="177"/>
      <c r="N253" s="34"/>
      <c r="T253" s="19"/>
    </row>
    <row r="254" spans="1:20" s="87" customFormat="1" ht="15.75" customHeight="1" x14ac:dyDescent="0.35">
      <c r="A254" s="85">
        <v>5</v>
      </c>
      <c r="B254" s="85" t="s">
        <v>395</v>
      </c>
      <c r="C254" s="85" t="s">
        <v>394</v>
      </c>
      <c r="D254" s="85">
        <f>(81.798)*10.764</f>
        <v>880.47367199999997</v>
      </c>
      <c r="E254" s="85">
        <f>(4.95)*10.764</f>
        <v>53.281799999999997</v>
      </c>
      <c r="F254" s="85">
        <f t="shared" ref="F254:F255" si="40">D254+E254</f>
        <v>933.75547199999994</v>
      </c>
      <c r="G254" s="85">
        <v>0</v>
      </c>
      <c r="H254" s="85">
        <f t="shared" ref="H254:H255" si="41">F254*(($H$230)+1)+(IF(G254&lt;101,G254,IF(G254&lt;201,G254/2,IF(G254&lt;=301,G254/3,G254/4))))</f>
        <v>1400.633208</v>
      </c>
      <c r="I254" s="34"/>
      <c r="L254" s="177"/>
      <c r="M254" s="177"/>
      <c r="N254" s="34"/>
      <c r="T254" s="19"/>
    </row>
    <row r="255" spans="1:20" s="87" customFormat="1" ht="15.75" customHeight="1" x14ac:dyDescent="0.35">
      <c r="A255" s="85">
        <v>6</v>
      </c>
      <c r="B255" s="85" t="s">
        <v>395</v>
      </c>
      <c r="C255" s="85" t="s">
        <v>394</v>
      </c>
      <c r="D255" s="85">
        <f>(81.798)*10.764</f>
        <v>880.47367199999997</v>
      </c>
      <c r="E255" s="85">
        <f>(4.95)*10.764</f>
        <v>53.281799999999997</v>
      </c>
      <c r="F255" s="85">
        <f t="shared" si="40"/>
        <v>933.75547199999994</v>
      </c>
      <c r="G255" s="85">
        <v>0</v>
      </c>
      <c r="H255" s="85">
        <f t="shared" si="41"/>
        <v>1400.633208</v>
      </c>
      <c r="I255" s="34"/>
      <c r="L255" s="177"/>
      <c r="M255" s="177"/>
      <c r="N255" s="34"/>
      <c r="T255" s="19"/>
    </row>
    <row r="256" spans="1:20" s="87" customFormat="1" x14ac:dyDescent="0.35">
      <c r="A256" s="172" t="s">
        <v>400</v>
      </c>
      <c r="B256" s="173"/>
      <c r="C256" s="173"/>
      <c r="D256" s="173"/>
      <c r="E256" s="173"/>
      <c r="F256" s="173"/>
      <c r="G256" s="173"/>
      <c r="H256" s="174"/>
      <c r="I256" s="87">
        <v>2</v>
      </c>
      <c r="J256" s="34"/>
    </row>
    <row r="257" spans="1:20" s="87" customFormat="1" ht="15.75" customHeight="1" x14ac:dyDescent="0.35">
      <c r="A257" s="85">
        <v>1</v>
      </c>
      <c r="B257" s="86" t="s">
        <v>396</v>
      </c>
      <c r="C257" s="85" t="s">
        <v>394</v>
      </c>
      <c r="D257" s="106">
        <f>(89.633)*10.764</f>
        <v>964.8096119999999</v>
      </c>
      <c r="E257" s="106">
        <f>(4.32)*10.764</f>
        <v>46.500480000000003</v>
      </c>
      <c r="F257" s="85">
        <f>D257+E257</f>
        <v>1011.3100919999999</v>
      </c>
      <c r="G257" s="85">
        <v>0</v>
      </c>
      <c r="H257" s="85">
        <f>F257*(($H$230)+1)+(IF(G257&lt;101,G257,IF(G257&lt;201,G257/2,IF(G257&lt;=301,G257/3,G257/4))))</f>
        <v>1516.965138</v>
      </c>
      <c r="I257" s="34"/>
      <c r="L257" s="177"/>
      <c r="M257" s="177"/>
      <c r="N257" s="34"/>
    </row>
    <row r="258" spans="1:20" s="87" customFormat="1" ht="15.75" customHeight="1" x14ac:dyDescent="0.35">
      <c r="A258" s="85">
        <v>2</v>
      </c>
      <c r="B258" s="86" t="s">
        <v>396</v>
      </c>
      <c r="C258" s="85" t="s">
        <v>394</v>
      </c>
      <c r="D258" s="106">
        <f>(89.633)*10.764</f>
        <v>964.8096119999999</v>
      </c>
      <c r="E258" s="106">
        <f>(4.32)*10.764</f>
        <v>46.500480000000003</v>
      </c>
      <c r="F258" s="85">
        <f>D258+E258</f>
        <v>1011.3100919999999</v>
      </c>
      <c r="G258" s="85">
        <v>0</v>
      </c>
      <c r="H258" s="85">
        <f>F258*(($H$230)+1)+(IF(G258&lt;101,G258,IF(G258&lt;201,G258/2,IF(G258&lt;=301,G258/3,G258/4))))</f>
        <v>1516.965138</v>
      </c>
      <c r="I258" s="34"/>
      <c r="L258" s="177"/>
      <c r="M258" s="177"/>
      <c r="N258" s="34"/>
    </row>
    <row r="259" spans="1:20" s="87" customFormat="1" ht="15.75" customHeight="1" x14ac:dyDescent="0.35">
      <c r="A259" s="85">
        <v>3</v>
      </c>
      <c r="B259" s="85" t="s">
        <v>393</v>
      </c>
      <c r="C259" s="85" t="s">
        <v>393</v>
      </c>
      <c r="D259" s="169" t="s">
        <v>399</v>
      </c>
      <c r="E259" s="237"/>
      <c r="F259" s="237"/>
      <c r="G259" s="170"/>
      <c r="H259" s="85" t="s">
        <v>393</v>
      </c>
      <c r="I259" s="34"/>
      <c r="L259" s="177"/>
      <c r="M259" s="177"/>
      <c r="N259" s="34"/>
    </row>
    <row r="260" spans="1:20" s="87" customFormat="1" ht="15.75" customHeight="1" x14ac:dyDescent="0.35">
      <c r="A260" s="85">
        <v>4</v>
      </c>
      <c r="B260" s="85" t="s">
        <v>395</v>
      </c>
      <c r="C260" s="85" t="s">
        <v>394</v>
      </c>
      <c r="D260" s="85">
        <f>(81.798)*10.764</f>
        <v>880.47367199999997</v>
      </c>
      <c r="E260" s="85">
        <f>(4.95)*10.764</f>
        <v>53.281799999999997</v>
      </c>
      <c r="F260" s="85">
        <f>D260+E260</f>
        <v>933.75547199999994</v>
      </c>
      <c r="G260" s="85">
        <v>0</v>
      </c>
      <c r="H260" s="85">
        <f>F260*(($H$230)+1)+(IF(G260&lt;101,G260,IF(G260&lt;201,G260/2,IF(G260&lt;=301,G260/3,G260/4))))</f>
        <v>1400.633208</v>
      </c>
      <c r="I260" s="34"/>
      <c r="L260" s="177"/>
      <c r="M260" s="177"/>
      <c r="N260" s="34"/>
      <c r="T260" s="19"/>
    </row>
    <row r="261" spans="1:20" s="87" customFormat="1" ht="15.75" customHeight="1" x14ac:dyDescent="0.35">
      <c r="A261" s="85">
        <v>5</v>
      </c>
      <c r="B261" s="85" t="s">
        <v>395</v>
      </c>
      <c r="C261" s="85" t="s">
        <v>394</v>
      </c>
      <c r="D261" s="85">
        <f>(81.798)*10.764</f>
        <v>880.47367199999997</v>
      </c>
      <c r="E261" s="85">
        <f>(4.95)*10.764</f>
        <v>53.281799999999997</v>
      </c>
      <c r="F261" s="85">
        <f t="shared" ref="F261:F262" si="42">D261+E261</f>
        <v>933.75547199999994</v>
      </c>
      <c r="G261" s="85">
        <v>0</v>
      </c>
      <c r="H261" s="85">
        <f t="shared" ref="H261:H262" si="43">F261*(($H$230)+1)+(IF(G261&lt;101,G261,IF(G261&lt;201,G261/2,IF(G261&lt;=301,G261/3,G261/4))))</f>
        <v>1400.633208</v>
      </c>
      <c r="I261" s="34"/>
      <c r="L261" s="177"/>
      <c r="M261" s="177"/>
      <c r="N261" s="34"/>
      <c r="T261" s="19"/>
    </row>
    <row r="262" spans="1:20" s="87" customFormat="1" ht="15.75" customHeight="1" x14ac:dyDescent="0.35">
      <c r="A262" s="85">
        <v>6</v>
      </c>
      <c r="B262" s="85" t="s">
        <v>395</v>
      </c>
      <c r="C262" s="85" t="s">
        <v>394</v>
      </c>
      <c r="D262" s="85">
        <f>(81.798)*10.764</f>
        <v>880.47367199999997</v>
      </c>
      <c r="E262" s="85">
        <f>(4.95)*10.764</f>
        <v>53.281799999999997</v>
      </c>
      <c r="F262" s="85">
        <f t="shared" si="42"/>
        <v>933.75547199999994</v>
      </c>
      <c r="G262" s="85">
        <v>0</v>
      </c>
      <c r="H262" s="85">
        <f t="shared" si="43"/>
        <v>1400.633208</v>
      </c>
      <c r="I262" s="34"/>
      <c r="L262" s="177"/>
      <c r="M262" s="177"/>
      <c r="N262" s="34"/>
      <c r="T262" s="19"/>
    </row>
    <row r="263" spans="1:20" s="87" customFormat="1" x14ac:dyDescent="0.35">
      <c r="A263" s="233" t="s">
        <v>401</v>
      </c>
      <c r="B263" s="233"/>
      <c r="C263" s="233"/>
      <c r="D263" s="233"/>
      <c r="E263" s="233"/>
      <c r="F263" s="233"/>
      <c r="G263" s="233"/>
      <c r="H263" s="233"/>
      <c r="I263" s="87">
        <v>10000</v>
      </c>
      <c r="J263" s="34"/>
    </row>
    <row r="264" spans="1:20" s="87" customFormat="1" ht="15.75" customHeight="1" x14ac:dyDescent="0.35">
      <c r="A264" s="115">
        <v>1</v>
      </c>
      <c r="B264" s="116" t="s">
        <v>396</v>
      </c>
      <c r="C264" s="115" t="s">
        <v>394</v>
      </c>
      <c r="D264" s="115">
        <f>(89.633)*10.764</f>
        <v>964.8096119999999</v>
      </c>
      <c r="E264" s="115">
        <f>(4.32)*10.764</f>
        <v>46.500480000000003</v>
      </c>
      <c r="F264" s="115">
        <f>D264+E264</f>
        <v>1011.3100919999999</v>
      </c>
      <c r="G264" s="115">
        <v>0</v>
      </c>
      <c r="H264" s="115">
        <f>F264*(($H$230)+1)+(IF(G264&lt;101,G264,IF(G264&lt;201,G264/2,IF(G264&lt;=301,G264/3,G264/4))))</f>
        <v>1516.965138</v>
      </c>
      <c r="I264" s="34">
        <f>I$263*H264</f>
        <v>15169651.380000001</v>
      </c>
      <c r="L264" s="177"/>
      <c r="M264" s="177"/>
      <c r="N264" s="34"/>
    </row>
    <row r="265" spans="1:20" s="87" customFormat="1" ht="15.75" customHeight="1" x14ac:dyDescent="0.35">
      <c r="A265" s="115">
        <f>A264+1</f>
        <v>2</v>
      </c>
      <c r="B265" s="116" t="s">
        <v>396</v>
      </c>
      <c r="C265" s="115" t="s">
        <v>394</v>
      </c>
      <c r="D265" s="115">
        <f>(89.633)*10.764</f>
        <v>964.8096119999999</v>
      </c>
      <c r="E265" s="115">
        <f>(4.32)*10.764</f>
        <v>46.500480000000003</v>
      </c>
      <c r="F265" s="115">
        <f>D265+E265</f>
        <v>1011.3100919999999</v>
      </c>
      <c r="G265" s="115">
        <v>0</v>
      </c>
      <c r="H265" s="115">
        <f>F265*(($H$230)+1)+(IF(G265&lt;101,G265,IF(G265&lt;201,G265/2,IF(G265&lt;=301,G265/3,G265/4))))</f>
        <v>1516.965138</v>
      </c>
      <c r="I265" s="34">
        <f t="shared" ref="I265:I269" si="44">I$263*H265</f>
        <v>15169651.380000001</v>
      </c>
      <c r="L265" s="177"/>
      <c r="M265" s="177"/>
      <c r="N265" s="34"/>
    </row>
    <row r="266" spans="1:20" s="87" customFormat="1" ht="15.75" customHeight="1" x14ac:dyDescent="0.35">
      <c r="A266" s="115">
        <f t="shared" ref="A266:A269" si="45">A265+1</f>
        <v>3</v>
      </c>
      <c r="B266" s="116" t="s">
        <v>396</v>
      </c>
      <c r="C266" s="115" t="s">
        <v>398</v>
      </c>
      <c r="D266" s="115">
        <f>(66.815)*10.764</f>
        <v>719.19665999999995</v>
      </c>
      <c r="E266" s="115">
        <f>(3.96)*10.764</f>
        <v>42.625439999999998</v>
      </c>
      <c r="F266" s="115">
        <f>D266+E266</f>
        <v>761.82209999999998</v>
      </c>
      <c r="G266" s="115">
        <v>0</v>
      </c>
      <c r="H266" s="115">
        <f>F266*(($H$230)+1)+(IF(G266&lt;101,G266,IF(G266&lt;201,G266/2,IF(G266&lt;=301,G266/3,G266/4))))</f>
        <v>1142.73315</v>
      </c>
      <c r="I266" s="34">
        <f t="shared" si="44"/>
        <v>11427331.5</v>
      </c>
      <c r="J266" s="34">
        <f>I266+500000</f>
        <v>11927331.5</v>
      </c>
      <c r="L266" s="177"/>
      <c r="M266" s="177"/>
      <c r="N266" s="34"/>
    </row>
    <row r="267" spans="1:20" s="87" customFormat="1" ht="15.75" customHeight="1" x14ac:dyDescent="0.35">
      <c r="A267" s="115">
        <f t="shared" si="45"/>
        <v>4</v>
      </c>
      <c r="B267" s="116" t="s">
        <v>396</v>
      </c>
      <c r="C267" s="115" t="s">
        <v>394</v>
      </c>
      <c r="D267" s="115">
        <f>(81.798)*10.764</f>
        <v>880.47367199999997</v>
      </c>
      <c r="E267" s="115">
        <f>(4.95)*10.764</f>
        <v>53.281799999999997</v>
      </c>
      <c r="F267" s="115">
        <f>D267+E267</f>
        <v>933.75547199999994</v>
      </c>
      <c r="G267" s="115">
        <v>0</v>
      </c>
      <c r="H267" s="115">
        <f>F267*(($H$230)+1)+(IF(G267&lt;101,G267,IF(G267&lt;201,G267/2,IF(G267&lt;=301,G267/3,G267/4))))</f>
        <v>1400.633208</v>
      </c>
      <c r="I267" s="34">
        <f t="shared" si="44"/>
        <v>14006332.08</v>
      </c>
      <c r="L267" s="177"/>
      <c r="M267" s="177"/>
      <c r="N267" s="34"/>
      <c r="T267" s="19"/>
    </row>
    <row r="268" spans="1:20" s="87" customFormat="1" ht="15.75" customHeight="1" x14ac:dyDescent="0.35">
      <c r="A268" s="115">
        <f t="shared" si="45"/>
        <v>5</v>
      </c>
      <c r="B268" s="115" t="s">
        <v>395</v>
      </c>
      <c r="C268" s="115" t="s">
        <v>394</v>
      </c>
      <c r="D268" s="115">
        <f>(81.798)*10.764</f>
        <v>880.47367199999997</v>
      </c>
      <c r="E268" s="115">
        <f>(4.95)*10.764</f>
        <v>53.281799999999997</v>
      </c>
      <c r="F268" s="115">
        <f t="shared" ref="F268:F269" si="46">D268+E268</f>
        <v>933.75547199999994</v>
      </c>
      <c r="G268" s="115">
        <v>0</v>
      </c>
      <c r="H268" s="115">
        <f t="shared" ref="H268:H269" si="47">F268*(($H$230)+1)+(IF(G268&lt;101,G268,IF(G268&lt;201,G268/2,IF(G268&lt;=301,G268/3,G268/4))))</f>
        <v>1400.633208</v>
      </c>
      <c r="I268" s="34">
        <f t="shared" si="44"/>
        <v>14006332.08</v>
      </c>
      <c r="L268" s="177"/>
      <c r="M268" s="177"/>
      <c r="N268" s="34"/>
      <c r="T268" s="19"/>
    </row>
    <row r="269" spans="1:20" s="87" customFormat="1" ht="15.75" customHeight="1" x14ac:dyDescent="0.35">
      <c r="A269" s="115">
        <f t="shared" si="45"/>
        <v>6</v>
      </c>
      <c r="B269" s="115" t="s">
        <v>395</v>
      </c>
      <c r="C269" s="115" t="s">
        <v>394</v>
      </c>
      <c r="D269" s="115">
        <f>(81.798)*10.764</f>
        <v>880.47367199999997</v>
      </c>
      <c r="E269" s="115">
        <f>(4.95)*10.764</f>
        <v>53.281799999999997</v>
      </c>
      <c r="F269" s="115">
        <f t="shared" si="46"/>
        <v>933.75547199999994</v>
      </c>
      <c r="G269" s="115">
        <v>0</v>
      </c>
      <c r="H269" s="115">
        <f t="shared" si="47"/>
        <v>1400.633208</v>
      </c>
      <c r="I269" s="34">
        <f t="shared" si="44"/>
        <v>14006332.08</v>
      </c>
      <c r="L269" s="177"/>
      <c r="M269" s="177"/>
      <c r="N269" s="34"/>
      <c r="T269" s="19"/>
    </row>
    <row r="270" spans="1:20" s="87" customFormat="1" x14ac:dyDescent="0.35">
      <c r="A270" s="233" t="s">
        <v>402</v>
      </c>
      <c r="B270" s="233"/>
      <c r="C270" s="233"/>
      <c r="D270" s="233"/>
      <c r="E270" s="233"/>
      <c r="F270" s="233"/>
      <c r="G270" s="233"/>
      <c r="H270" s="233"/>
      <c r="I270" s="87">
        <v>1</v>
      </c>
      <c r="J270" s="34"/>
    </row>
    <row r="271" spans="1:20" s="87" customFormat="1" ht="15.75" customHeight="1" x14ac:dyDescent="0.35">
      <c r="A271" s="115">
        <v>1</v>
      </c>
      <c r="B271" s="116" t="s">
        <v>396</v>
      </c>
      <c r="C271" s="115" t="s">
        <v>394</v>
      </c>
      <c r="D271" s="115">
        <f>(89.633)*10.764</f>
        <v>964.8096119999999</v>
      </c>
      <c r="E271" s="115">
        <f>(4.32)*10.764</f>
        <v>46.500480000000003</v>
      </c>
      <c r="F271" s="115">
        <f>D271+E271</f>
        <v>1011.3100919999999</v>
      </c>
      <c r="G271" s="115">
        <v>0</v>
      </c>
      <c r="H271" s="115">
        <f>F271*(($H$230)+1)+(IF(G271&lt;101,G271,IF(G271&lt;201,G271/2,IF(G271&lt;=301,G271/3,G271/4))))</f>
        <v>1516.965138</v>
      </c>
      <c r="I271" s="34"/>
      <c r="L271" s="177"/>
      <c r="M271" s="177"/>
      <c r="N271" s="34"/>
    </row>
    <row r="272" spans="1:20" s="87" customFormat="1" ht="15.75" customHeight="1" x14ac:dyDescent="0.35">
      <c r="A272" s="85">
        <f>A271+1</f>
        <v>2</v>
      </c>
      <c r="B272" s="86" t="s">
        <v>396</v>
      </c>
      <c r="C272" s="85" t="s">
        <v>394</v>
      </c>
      <c r="D272" s="85">
        <f>(89.633)*10.764</f>
        <v>964.8096119999999</v>
      </c>
      <c r="E272" s="85">
        <f>(4.32)*10.764</f>
        <v>46.500480000000003</v>
      </c>
      <c r="F272" s="85">
        <f>D272+E272</f>
        <v>1011.3100919999999</v>
      </c>
      <c r="G272" s="85">
        <v>0</v>
      </c>
      <c r="H272" s="85">
        <f>F272*(($H$230)+1)+(IF(G272&lt;101,G272,IF(G272&lt;201,G272/2,IF(G272&lt;=301,G272/3,G272/4))))</f>
        <v>1516.965138</v>
      </c>
      <c r="I272" s="34"/>
      <c r="L272" s="177"/>
      <c r="M272" s="177"/>
      <c r="N272" s="34"/>
    </row>
    <row r="273" spans="1:20" s="87" customFormat="1" ht="15.75" customHeight="1" x14ac:dyDescent="0.35">
      <c r="A273" s="85">
        <f t="shared" ref="A273:A276" si="48">A272+1</f>
        <v>3</v>
      </c>
      <c r="B273" s="86" t="s">
        <v>396</v>
      </c>
      <c r="C273" s="85" t="s">
        <v>398</v>
      </c>
      <c r="D273" s="85">
        <f>(66.815)*10.764</f>
        <v>719.19665999999995</v>
      </c>
      <c r="E273" s="85">
        <f>(3.96)*10.764</f>
        <v>42.625439999999998</v>
      </c>
      <c r="F273" s="85">
        <f>D273+E273</f>
        <v>761.82209999999998</v>
      </c>
      <c r="G273" s="85">
        <v>0</v>
      </c>
      <c r="H273" s="85">
        <f>F273*(($H$230)+1)+(IF(G273&lt;101,G273,IF(G273&lt;201,G273/2,IF(G273&lt;=301,G273/3,G273/4))))</f>
        <v>1142.73315</v>
      </c>
      <c r="I273" s="34"/>
      <c r="L273" s="177"/>
      <c r="M273" s="177"/>
      <c r="N273" s="34"/>
    </row>
    <row r="274" spans="1:20" s="87" customFormat="1" ht="15.75" customHeight="1" x14ac:dyDescent="0.35">
      <c r="A274" s="85">
        <f t="shared" si="48"/>
        <v>4</v>
      </c>
      <c r="B274" s="86" t="s">
        <v>396</v>
      </c>
      <c r="C274" s="85" t="s">
        <v>394</v>
      </c>
      <c r="D274" s="85">
        <f>(81.798)*10.764</f>
        <v>880.47367199999997</v>
      </c>
      <c r="E274" s="85">
        <f>(4.95)*10.764</f>
        <v>53.281799999999997</v>
      </c>
      <c r="F274" s="85">
        <f>D274+E274</f>
        <v>933.75547199999994</v>
      </c>
      <c r="G274" s="85">
        <v>0</v>
      </c>
      <c r="H274" s="85">
        <f>F274*(($H$230)+1)+(IF(G274&lt;101,G274,IF(G274&lt;201,G274/2,IF(G274&lt;=301,G274/3,G274/4))))</f>
        <v>1400.633208</v>
      </c>
      <c r="I274" s="34"/>
      <c r="L274" s="177"/>
      <c r="M274" s="177"/>
      <c r="N274" s="34"/>
      <c r="T274" s="19"/>
    </row>
    <row r="275" spans="1:20" s="87" customFormat="1" ht="15.75" customHeight="1" x14ac:dyDescent="0.35">
      <c r="A275" s="85">
        <f t="shared" si="48"/>
        <v>5</v>
      </c>
      <c r="B275" s="85" t="s">
        <v>395</v>
      </c>
      <c r="C275" s="85" t="s">
        <v>394</v>
      </c>
      <c r="D275" s="85">
        <f>(81.798)*10.764</f>
        <v>880.47367199999997</v>
      </c>
      <c r="E275" s="85">
        <f>(4.95)*10.764</f>
        <v>53.281799999999997</v>
      </c>
      <c r="F275" s="85">
        <f t="shared" ref="F275:F276" si="49">D275+E275</f>
        <v>933.75547199999994</v>
      </c>
      <c r="G275" s="85">
        <v>0</v>
      </c>
      <c r="H275" s="85">
        <f t="shared" ref="H275:H276" si="50">F275*(($H$230)+1)+(IF(G275&lt;101,G275,IF(G275&lt;201,G275/2,IF(G275&lt;=301,G275/3,G275/4))))</f>
        <v>1400.633208</v>
      </c>
      <c r="I275" s="34"/>
      <c r="L275" s="177"/>
      <c r="M275" s="177"/>
      <c r="N275" s="34"/>
      <c r="T275" s="19"/>
    </row>
    <row r="276" spans="1:20" s="87" customFormat="1" ht="15.75" customHeight="1" x14ac:dyDescent="0.35">
      <c r="A276" s="85">
        <f t="shared" si="48"/>
        <v>6</v>
      </c>
      <c r="B276" s="85" t="s">
        <v>395</v>
      </c>
      <c r="C276" s="85" t="s">
        <v>394</v>
      </c>
      <c r="D276" s="85">
        <f>(81.798)*10.764</f>
        <v>880.47367199999997</v>
      </c>
      <c r="E276" s="85">
        <f>(4.95)*10.764</f>
        <v>53.281799999999997</v>
      </c>
      <c r="F276" s="85">
        <f t="shared" si="49"/>
        <v>933.75547199999994</v>
      </c>
      <c r="G276" s="85">
        <v>0</v>
      </c>
      <c r="H276" s="85">
        <f t="shared" si="50"/>
        <v>1400.633208</v>
      </c>
      <c r="I276" s="34"/>
      <c r="L276" s="177"/>
      <c r="M276" s="177"/>
      <c r="N276" s="34"/>
      <c r="T276" s="19"/>
    </row>
    <row r="277" spans="1:20" s="87" customFormat="1" x14ac:dyDescent="0.35">
      <c r="A277" s="241" t="s">
        <v>378</v>
      </c>
      <c r="B277" s="242"/>
      <c r="C277" s="242"/>
      <c r="D277" s="242"/>
      <c r="E277" s="242"/>
      <c r="F277" s="242"/>
      <c r="G277" s="242"/>
      <c r="H277" s="243"/>
      <c r="J277" s="113">
        <v>10.763999999999999</v>
      </c>
    </row>
    <row r="278" spans="1:20" s="87" customFormat="1" x14ac:dyDescent="0.35">
      <c r="A278" s="172" t="s">
        <v>405</v>
      </c>
      <c r="B278" s="173"/>
      <c r="C278" s="173"/>
      <c r="D278" s="173"/>
      <c r="E278" s="173"/>
      <c r="F278" s="173"/>
      <c r="G278" s="173"/>
      <c r="H278" s="174"/>
      <c r="J278" s="34"/>
    </row>
    <row r="279" spans="1:20" s="87" customFormat="1" ht="15.75" customHeight="1" x14ac:dyDescent="0.35">
      <c r="A279" s="85">
        <v>1</v>
      </c>
      <c r="B279" s="85" t="s">
        <v>395</v>
      </c>
      <c r="C279" s="85" t="s">
        <v>394</v>
      </c>
      <c r="D279" s="85">
        <f>(81.798)*10.764</f>
        <v>880.47367199999997</v>
      </c>
      <c r="E279" s="85">
        <f>(4.95)*10.764</f>
        <v>53.281799999999997</v>
      </c>
      <c r="F279" s="85">
        <f>D279+E279</f>
        <v>933.75547199999994</v>
      </c>
      <c r="G279" s="113">
        <f>(1.8*2.4)*10.764</f>
        <v>46.500480000000003</v>
      </c>
      <c r="H279" s="85">
        <f>F279*(($H$230)+1)+(IF(G279&lt;101,G279,IF(G279&lt;201,G279/2,IF(G279&lt;=301,G279/3,G279/4))))</f>
        <v>1447.1336879999999</v>
      </c>
      <c r="I279" s="34"/>
      <c r="L279" s="177"/>
      <c r="M279" s="177"/>
      <c r="N279" s="34"/>
    </row>
    <row r="280" spans="1:20" s="87" customFormat="1" ht="15.75" customHeight="1" x14ac:dyDescent="0.35">
      <c r="A280" s="85">
        <v>2</v>
      </c>
      <c r="B280" s="85" t="s">
        <v>395</v>
      </c>
      <c r="C280" s="85" t="s">
        <v>394</v>
      </c>
      <c r="D280" s="85">
        <f>(81.798)*10.764</f>
        <v>880.47367199999997</v>
      </c>
      <c r="E280" s="85">
        <f>(4.95)*10.764</f>
        <v>53.281799999999997</v>
      </c>
      <c r="F280" s="85">
        <f>D280+E280</f>
        <v>933.75547199999994</v>
      </c>
      <c r="G280" s="113">
        <f>(1.8*2.4)*10.764</f>
        <v>46.500480000000003</v>
      </c>
      <c r="H280" s="85">
        <f>F280*(($H$230)+1)+(IF(G280&lt;101,G280,IF(G280&lt;201,G280/2,IF(G280&lt;=301,G280/3,G280/4))))</f>
        <v>1447.1336879999999</v>
      </c>
      <c r="I280" s="34"/>
      <c r="L280" s="177"/>
      <c r="M280" s="177"/>
      <c r="N280" s="34"/>
    </row>
    <row r="281" spans="1:20" s="87" customFormat="1" ht="15.75" customHeight="1" x14ac:dyDescent="0.35">
      <c r="A281" s="85">
        <v>3</v>
      </c>
      <c r="B281" s="86" t="s">
        <v>396</v>
      </c>
      <c r="C281" s="85" t="s">
        <v>394</v>
      </c>
      <c r="D281" s="85">
        <f t="shared" ref="D281:D283" si="51">(81.798)*10.764</f>
        <v>880.47367199999997</v>
      </c>
      <c r="E281" s="85">
        <f t="shared" ref="E281:E283" si="52">(4.95)*10.764</f>
        <v>53.281799999999997</v>
      </c>
      <c r="F281" s="85">
        <f>D281+E281</f>
        <v>933.75547199999994</v>
      </c>
      <c r="G281" s="113">
        <f>(7.3*1.9+2.5*1.8)*10.764</f>
        <v>197.73467999999997</v>
      </c>
      <c r="H281" s="85">
        <f>F281*(($H$230)+1)+(IF(G281&lt;101,G281,IF(G281&lt;201,G281/2,IF(G281&lt;=301,G281/3,G281/4))))</f>
        <v>1499.500548</v>
      </c>
      <c r="I281" s="34"/>
      <c r="L281" s="177"/>
      <c r="M281" s="177"/>
      <c r="N281" s="34"/>
    </row>
    <row r="282" spans="1:20" s="87" customFormat="1" ht="15.75" customHeight="1" x14ac:dyDescent="0.35">
      <c r="A282" s="85">
        <v>4</v>
      </c>
      <c r="B282" s="86" t="s">
        <v>396</v>
      </c>
      <c r="C282" s="85" t="s">
        <v>394</v>
      </c>
      <c r="D282" s="85">
        <f t="shared" si="51"/>
        <v>880.47367199999997</v>
      </c>
      <c r="E282" s="85">
        <f t="shared" si="52"/>
        <v>53.281799999999997</v>
      </c>
      <c r="F282" s="85">
        <f>D282+E282</f>
        <v>933.75547199999994</v>
      </c>
      <c r="G282" s="113">
        <f>(3.35*0.9+1.65*3.2+8.25*0.75+1.3*1.8)*10.764</f>
        <v>181.07739000000001</v>
      </c>
      <c r="H282" s="85">
        <f>F282*(($H$230)+1)+(IF(G282&lt;101,G282,IF(G282&lt;201,G282/2,IF(G282&lt;=301,G282/3,G282/4))))</f>
        <v>1491.1719029999999</v>
      </c>
      <c r="I282" s="34"/>
      <c r="L282" s="177"/>
      <c r="M282" s="177"/>
      <c r="N282" s="34"/>
      <c r="T282" s="19"/>
    </row>
    <row r="283" spans="1:20" s="87" customFormat="1" ht="15.75" customHeight="1" x14ac:dyDescent="0.35">
      <c r="A283" s="85">
        <v>5</v>
      </c>
      <c r="B283" s="86" t="s">
        <v>396</v>
      </c>
      <c r="C283" s="85" t="s">
        <v>394</v>
      </c>
      <c r="D283" s="85">
        <f t="shared" si="51"/>
        <v>880.47367199999997</v>
      </c>
      <c r="E283" s="85">
        <f t="shared" si="52"/>
        <v>53.281799999999997</v>
      </c>
      <c r="F283" s="85">
        <f t="shared" ref="F283:F284" si="53">D283+E283</f>
        <v>933.75547199999994</v>
      </c>
      <c r="G283" s="113">
        <f>(3.35*2+8.4*1.7+3*3+1.6*1.3)*10.764</f>
        <v>345.09384</v>
      </c>
      <c r="H283" s="85">
        <f t="shared" ref="H283:H284" si="54">F283*(($H$230)+1)+(IF(G283&lt;101,G283,IF(G283&lt;201,G283/2,IF(G283&lt;=301,G283/3,G283/4))))</f>
        <v>1486.9066680000001</v>
      </c>
      <c r="I283" s="34"/>
      <c r="L283" s="177"/>
      <c r="M283" s="177"/>
      <c r="N283" s="34"/>
      <c r="T283" s="19"/>
    </row>
    <row r="284" spans="1:20" s="87" customFormat="1" ht="15.75" customHeight="1" x14ac:dyDescent="0.35">
      <c r="A284" s="85">
        <v>6</v>
      </c>
      <c r="B284" s="85" t="s">
        <v>395</v>
      </c>
      <c r="C284" s="85" t="s">
        <v>394</v>
      </c>
      <c r="D284" s="85">
        <f>(81.798)*10.764</f>
        <v>880.47367199999997</v>
      </c>
      <c r="E284" s="85">
        <f>(4.95)*10.764</f>
        <v>53.281799999999997</v>
      </c>
      <c r="F284" s="85">
        <f t="shared" si="53"/>
        <v>933.75547199999994</v>
      </c>
      <c r="G284" s="85">
        <v>0</v>
      </c>
      <c r="H284" s="85">
        <f t="shared" si="54"/>
        <v>1400.633208</v>
      </c>
      <c r="I284" s="34"/>
      <c r="L284" s="177"/>
      <c r="M284" s="177"/>
      <c r="N284" s="34"/>
      <c r="T284" s="19"/>
    </row>
    <row r="285" spans="1:20" s="87" customFormat="1" x14ac:dyDescent="0.35">
      <c r="A285" s="172" t="s">
        <v>117</v>
      </c>
      <c r="B285" s="173"/>
      <c r="C285" s="173"/>
      <c r="D285" s="173"/>
      <c r="E285" s="173"/>
      <c r="F285" s="173"/>
      <c r="G285" s="173"/>
      <c r="H285" s="174"/>
      <c r="J285" s="34"/>
    </row>
    <row r="286" spans="1:20" s="87" customFormat="1" ht="15.75" customHeight="1" x14ac:dyDescent="0.35">
      <c r="A286" s="85">
        <v>1</v>
      </c>
      <c r="B286" s="85" t="s">
        <v>395</v>
      </c>
      <c r="C286" s="85" t="s">
        <v>394</v>
      </c>
      <c r="D286" s="85">
        <f t="shared" ref="D286:D319" si="55">(81.798)*10.764</f>
        <v>880.47367199999997</v>
      </c>
      <c r="E286" s="85">
        <f t="shared" ref="E286:E319" si="56">(4.95)*10.764</f>
        <v>53.281799999999997</v>
      </c>
      <c r="F286" s="85">
        <f>D286+E286</f>
        <v>933.75547199999994</v>
      </c>
      <c r="G286" s="85">
        <v>0</v>
      </c>
      <c r="H286" s="85">
        <f>F286*(($H$230)+1)+(IF(G286&lt;101,G286,IF(G286&lt;201,G286/2,IF(G286&lt;=301,G286/3,G286/4))))</f>
        <v>1400.633208</v>
      </c>
      <c r="I286" s="34"/>
      <c r="L286" s="177"/>
      <c r="M286" s="177"/>
      <c r="N286" s="34"/>
    </row>
    <row r="287" spans="1:20" s="87" customFormat="1" ht="15.75" customHeight="1" x14ac:dyDescent="0.35">
      <c r="A287" s="85">
        <v>2</v>
      </c>
      <c r="B287" s="85" t="s">
        <v>395</v>
      </c>
      <c r="C287" s="85" t="s">
        <v>394</v>
      </c>
      <c r="D287" s="85">
        <f t="shared" si="55"/>
        <v>880.47367199999997</v>
      </c>
      <c r="E287" s="85">
        <f t="shared" si="56"/>
        <v>53.281799999999997</v>
      </c>
      <c r="F287" s="85">
        <f>D287+E287</f>
        <v>933.75547199999994</v>
      </c>
      <c r="G287" s="85">
        <v>0</v>
      </c>
      <c r="H287" s="85">
        <f>F287*(($H$230)+1)+(IF(G287&lt;101,G287,IF(G287&lt;201,G287/2,IF(G287&lt;=301,G287/3,G287/4))))</f>
        <v>1400.633208</v>
      </c>
      <c r="I287" s="34"/>
      <c r="L287" s="177"/>
      <c r="M287" s="177"/>
      <c r="N287" s="34"/>
    </row>
    <row r="288" spans="1:20" s="87" customFormat="1" ht="15.75" customHeight="1" x14ac:dyDescent="0.35">
      <c r="A288" s="85">
        <v>3</v>
      </c>
      <c r="B288" s="85" t="s">
        <v>395</v>
      </c>
      <c r="C288" s="85" t="s">
        <v>394</v>
      </c>
      <c r="D288" s="85">
        <f t="shared" si="55"/>
        <v>880.47367199999997</v>
      </c>
      <c r="E288" s="85">
        <f t="shared" si="56"/>
        <v>53.281799999999997</v>
      </c>
      <c r="F288" s="85">
        <f>D288+E288</f>
        <v>933.75547199999994</v>
      </c>
      <c r="G288" s="85">
        <v>0</v>
      </c>
      <c r="H288" s="85">
        <f>F288*(($H$230)+1)+(IF(G288&lt;101,G288,IF(G288&lt;201,G288/2,IF(G288&lt;=301,G288/3,G288/4))))</f>
        <v>1400.633208</v>
      </c>
      <c r="I288" s="34"/>
      <c r="L288" s="177"/>
      <c r="M288" s="177"/>
      <c r="N288" s="34"/>
    </row>
    <row r="289" spans="1:20" s="87" customFormat="1" ht="15.75" customHeight="1" x14ac:dyDescent="0.35">
      <c r="A289" s="85">
        <v>4</v>
      </c>
      <c r="B289" s="85" t="s">
        <v>395</v>
      </c>
      <c r="C289" s="85" t="s">
        <v>394</v>
      </c>
      <c r="D289" s="85">
        <f t="shared" si="55"/>
        <v>880.47367199999997</v>
      </c>
      <c r="E289" s="85">
        <f t="shared" si="56"/>
        <v>53.281799999999997</v>
      </c>
      <c r="F289" s="85">
        <f>D289+E289</f>
        <v>933.75547199999994</v>
      </c>
      <c r="G289" s="85">
        <v>0</v>
      </c>
      <c r="H289" s="85">
        <f>F289*(($H$230)+1)+(IF(G289&lt;101,G289,IF(G289&lt;201,G289/2,IF(G289&lt;=301,G289/3,G289/4))))</f>
        <v>1400.633208</v>
      </c>
      <c r="I289" s="34"/>
      <c r="L289" s="177"/>
      <c r="M289" s="177"/>
      <c r="N289" s="34"/>
      <c r="T289" s="19"/>
    </row>
    <row r="290" spans="1:20" s="87" customFormat="1" ht="15.75" customHeight="1" x14ac:dyDescent="0.35">
      <c r="A290" s="85">
        <v>5</v>
      </c>
      <c r="B290" s="85" t="s">
        <v>395</v>
      </c>
      <c r="C290" s="85" t="s">
        <v>394</v>
      </c>
      <c r="D290" s="85">
        <f t="shared" si="55"/>
        <v>880.47367199999997</v>
      </c>
      <c r="E290" s="85">
        <f t="shared" si="56"/>
        <v>53.281799999999997</v>
      </c>
      <c r="F290" s="85">
        <f t="shared" ref="F290:F291" si="57">D290+E290</f>
        <v>933.75547199999994</v>
      </c>
      <c r="G290" s="85">
        <v>0</v>
      </c>
      <c r="H290" s="85">
        <f t="shared" ref="H290:H291" si="58">F290*(($H$230)+1)+(IF(G290&lt;101,G290,IF(G290&lt;201,G290/2,IF(G290&lt;=301,G290/3,G290/4))))</f>
        <v>1400.633208</v>
      </c>
      <c r="I290" s="34"/>
      <c r="L290" s="177"/>
      <c r="M290" s="177"/>
      <c r="N290" s="34"/>
      <c r="T290" s="19"/>
    </row>
    <row r="291" spans="1:20" s="87" customFormat="1" ht="15.75" customHeight="1" x14ac:dyDescent="0.35">
      <c r="A291" s="85">
        <v>6</v>
      </c>
      <c r="B291" s="85" t="s">
        <v>395</v>
      </c>
      <c r="C291" s="85" t="s">
        <v>394</v>
      </c>
      <c r="D291" s="85">
        <f t="shared" si="55"/>
        <v>880.47367199999997</v>
      </c>
      <c r="E291" s="85">
        <f t="shared" si="56"/>
        <v>53.281799999999997</v>
      </c>
      <c r="F291" s="85">
        <f t="shared" si="57"/>
        <v>933.75547199999994</v>
      </c>
      <c r="G291" s="85">
        <v>0</v>
      </c>
      <c r="H291" s="85">
        <f t="shared" si="58"/>
        <v>1400.633208</v>
      </c>
      <c r="I291" s="34"/>
      <c r="L291" s="177"/>
      <c r="M291" s="177"/>
      <c r="N291" s="34"/>
      <c r="T291" s="19"/>
    </row>
    <row r="292" spans="1:20" s="87" customFormat="1" ht="15.75" customHeight="1" x14ac:dyDescent="0.35">
      <c r="A292" s="172" t="s">
        <v>397</v>
      </c>
      <c r="B292" s="173"/>
      <c r="C292" s="173"/>
      <c r="D292" s="173"/>
      <c r="E292" s="173"/>
      <c r="F292" s="173"/>
      <c r="G292" s="173"/>
      <c r="H292" s="174"/>
      <c r="J292" s="34"/>
    </row>
    <row r="293" spans="1:20" s="87" customFormat="1" ht="15.75" customHeight="1" x14ac:dyDescent="0.35">
      <c r="A293" s="85">
        <v>1</v>
      </c>
      <c r="B293" s="85" t="s">
        <v>395</v>
      </c>
      <c r="C293" s="85" t="s">
        <v>394</v>
      </c>
      <c r="D293" s="85">
        <f t="shared" si="55"/>
        <v>880.47367199999997</v>
      </c>
      <c r="E293" s="85">
        <f t="shared" si="56"/>
        <v>53.281799999999997</v>
      </c>
      <c r="F293" s="85">
        <f>D293+E293</f>
        <v>933.75547199999994</v>
      </c>
      <c r="G293" s="85">
        <v>0</v>
      </c>
      <c r="H293" s="85">
        <f>F293*(($H$230)+1)+(IF(G293&lt;101,G293,IF(G293&lt;201,G293/2,IF(G293&lt;=301,G293/3,G293/4))))</f>
        <v>1400.633208</v>
      </c>
      <c r="I293" s="34"/>
      <c r="L293" s="177"/>
      <c r="M293" s="177"/>
      <c r="N293" s="34"/>
    </row>
    <row r="294" spans="1:20" s="87" customFormat="1" ht="15.75" customHeight="1" x14ac:dyDescent="0.35">
      <c r="A294" s="85">
        <v>2</v>
      </c>
      <c r="B294" s="85" t="s">
        <v>395</v>
      </c>
      <c r="C294" s="85" t="s">
        <v>394</v>
      </c>
      <c r="D294" s="85">
        <f t="shared" si="55"/>
        <v>880.47367199999997</v>
      </c>
      <c r="E294" s="85">
        <f t="shared" si="56"/>
        <v>53.281799999999997</v>
      </c>
      <c r="F294" s="85">
        <f>D294+E294</f>
        <v>933.75547199999994</v>
      </c>
      <c r="G294" s="85">
        <v>0</v>
      </c>
      <c r="H294" s="85">
        <f>F294*(($H$230)+1)+(IF(G294&lt;101,G294,IF(G294&lt;201,G294/2,IF(G294&lt;=301,G294/3,G294/4))))</f>
        <v>1400.633208</v>
      </c>
      <c r="I294" s="34"/>
      <c r="L294" s="177"/>
      <c r="M294" s="177"/>
      <c r="N294" s="34"/>
    </row>
    <row r="295" spans="1:20" s="87" customFormat="1" ht="15.75" customHeight="1" x14ac:dyDescent="0.35">
      <c r="A295" s="85">
        <v>3</v>
      </c>
      <c r="B295" s="85" t="s">
        <v>395</v>
      </c>
      <c r="C295" s="85" t="s">
        <v>394</v>
      </c>
      <c r="D295" s="85">
        <f t="shared" si="55"/>
        <v>880.47367199999997</v>
      </c>
      <c r="E295" s="85">
        <f t="shared" si="56"/>
        <v>53.281799999999997</v>
      </c>
      <c r="F295" s="85">
        <f>D295+E295</f>
        <v>933.75547199999994</v>
      </c>
      <c r="G295" s="85">
        <v>0</v>
      </c>
      <c r="H295" s="85">
        <f>F295*(($H$230)+1)+(IF(G295&lt;101,G295,IF(G295&lt;201,G295/2,IF(G295&lt;=301,G295/3,G295/4))))</f>
        <v>1400.633208</v>
      </c>
      <c r="I295" s="34"/>
      <c r="L295" s="177"/>
      <c r="M295" s="177"/>
      <c r="N295" s="34"/>
    </row>
    <row r="296" spans="1:20" s="87" customFormat="1" ht="15.75" customHeight="1" x14ac:dyDescent="0.35">
      <c r="A296" s="85">
        <v>4</v>
      </c>
      <c r="B296" s="85" t="s">
        <v>395</v>
      </c>
      <c r="C296" s="85" t="s">
        <v>394</v>
      </c>
      <c r="D296" s="85">
        <f t="shared" si="55"/>
        <v>880.47367199999997</v>
      </c>
      <c r="E296" s="85">
        <f t="shared" si="56"/>
        <v>53.281799999999997</v>
      </c>
      <c r="F296" s="85">
        <f>D296+E296</f>
        <v>933.75547199999994</v>
      </c>
      <c r="G296" s="85">
        <v>0</v>
      </c>
      <c r="H296" s="85">
        <f>F296*(($H$230)+1)+(IF(G296&lt;101,G296,IF(G296&lt;201,G296/2,IF(G296&lt;=301,G296/3,G296/4))))</f>
        <v>1400.633208</v>
      </c>
      <c r="I296" s="34"/>
      <c r="L296" s="177"/>
      <c r="M296" s="177"/>
      <c r="N296" s="34"/>
      <c r="T296" s="19"/>
    </row>
    <row r="297" spans="1:20" s="87" customFormat="1" ht="15.75" customHeight="1" x14ac:dyDescent="0.35">
      <c r="A297" s="85">
        <v>5</v>
      </c>
      <c r="B297" s="85" t="s">
        <v>395</v>
      </c>
      <c r="C297" s="85" t="s">
        <v>394</v>
      </c>
      <c r="D297" s="85">
        <f t="shared" si="55"/>
        <v>880.47367199999997</v>
      </c>
      <c r="E297" s="85">
        <f t="shared" si="56"/>
        <v>53.281799999999997</v>
      </c>
      <c r="F297" s="85">
        <f t="shared" ref="F297:F298" si="59">D297+E297</f>
        <v>933.75547199999994</v>
      </c>
      <c r="G297" s="85">
        <v>0</v>
      </c>
      <c r="H297" s="85">
        <f t="shared" ref="H297:H298" si="60">F297*(($H$230)+1)+(IF(G297&lt;101,G297,IF(G297&lt;201,G297/2,IF(G297&lt;=301,G297/3,G297/4))))</f>
        <v>1400.633208</v>
      </c>
      <c r="I297" s="34"/>
      <c r="L297" s="177"/>
      <c r="M297" s="177"/>
      <c r="N297" s="34"/>
      <c r="T297" s="19"/>
    </row>
    <row r="298" spans="1:20" s="87" customFormat="1" ht="15.75" customHeight="1" x14ac:dyDescent="0.35">
      <c r="A298" s="85">
        <v>6</v>
      </c>
      <c r="B298" s="85" t="s">
        <v>395</v>
      </c>
      <c r="C298" s="85" t="s">
        <v>394</v>
      </c>
      <c r="D298" s="85">
        <f t="shared" si="55"/>
        <v>880.47367199999997</v>
      </c>
      <c r="E298" s="85">
        <f t="shared" si="56"/>
        <v>53.281799999999997</v>
      </c>
      <c r="F298" s="85">
        <f t="shared" si="59"/>
        <v>933.75547199999994</v>
      </c>
      <c r="G298" s="85">
        <v>0</v>
      </c>
      <c r="H298" s="85">
        <f t="shared" si="60"/>
        <v>1400.633208</v>
      </c>
      <c r="I298" s="34"/>
      <c r="L298" s="177"/>
      <c r="M298" s="177"/>
      <c r="N298" s="34"/>
      <c r="T298" s="19"/>
    </row>
    <row r="299" spans="1:20" s="87" customFormat="1" ht="15.75" customHeight="1" x14ac:dyDescent="0.35">
      <c r="A299" s="172" t="s">
        <v>433</v>
      </c>
      <c r="B299" s="173"/>
      <c r="C299" s="173"/>
      <c r="D299" s="173"/>
      <c r="E299" s="173"/>
      <c r="F299" s="173"/>
      <c r="G299" s="173"/>
      <c r="H299" s="174"/>
      <c r="J299" s="34"/>
    </row>
    <row r="300" spans="1:20" s="87" customFormat="1" ht="15.75" customHeight="1" x14ac:dyDescent="0.35">
      <c r="A300" s="85">
        <v>1</v>
      </c>
      <c r="B300" s="85" t="s">
        <v>395</v>
      </c>
      <c r="C300" s="85" t="s">
        <v>394</v>
      </c>
      <c r="D300" s="85">
        <f t="shared" si="55"/>
        <v>880.47367199999997</v>
      </c>
      <c r="E300" s="85">
        <f t="shared" si="56"/>
        <v>53.281799999999997</v>
      </c>
      <c r="F300" s="85">
        <f>D300+E300</f>
        <v>933.75547199999994</v>
      </c>
      <c r="G300" s="85">
        <v>0</v>
      </c>
      <c r="H300" s="85">
        <f>F300*(($H$230)+1)+(IF(G300&lt;101,G300,IF(G300&lt;201,G300/2,IF(G300&lt;=301,G300/3,G300/4))))</f>
        <v>1400.633208</v>
      </c>
      <c r="I300" s="34"/>
      <c r="L300" s="177"/>
      <c r="M300" s="177"/>
      <c r="N300" s="34"/>
    </row>
    <row r="301" spans="1:20" s="87" customFormat="1" ht="15.75" customHeight="1" x14ac:dyDescent="0.35">
      <c r="A301" s="85">
        <v>2</v>
      </c>
      <c r="B301" s="85" t="s">
        <v>395</v>
      </c>
      <c r="C301" s="85" t="s">
        <v>394</v>
      </c>
      <c r="D301" s="85">
        <f t="shared" si="55"/>
        <v>880.47367199999997</v>
      </c>
      <c r="E301" s="85">
        <f t="shared" si="56"/>
        <v>53.281799999999997</v>
      </c>
      <c r="F301" s="85">
        <f>D301+E301</f>
        <v>933.75547199999994</v>
      </c>
      <c r="G301" s="85">
        <v>0</v>
      </c>
      <c r="H301" s="85">
        <f>F301*(($H$230)+1)+(IF(G301&lt;101,G301,IF(G301&lt;201,G301/2,IF(G301&lt;=301,G301/3,G301/4))))</f>
        <v>1400.633208</v>
      </c>
      <c r="I301" s="34"/>
      <c r="L301" s="177"/>
      <c r="M301" s="177"/>
      <c r="N301" s="34"/>
    </row>
    <row r="302" spans="1:20" s="87" customFormat="1" ht="15.75" customHeight="1" x14ac:dyDescent="0.35">
      <c r="A302" s="85">
        <v>3</v>
      </c>
      <c r="B302" s="85" t="s">
        <v>395</v>
      </c>
      <c r="C302" s="85" t="s">
        <v>394</v>
      </c>
      <c r="D302" s="85">
        <f t="shared" si="55"/>
        <v>880.47367199999997</v>
      </c>
      <c r="E302" s="85">
        <f t="shared" si="56"/>
        <v>53.281799999999997</v>
      </c>
      <c r="F302" s="85">
        <f>D302+E302</f>
        <v>933.75547199999994</v>
      </c>
      <c r="G302" s="85">
        <v>0</v>
      </c>
      <c r="H302" s="85">
        <f>F302*(($H$230)+1)+(IF(G302&lt;101,G302,IF(G302&lt;201,G302/2,IF(G302&lt;=301,G302/3,G302/4))))</f>
        <v>1400.633208</v>
      </c>
      <c r="I302" s="34"/>
      <c r="L302" s="177"/>
      <c r="M302" s="177"/>
      <c r="N302" s="34"/>
    </row>
    <row r="303" spans="1:20" s="87" customFormat="1" ht="15.75" customHeight="1" x14ac:dyDescent="0.35">
      <c r="A303" s="85">
        <v>4</v>
      </c>
      <c r="B303" s="86" t="s">
        <v>396</v>
      </c>
      <c r="C303" s="85" t="s">
        <v>398</v>
      </c>
      <c r="D303" s="85">
        <f>(66.645)*10.764</f>
        <v>717.36677999999995</v>
      </c>
      <c r="E303" s="85">
        <f>(3.3)*10.764</f>
        <v>35.521199999999993</v>
      </c>
      <c r="F303" s="85">
        <f>D303+E303</f>
        <v>752.88797999999997</v>
      </c>
      <c r="G303" s="85">
        <v>0</v>
      </c>
      <c r="H303" s="85">
        <f>F303*(($H$230)+1)+(IF(G303&lt;101,G303,IF(G303&lt;201,G303/2,IF(G303&lt;=301,G303/3,G303/4))))</f>
        <v>1129.33197</v>
      </c>
      <c r="I303" s="34"/>
      <c r="L303" s="177"/>
      <c r="M303" s="177"/>
      <c r="N303" s="34"/>
      <c r="T303" s="19"/>
    </row>
    <row r="304" spans="1:20" s="87" customFormat="1" ht="15.75" customHeight="1" x14ac:dyDescent="0.35">
      <c r="A304" s="85">
        <v>5</v>
      </c>
      <c r="B304" s="85" t="s">
        <v>395</v>
      </c>
      <c r="C304" s="85" t="s">
        <v>394</v>
      </c>
      <c r="D304" s="85">
        <f t="shared" si="55"/>
        <v>880.47367199999997</v>
      </c>
      <c r="E304" s="85">
        <f t="shared" si="56"/>
        <v>53.281799999999997</v>
      </c>
      <c r="F304" s="85">
        <f t="shared" ref="F304:F305" si="61">D304+E304</f>
        <v>933.75547199999994</v>
      </c>
      <c r="G304" s="85">
        <v>0</v>
      </c>
      <c r="H304" s="85">
        <f t="shared" ref="H304:H305" si="62">F304*(($H$230)+1)+(IF(G304&lt;101,G304,IF(G304&lt;201,G304/2,IF(G304&lt;=301,G304/3,G304/4))))</f>
        <v>1400.633208</v>
      </c>
      <c r="I304" s="34"/>
      <c r="L304" s="177"/>
      <c r="M304" s="177"/>
      <c r="N304" s="34"/>
      <c r="T304" s="19"/>
    </row>
    <row r="305" spans="1:20" s="87" customFormat="1" ht="15.75" customHeight="1" x14ac:dyDescent="0.35">
      <c r="A305" s="85">
        <v>6</v>
      </c>
      <c r="B305" s="85" t="s">
        <v>395</v>
      </c>
      <c r="C305" s="85" t="s">
        <v>394</v>
      </c>
      <c r="D305" s="85">
        <f t="shared" si="55"/>
        <v>880.47367199999997</v>
      </c>
      <c r="E305" s="85">
        <f t="shared" si="56"/>
        <v>53.281799999999997</v>
      </c>
      <c r="F305" s="85">
        <f t="shared" si="61"/>
        <v>933.75547199999994</v>
      </c>
      <c r="G305" s="85">
        <v>0</v>
      </c>
      <c r="H305" s="85">
        <f t="shared" si="62"/>
        <v>1400.633208</v>
      </c>
      <c r="I305" s="34"/>
      <c r="L305" s="177"/>
      <c r="M305" s="177"/>
      <c r="N305" s="34"/>
      <c r="T305" s="19"/>
    </row>
    <row r="306" spans="1:20" s="87" customFormat="1" ht="15.75" customHeight="1" x14ac:dyDescent="0.35">
      <c r="A306" s="233" t="s">
        <v>401</v>
      </c>
      <c r="B306" s="233"/>
      <c r="C306" s="233"/>
      <c r="D306" s="233"/>
      <c r="E306" s="233"/>
      <c r="F306" s="233"/>
      <c r="G306" s="233"/>
      <c r="H306" s="233"/>
      <c r="J306" s="34"/>
    </row>
    <row r="307" spans="1:20" s="87" customFormat="1" ht="15.75" customHeight="1" x14ac:dyDescent="0.35">
      <c r="A307" s="115">
        <v>1</v>
      </c>
      <c r="B307" s="115" t="s">
        <v>395</v>
      </c>
      <c r="C307" s="115" t="s">
        <v>394</v>
      </c>
      <c r="D307" s="115">
        <f t="shared" si="55"/>
        <v>880.47367199999997</v>
      </c>
      <c r="E307" s="115">
        <f t="shared" si="56"/>
        <v>53.281799999999997</v>
      </c>
      <c r="F307" s="115">
        <f>D307+E307</f>
        <v>933.75547199999994</v>
      </c>
      <c r="G307" s="115">
        <v>0</v>
      </c>
      <c r="H307" s="115">
        <f>F307*(($H$230)+1)+(IF(G307&lt;101,G307,IF(G307&lt;201,G307/2,IF(G307&lt;=301,G307/3,G307/4))))</f>
        <v>1400.633208</v>
      </c>
      <c r="I307" s="34"/>
      <c r="L307" s="177"/>
      <c r="M307" s="177"/>
      <c r="N307" s="34"/>
    </row>
    <row r="308" spans="1:20" s="87" customFormat="1" ht="15.75" customHeight="1" x14ac:dyDescent="0.35">
      <c r="A308" s="115">
        <v>2</v>
      </c>
      <c r="B308" s="115" t="s">
        <v>395</v>
      </c>
      <c r="C308" s="115" t="s">
        <v>394</v>
      </c>
      <c r="D308" s="115">
        <f t="shared" si="55"/>
        <v>880.47367199999997</v>
      </c>
      <c r="E308" s="115">
        <f t="shared" si="56"/>
        <v>53.281799999999997</v>
      </c>
      <c r="F308" s="115">
        <f>D308+E308</f>
        <v>933.75547199999994</v>
      </c>
      <c r="G308" s="115">
        <v>0</v>
      </c>
      <c r="H308" s="115">
        <f>F308*(($H$230)+1)+(IF(G308&lt;101,G308,IF(G308&lt;201,G308/2,IF(G308&lt;=301,G308/3,G308/4))))</f>
        <v>1400.633208</v>
      </c>
      <c r="I308" s="34"/>
      <c r="L308" s="177"/>
      <c r="M308" s="177"/>
      <c r="N308" s="34"/>
    </row>
    <row r="309" spans="1:20" s="87" customFormat="1" ht="15.75" customHeight="1" x14ac:dyDescent="0.35">
      <c r="A309" s="115">
        <v>3</v>
      </c>
      <c r="B309" s="115" t="s">
        <v>395</v>
      </c>
      <c r="C309" s="115" t="s">
        <v>394</v>
      </c>
      <c r="D309" s="115">
        <f t="shared" si="55"/>
        <v>880.47367199999997</v>
      </c>
      <c r="E309" s="115">
        <f t="shared" si="56"/>
        <v>53.281799999999997</v>
      </c>
      <c r="F309" s="115">
        <f>D309+E309</f>
        <v>933.75547199999994</v>
      </c>
      <c r="G309" s="115">
        <v>0</v>
      </c>
      <c r="H309" s="115">
        <f>F309*(($H$230)+1)+(IF(G309&lt;101,G309,IF(G309&lt;201,G309/2,IF(G309&lt;=301,G309/3,G309/4))))</f>
        <v>1400.633208</v>
      </c>
      <c r="I309" s="34"/>
      <c r="L309" s="177"/>
      <c r="M309" s="177"/>
      <c r="N309" s="34"/>
    </row>
    <row r="310" spans="1:20" s="87" customFormat="1" ht="15.75" customHeight="1" x14ac:dyDescent="0.35">
      <c r="A310" s="115">
        <v>4</v>
      </c>
      <c r="B310" s="115" t="s">
        <v>395</v>
      </c>
      <c r="C310" s="115" t="s">
        <v>394</v>
      </c>
      <c r="D310" s="115">
        <f t="shared" si="55"/>
        <v>880.47367199999997</v>
      </c>
      <c r="E310" s="115">
        <f t="shared" si="56"/>
        <v>53.281799999999997</v>
      </c>
      <c r="F310" s="115">
        <f>D310+E310</f>
        <v>933.75547199999994</v>
      </c>
      <c r="G310" s="115">
        <v>0</v>
      </c>
      <c r="H310" s="115">
        <f>F310*(($H$230)+1)+(IF(G310&lt;101,G310,IF(G310&lt;201,G310/2,IF(G310&lt;=301,G310/3,G310/4))))</f>
        <v>1400.633208</v>
      </c>
      <c r="I310" s="34"/>
      <c r="L310" s="177"/>
      <c r="M310" s="177"/>
      <c r="N310" s="34"/>
      <c r="T310" s="19"/>
    </row>
    <row r="311" spans="1:20" s="87" customFormat="1" ht="15.75" customHeight="1" x14ac:dyDescent="0.35">
      <c r="A311" s="115">
        <v>5</v>
      </c>
      <c r="B311" s="115" t="s">
        <v>395</v>
      </c>
      <c r="C311" s="115" t="s">
        <v>394</v>
      </c>
      <c r="D311" s="115">
        <f t="shared" si="55"/>
        <v>880.47367199999997</v>
      </c>
      <c r="E311" s="115">
        <f t="shared" si="56"/>
        <v>53.281799999999997</v>
      </c>
      <c r="F311" s="115">
        <f t="shared" ref="F311:F312" si="63">D311+E311</f>
        <v>933.75547199999994</v>
      </c>
      <c r="G311" s="115">
        <v>0</v>
      </c>
      <c r="H311" s="115">
        <f t="shared" ref="H311:H312" si="64">F311*(($H$230)+1)+(IF(G311&lt;101,G311,IF(G311&lt;201,G311/2,IF(G311&lt;=301,G311/3,G311/4))))</f>
        <v>1400.633208</v>
      </c>
      <c r="I311" s="34"/>
      <c r="L311" s="177"/>
      <c r="M311" s="177"/>
      <c r="N311" s="34"/>
      <c r="T311" s="19"/>
    </row>
    <row r="312" spans="1:20" s="87" customFormat="1" ht="15.75" customHeight="1" x14ac:dyDescent="0.35">
      <c r="A312" s="115">
        <v>6</v>
      </c>
      <c r="B312" s="115" t="s">
        <v>395</v>
      </c>
      <c r="C312" s="115" t="s">
        <v>394</v>
      </c>
      <c r="D312" s="115">
        <f t="shared" si="55"/>
        <v>880.47367199999997</v>
      </c>
      <c r="E312" s="115">
        <f t="shared" si="56"/>
        <v>53.281799999999997</v>
      </c>
      <c r="F312" s="115">
        <f t="shared" si="63"/>
        <v>933.75547199999994</v>
      </c>
      <c r="G312" s="115">
        <v>0</v>
      </c>
      <c r="H312" s="115">
        <f t="shared" si="64"/>
        <v>1400.633208</v>
      </c>
      <c r="I312" s="34"/>
      <c r="L312" s="177"/>
      <c r="M312" s="177"/>
      <c r="N312" s="34"/>
      <c r="T312" s="19"/>
    </row>
    <row r="313" spans="1:20" s="87" customFormat="1" ht="15.75" customHeight="1" x14ac:dyDescent="0.35">
      <c r="A313" s="233" t="s">
        <v>402</v>
      </c>
      <c r="B313" s="233"/>
      <c r="C313" s="233"/>
      <c r="D313" s="233"/>
      <c r="E313" s="233"/>
      <c r="F313" s="233"/>
      <c r="G313" s="233"/>
      <c r="H313" s="233"/>
      <c r="J313" s="34"/>
    </row>
    <row r="314" spans="1:20" s="87" customFormat="1" ht="15.75" customHeight="1" x14ac:dyDescent="0.35">
      <c r="A314" s="85">
        <v>1</v>
      </c>
      <c r="B314" s="85" t="s">
        <v>395</v>
      </c>
      <c r="C314" s="85" t="s">
        <v>394</v>
      </c>
      <c r="D314" s="85">
        <f t="shared" si="55"/>
        <v>880.47367199999997</v>
      </c>
      <c r="E314" s="85">
        <f t="shared" si="56"/>
        <v>53.281799999999997</v>
      </c>
      <c r="F314" s="85">
        <f>D314+E314</f>
        <v>933.75547199999994</v>
      </c>
      <c r="G314" s="85">
        <v>0</v>
      </c>
      <c r="H314" s="85">
        <f>F314*(($H$230)+1)+(IF(G314&lt;101,G314,IF(G314&lt;201,G314/2,IF(G314&lt;=301,G314/3,G314/4))))</f>
        <v>1400.633208</v>
      </c>
      <c r="I314" s="34"/>
      <c r="L314" s="177"/>
      <c r="M314" s="177"/>
      <c r="N314" s="34"/>
    </row>
    <row r="315" spans="1:20" s="87" customFormat="1" ht="15.75" customHeight="1" x14ac:dyDescent="0.35">
      <c r="A315" s="85">
        <v>2</v>
      </c>
      <c r="B315" s="85" t="s">
        <v>395</v>
      </c>
      <c r="C315" s="85" t="s">
        <v>394</v>
      </c>
      <c r="D315" s="85">
        <f t="shared" si="55"/>
        <v>880.47367199999997</v>
      </c>
      <c r="E315" s="85">
        <f t="shared" si="56"/>
        <v>53.281799999999997</v>
      </c>
      <c r="F315" s="85">
        <f>D315+E315</f>
        <v>933.75547199999994</v>
      </c>
      <c r="G315" s="85">
        <v>0</v>
      </c>
      <c r="H315" s="85">
        <f>F315*(($H$230)+1)+(IF(G315&lt;101,G315,IF(G315&lt;201,G315/2,IF(G315&lt;=301,G315/3,G315/4))))</f>
        <v>1400.633208</v>
      </c>
      <c r="I315" s="34"/>
      <c r="L315" s="177"/>
      <c r="M315" s="177"/>
      <c r="N315" s="34"/>
    </row>
    <row r="316" spans="1:20" s="87" customFormat="1" ht="15.75" customHeight="1" x14ac:dyDescent="0.35">
      <c r="A316" s="85">
        <v>3</v>
      </c>
      <c r="B316" s="86" t="s">
        <v>396</v>
      </c>
      <c r="C316" s="85" t="s">
        <v>394</v>
      </c>
      <c r="D316" s="85">
        <f t="shared" si="55"/>
        <v>880.47367199999997</v>
      </c>
      <c r="E316" s="85">
        <f t="shared" si="56"/>
        <v>53.281799999999997</v>
      </c>
      <c r="F316" s="85">
        <f>D316+E316</f>
        <v>933.75547199999994</v>
      </c>
      <c r="G316" s="85">
        <v>0</v>
      </c>
      <c r="H316" s="85">
        <f>F316*(($H$230)+1)+(IF(G316&lt;101,G316,IF(G316&lt;201,G316/2,IF(G316&lt;=301,G316/3,G316/4))))</f>
        <v>1400.633208</v>
      </c>
      <c r="I316" s="34"/>
      <c r="L316" s="177"/>
      <c r="M316" s="177"/>
      <c r="N316" s="34"/>
    </row>
    <row r="317" spans="1:20" s="87" customFormat="1" ht="15.75" customHeight="1" x14ac:dyDescent="0.35">
      <c r="A317" s="85">
        <v>4</v>
      </c>
      <c r="B317" s="86" t="s">
        <v>396</v>
      </c>
      <c r="C317" s="85" t="s">
        <v>394</v>
      </c>
      <c r="D317" s="85">
        <f t="shared" si="55"/>
        <v>880.47367199999997</v>
      </c>
      <c r="E317" s="85">
        <f t="shared" si="56"/>
        <v>53.281799999999997</v>
      </c>
      <c r="F317" s="85">
        <f>D317+E317</f>
        <v>933.75547199999994</v>
      </c>
      <c r="G317" s="85">
        <v>0</v>
      </c>
      <c r="H317" s="85">
        <f>F317*(($H$230)+1)+(IF(G317&lt;101,G317,IF(G317&lt;201,G317/2,IF(G317&lt;=301,G317/3,G317/4))))</f>
        <v>1400.633208</v>
      </c>
      <c r="I317" s="34"/>
      <c r="L317" s="177"/>
      <c r="M317" s="177"/>
      <c r="N317" s="34"/>
      <c r="T317" s="19"/>
    </row>
    <row r="318" spans="1:20" s="87" customFormat="1" ht="15.75" customHeight="1" x14ac:dyDescent="0.35">
      <c r="A318" s="85">
        <v>5</v>
      </c>
      <c r="B318" s="85" t="s">
        <v>395</v>
      </c>
      <c r="C318" s="85" t="s">
        <v>394</v>
      </c>
      <c r="D318" s="85">
        <f t="shared" si="55"/>
        <v>880.47367199999997</v>
      </c>
      <c r="E318" s="85">
        <f t="shared" si="56"/>
        <v>53.281799999999997</v>
      </c>
      <c r="F318" s="85">
        <f t="shared" ref="F318:F319" si="65">D318+E318</f>
        <v>933.75547199999994</v>
      </c>
      <c r="G318" s="85">
        <v>0</v>
      </c>
      <c r="H318" s="85">
        <f t="shared" ref="H318:H319" si="66">F318*(($H$230)+1)+(IF(G318&lt;101,G318,IF(G318&lt;201,G318/2,IF(G318&lt;=301,G318/3,G318/4))))</f>
        <v>1400.633208</v>
      </c>
      <c r="I318" s="34"/>
      <c r="L318" s="177"/>
      <c r="M318" s="177"/>
      <c r="N318" s="34"/>
      <c r="T318" s="19"/>
    </row>
    <row r="319" spans="1:20" s="87" customFormat="1" ht="15.75" customHeight="1" x14ac:dyDescent="0.35">
      <c r="A319" s="85">
        <v>6</v>
      </c>
      <c r="B319" s="85" t="s">
        <v>395</v>
      </c>
      <c r="C319" s="85" t="s">
        <v>394</v>
      </c>
      <c r="D319" s="85">
        <f t="shared" si="55"/>
        <v>880.47367199999997</v>
      </c>
      <c r="E319" s="85">
        <f t="shared" si="56"/>
        <v>53.281799999999997</v>
      </c>
      <c r="F319" s="85">
        <f t="shared" si="65"/>
        <v>933.75547199999994</v>
      </c>
      <c r="G319" s="85">
        <v>0</v>
      </c>
      <c r="H319" s="85">
        <f t="shared" si="66"/>
        <v>1400.633208</v>
      </c>
      <c r="I319" s="34"/>
      <c r="L319" s="177"/>
      <c r="M319" s="177"/>
      <c r="N319" s="34"/>
      <c r="T319" s="19"/>
    </row>
    <row r="320" spans="1:20" s="87" customFormat="1" x14ac:dyDescent="0.35">
      <c r="A320" s="241" t="s">
        <v>382</v>
      </c>
      <c r="B320" s="242"/>
      <c r="C320" s="242"/>
      <c r="D320" s="242"/>
      <c r="E320" s="242"/>
      <c r="F320" s="242"/>
      <c r="G320" s="242"/>
      <c r="H320" s="243"/>
      <c r="J320" s="34"/>
    </row>
    <row r="321" spans="1:20" s="87" customFormat="1" ht="15.75" customHeight="1" x14ac:dyDescent="0.35">
      <c r="A321" s="172" t="s">
        <v>405</v>
      </c>
      <c r="B321" s="173"/>
      <c r="C321" s="173"/>
      <c r="D321" s="173"/>
      <c r="E321" s="173"/>
      <c r="F321" s="173"/>
      <c r="G321" s="173"/>
      <c r="H321" s="174"/>
      <c r="J321" s="34"/>
    </row>
    <row r="322" spans="1:20" s="87" customFormat="1" ht="15.75" customHeight="1" x14ac:dyDescent="0.35">
      <c r="A322" s="85">
        <v>1</v>
      </c>
      <c r="B322" s="85" t="s">
        <v>395</v>
      </c>
      <c r="C322" s="85" t="s">
        <v>394</v>
      </c>
      <c r="D322" s="85">
        <f t="shared" ref="D322:D360" si="67">(81.798)*10.764</f>
        <v>880.47367199999997</v>
      </c>
      <c r="E322" s="85">
        <f t="shared" ref="E322:E360" si="68">(4.95)*10.764</f>
        <v>53.281799999999997</v>
      </c>
      <c r="F322" s="85">
        <f>D322+E322</f>
        <v>933.75547199999994</v>
      </c>
      <c r="G322" s="85">
        <v>0</v>
      </c>
      <c r="H322" s="85">
        <f>F322*(($H$230)+1)+(IF(G322&lt;101,G322,IF(G322&lt;201,G322/2,IF(G322&lt;=301,G322/3,G322/4))))</f>
        <v>1400.633208</v>
      </c>
      <c r="I322" s="34"/>
      <c r="L322" s="177"/>
      <c r="M322" s="177"/>
      <c r="N322" s="34"/>
    </row>
    <row r="323" spans="1:20" s="87" customFormat="1" ht="15.75" customHeight="1" x14ac:dyDescent="0.35">
      <c r="A323" s="85">
        <v>2</v>
      </c>
      <c r="B323" s="86" t="s">
        <v>396</v>
      </c>
      <c r="C323" s="85" t="s">
        <v>394</v>
      </c>
      <c r="D323" s="85">
        <f t="shared" si="67"/>
        <v>880.47367199999997</v>
      </c>
      <c r="E323" s="85">
        <f t="shared" si="68"/>
        <v>53.281799999999997</v>
      </c>
      <c r="F323" s="85">
        <f>D323+E323</f>
        <v>933.75547199999994</v>
      </c>
      <c r="G323" s="113">
        <f>(1.6*4.4+8.5*1.8+3.5*2)*10.764</f>
        <v>315.81576000000001</v>
      </c>
      <c r="H323" s="85">
        <f>F323*(($H$230)+1)+(IF(G323&lt;101,G323,IF(G323&lt;201,G323/2,IF(G323&lt;=301,G323/3,G323/4))))</f>
        <v>1479.5871480000001</v>
      </c>
      <c r="I323" s="34"/>
      <c r="L323" s="177"/>
      <c r="M323" s="177"/>
      <c r="N323" s="34"/>
    </row>
    <row r="324" spans="1:20" s="87" customFormat="1" ht="15.75" customHeight="1" x14ac:dyDescent="0.35">
      <c r="A324" s="85">
        <v>3</v>
      </c>
      <c r="B324" s="86" t="s">
        <v>396</v>
      </c>
      <c r="C324" s="85" t="s">
        <v>394</v>
      </c>
      <c r="D324" s="85">
        <f t="shared" si="67"/>
        <v>880.47367199999997</v>
      </c>
      <c r="E324" s="85">
        <f t="shared" si="68"/>
        <v>53.281799999999997</v>
      </c>
      <c r="F324" s="85">
        <f>D324+E324</f>
        <v>933.75547199999994</v>
      </c>
      <c r="G324" s="113">
        <f>(1.65*3.3+1.3*1.9+8.25*0.75+3.45*0.75)*10.764</f>
        <v>179.65115999999998</v>
      </c>
      <c r="H324" s="85">
        <f>F324*(($H$230)+1)+(IF(G324&lt;101,G324,IF(G324&lt;201,G324/2,IF(G324&lt;=301,G324/3,G324/4))))</f>
        <v>1490.4587879999999</v>
      </c>
      <c r="I324" s="34"/>
      <c r="L324" s="177"/>
      <c r="M324" s="177"/>
      <c r="N324" s="34"/>
    </row>
    <row r="325" spans="1:20" s="87" customFormat="1" ht="15.75" customHeight="1" x14ac:dyDescent="0.35">
      <c r="A325" s="85">
        <v>4</v>
      </c>
      <c r="B325" s="86" t="s">
        <v>396</v>
      </c>
      <c r="C325" s="85" t="s">
        <v>394</v>
      </c>
      <c r="D325" s="85">
        <f t="shared" si="67"/>
        <v>880.47367199999997</v>
      </c>
      <c r="E325" s="85">
        <f t="shared" si="68"/>
        <v>53.281799999999997</v>
      </c>
      <c r="F325" s="85">
        <f>D325+E325</f>
        <v>933.75547199999994</v>
      </c>
      <c r="G325" s="113">
        <f>(7.5*1.9+2.6*1.8)*10.764</f>
        <v>203.76251999999999</v>
      </c>
      <c r="H325" s="85">
        <f>F325*(($H$230)+1)+(IF(G325&lt;101,G325,IF(G325&lt;201,G325/2,IF(G325&lt;=301,G325/3,G325/4))))</f>
        <v>1468.554048</v>
      </c>
      <c r="I325" s="34"/>
      <c r="L325" s="177"/>
      <c r="M325" s="177"/>
      <c r="N325" s="34"/>
      <c r="T325" s="19"/>
    </row>
    <row r="326" spans="1:20" s="87" customFormat="1" ht="15.75" customHeight="1" x14ac:dyDescent="0.35">
      <c r="A326" s="172" t="s">
        <v>117</v>
      </c>
      <c r="B326" s="173"/>
      <c r="C326" s="173"/>
      <c r="D326" s="173"/>
      <c r="E326" s="173"/>
      <c r="F326" s="173"/>
      <c r="G326" s="173"/>
      <c r="H326" s="174"/>
      <c r="J326" s="34"/>
    </row>
    <row r="327" spans="1:20" s="87" customFormat="1" ht="15.75" customHeight="1" x14ac:dyDescent="0.35">
      <c r="A327" s="85">
        <v>1</v>
      </c>
      <c r="B327" s="85" t="s">
        <v>395</v>
      </c>
      <c r="C327" s="85" t="s">
        <v>394</v>
      </c>
      <c r="D327" s="85">
        <f t="shared" si="67"/>
        <v>880.47367199999997</v>
      </c>
      <c r="E327" s="85">
        <f t="shared" si="68"/>
        <v>53.281799999999997</v>
      </c>
      <c r="F327" s="85">
        <f>D327+E327</f>
        <v>933.75547199999994</v>
      </c>
      <c r="G327" s="85">
        <v>0</v>
      </c>
      <c r="H327" s="85">
        <f>F327*(($H$230)+1)+(IF(G327&lt;101,G327,IF(G327&lt;201,G327/2,IF(G327&lt;=301,G327/3,G327/4))))</f>
        <v>1400.633208</v>
      </c>
      <c r="I327" s="110">
        <f>1780/F327</f>
        <v>1.906280662738649</v>
      </c>
      <c r="L327" s="177"/>
      <c r="M327" s="177"/>
      <c r="N327" s="34"/>
    </row>
    <row r="328" spans="1:20" s="87" customFormat="1" ht="15.75" customHeight="1" x14ac:dyDescent="0.35">
      <c r="A328" s="85">
        <f>A327+1</f>
        <v>2</v>
      </c>
      <c r="B328" s="85" t="s">
        <v>395</v>
      </c>
      <c r="C328" s="85" t="s">
        <v>394</v>
      </c>
      <c r="D328" s="85">
        <f t="shared" si="67"/>
        <v>880.47367199999997</v>
      </c>
      <c r="E328" s="85">
        <f t="shared" si="68"/>
        <v>53.281799999999997</v>
      </c>
      <c r="F328" s="85">
        <f>D328+E328</f>
        <v>933.75547199999994</v>
      </c>
      <c r="G328" s="85">
        <v>0</v>
      </c>
      <c r="H328" s="85">
        <f>F328*(($H$230)+1)+(IF(G328&lt;101,G328,IF(G328&lt;201,G328/2,IF(G328&lt;=301,G328/3,G328/4))))</f>
        <v>1400.633208</v>
      </c>
      <c r="I328" s="34"/>
      <c r="L328" s="177"/>
      <c r="M328" s="177"/>
      <c r="N328" s="34"/>
    </row>
    <row r="329" spans="1:20" s="87" customFormat="1" ht="15.75" customHeight="1" x14ac:dyDescent="0.35">
      <c r="A329" s="85">
        <f t="shared" ref="A329:A332" si="69">A328+1</f>
        <v>3</v>
      </c>
      <c r="B329" s="85" t="s">
        <v>395</v>
      </c>
      <c r="C329" s="85" t="s">
        <v>394</v>
      </c>
      <c r="D329" s="85">
        <f t="shared" si="67"/>
        <v>880.47367199999997</v>
      </c>
      <c r="E329" s="85">
        <f t="shared" si="68"/>
        <v>53.281799999999997</v>
      </c>
      <c r="F329" s="85">
        <f>D329+E329</f>
        <v>933.75547199999994</v>
      </c>
      <c r="G329" s="85">
        <v>0</v>
      </c>
      <c r="H329" s="85">
        <f>F329*(($H$230)+1)+(IF(G329&lt;101,G329,IF(G329&lt;201,G329/2,IF(G329&lt;=301,G329/3,G329/4))))</f>
        <v>1400.633208</v>
      </c>
      <c r="I329" s="34"/>
      <c r="L329" s="177"/>
      <c r="M329" s="177"/>
      <c r="N329" s="34"/>
    </row>
    <row r="330" spans="1:20" s="87" customFormat="1" ht="15.75" customHeight="1" x14ac:dyDescent="0.35">
      <c r="A330" s="85">
        <f t="shared" si="69"/>
        <v>4</v>
      </c>
      <c r="B330" s="85" t="s">
        <v>395</v>
      </c>
      <c r="C330" s="85" t="s">
        <v>394</v>
      </c>
      <c r="D330" s="85">
        <f t="shared" si="67"/>
        <v>880.47367199999997</v>
      </c>
      <c r="E330" s="85">
        <f t="shared" si="68"/>
        <v>53.281799999999997</v>
      </c>
      <c r="F330" s="85">
        <f>D330+E330</f>
        <v>933.75547199999994</v>
      </c>
      <c r="G330" s="85">
        <v>0</v>
      </c>
      <c r="H330" s="85">
        <f>F330*(($H$230)+1)+(IF(G330&lt;101,G330,IF(G330&lt;201,G330/2,IF(G330&lt;=301,G330/3,G330/4))))</f>
        <v>1400.633208</v>
      </c>
      <c r="I330" s="34"/>
      <c r="L330" s="177"/>
      <c r="M330" s="177"/>
      <c r="N330" s="34"/>
      <c r="T330" s="19"/>
    </row>
    <row r="331" spans="1:20" s="87" customFormat="1" ht="15.75" customHeight="1" x14ac:dyDescent="0.35">
      <c r="A331" s="85">
        <f t="shared" si="69"/>
        <v>5</v>
      </c>
      <c r="B331" s="86" t="s">
        <v>396</v>
      </c>
      <c r="C331" s="85" t="s">
        <v>394</v>
      </c>
      <c r="D331" s="85">
        <f t="shared" si="67"/>
        <v>880.47367199999997</v>
      </c>
      <c r="E331" s="85">
        <f t="shared" si="68"/>
        <v>53.281799999999997</v>
      </c>
      <c r="F331" s="85">
        <f t="shared" ref="F331:F332" si="70">D331+E331</f>
        <v>933.75547199999994</v>
      </c>
      <c r="G331" s="60">
        <v>0</v>
      </c>
      <c r="H331" s="85">
        <f t="shared" ref="H331:H332" si="71">F331*(($H$230)+1)+(IF(G331&lt;101,G331,IF(G331&lt;201,G331/2,IF(G331&lt;=301,G331/3,G331/4))))</f>
        <v>1400.633208</v>
      </c>
      <c r="I331" s="34"/>
      <c r="L331" s="177"/>
      <c r="M331" s="177"/>
      <c r="N331" s="34"/>
      <c r="T331" s="19"/>
    </row>
    <row r="332" spans="1:20" s="87" customFormat="1" ht="15.75" customHeight="1" x14ac:dyDescent="0.35">
      <c r="A332" s="85">
        <f t="shared" si="69"/>
        <v>6</v>
      </c>
      <c r="B332" s="85" t="s">
        <v>395</v>
      </c>
      <c r="C332" s="85" t="s">
        <v>394</v>
      </c>
      <c r="D332" s="85">
        <f t="shared" si="67"/>
        <v>880.47367199999997</v>
      </c>
      <c r="E332" s="85">
        <f t="shared" si="68"/>
        <v>53.281799999999997</v>
      </c>
      <c r="F332" s="85">
        <f t="shared" si="70"/>
        <v>933.75547199999994</v>
      </c>
      <c r="G332" s="85">
        <v>0</v>
      </c>
      <c r="H332" s="85">
        <f t="shared" si="71"/>
        <v>1400.633208</v>
      </c>
      <c r="I332" s="34"/>
      <c r="L332" s="177"/>
      <c r="M332" s="177"/>
      <c r="N332" s="34"/>
      <c r="T332" s="19"/>
    </row>
    <row r="333" spans="1:20" s="87" customFormat="1" ht="15.75" customHeight="1" x14ac:dyDescent="0.35">
      <c r="A333" s="172" t="s">
        <v>397</v>
      </c>
      <c r="B333" s="173"/>
      <c r="C333" s="173"/>
      <c r="D333" s="173"/>
      <c r="E333" s="173"/>
      <c r="F333" s="173"/>
      <c r="G333" s="173"/>
      <c r="H333" s="174"/>
      <c r="J333" s="34"/>
    </row>
    <row r="334" spans="1:20" s="87" customFormat="1" ht="15.75" customHeight="1" x14ac:dyDescent="0.35">
      <c r="A334" s="85">
        <v>1</v>
      </c>
      <c r="B334" s="85" t="s">
        <v>395</v>
      </c>
      <c r="C334" s="85" t="s">
        <v>394</v>
      </c>
      <c r="D334" s="85">
        <f t="shared" si="67"/>
        <v>880.47367199999997</v>
      </c>
      <c r="E334" s="85">
        <f t="shared" si="68"/>
        <v>53.281799999999997</v>
      </c>
      <c r="F334" s="85">
        <f>D334+E334</f>
        <v>933.75547199999994</v>
      </c>
      <c r="G334" s="85">
        <v>0</v>
      </c>
      <c r="H334" s="85">
        <f>F334*(($H$230)+1)+(IF(G334&lt;101,G334,IF(G334&lt;201,G334/2,IF(G334&lt;=301,G334/3,G334/4))))</f>
        <v>1400.633208</v>
      </c>
      <c r="I334" s="34"/>
      <c r="L334" s="177"/>
      <c r="M334" s="177"/>
      <c r="N334" s="34"/>
    </row>
    <row r="335" spans="1:20" s="87" customFormat="1" ht="15.75" customHeight="1" x14ac:dyDescent="0.35">
      <c r="A335" s="85">
        <v>2</v>
      </c>
      <c r="B335" s="85" t="s">
        <v>395</v>
      </c>
      <c r="C335" s="85" t="s">
        <v>394</v>
      </c>
      <c r="D335" s="85">
        <f t="shared" si="67"/>
        <v>880.47367199999997</v>
      </c>
      <c r="E335" s="85">
        <f t="shared" si="68"/>
        <v>53.281799999999997</v>
      </c>
      <c r="F335" s="85">
        <f>D335+E335</f>
        <v>933.75547199999994</v>
      </c>
      <c r="G335" s="85">
        <v>0</v>
      </c>
      <c r="H335" s="85">
        <f>F335*(($H$230)+1)+(IF(G335&lt;101,G335,IF(G335&lt;201,G335/2,IF(G335&lt;=301,G335/3,G335/4))))</f>
        <v>1400.633208</v>
      </c>
      <c r="I335" s="34"/>
      <c r="L335" s="177"/>
      <c r="M335" s="177"/>
      <c r="N335" s="34"/>
    </row>
    <row r="336" spans="1:20" s="87" customFormat="1" ht="15.75" customHeight="1" x14ac:dyDescent="0.35">
      <c r="A336" s="85">
        <v>3</v>
      </c>
      <c r="B336" s="85" t="s">
        <v>395</v>
      </c>
      <c r="C336" s="85" t="s">
        <v>394</v>
      </c>
      <c r="D336" s="85">
        <f t="shared" si="67"/>
        <v>880.47367199999997</v>
      </c>
      <c r="E336" s="85">
        <f t="shared" si="68"/>
        <v>53.281799999999997</v>
      </c>
      <c r="F336" s="85">
        <f>D336+E336</f>
        <v>933.75547199999994</v>
      </c>
      <c r="G336" s="85">
        <v>0</v>
      </c>
      <c r="H336" s="85">
        <f>F336*(($H$230)+1)+(IF(G336&lt;101,G336,IF(G336&lt;201,G336/2,IF(G336&lt;=301,G336/3,G336/4))))</f>
        <v>1400.633208</v>
      </c>
      <c r="I336" s="34"/>
      <c r="L336" s="177"/>
      <c r="M336" s="177"/>
      <c r="N336" s="34"/>
    </row>
    <row r="337" spans="1:20" s="87" customFormat="1" ht="15.75" customHeight="1" x14ac:dyDescent="0.35">
      <c r="A337" s="85">
        <v>4</v>
      </c>
      <c r="B337" s="85" t="s">
        <v>395</v>
      </c>
      <c r="C337" s="85" t="s">
        <v>394</v>
      </c>
      <c r="D337" s="85">
        <f t="shared" si="67"/>
        <v>880.47367199999997</v>
      </c>
      <c r="E337" s="85">
        <f t="shared" si="68"/>
        <v>53.281799999999997</v>
      </c>
      <c r="F337" s="85">
        <f>D337+E337</f>
        <v>933.75547199999994</v>
      </c>
      <c r="G337" s="85">
        <v>0</v>
      </c>
      <c r="H337" s="85">
        <f>F337*(($H$230)+1)+(IF(G337&lt;101,G337,IF(G337&lt;201,G337/2,IF(G337&lt;=301,G337/3,G337/4))))</f>
        <v>1400.633208</v>
      </c>
      <c r="I337" s="34"/>
      <c r="L337" s="177"/>
      <c r="M337" s="177"/>
      <c r="N337" s="34"/>
      <c r="T337" s="19"/>
    </row>
    <row r="338" spans="1:20" s="87" customFormat="1" ht="15.75" customHeight="1" x14ac:dyDescent="0.35">
      <c r="A338" s="85">
        <v>5</v>
      </c>
      <c r="B338" s="85" t="s">
        <v>395</v>
      </c>
      <c r="C338" s="85" t="s">
        <v>394</v>
      </c>
      <c r="D338" s="85">
        <f t="shared" si="67"/>
        <v>880.47367199999997</v>
      </c>
      <c r="E338" s="85">
        <f t="shared" si="68"/>
        <v>53.281799999999997</v>
      </c>
      <c r="F338" s="85">
        <f t="shared" ref="F338:F339" si="72">D338+E338</f>
        <v>933.75547199999994</v>
      </c>
      <c r="G338" s="85">
        <v>0</v>
      </c>
      <c r="H338" s="85">
        <f t="shared" ref="H338:H339" si="73">F338*(($H$230)+1)+(IF(G338&lt;101,G338,IF(G338&lt;201,G338/2,IF(G338&lt;=301,G338/3,G338/4))))</f>
        <v>1400.633208</v>
      </c>
      <c r="I338" s="34"/>
      <c r="L338" s="177"/>
      <c r="M338" s="177"/>
      <c r="N338" s="34"/>
      <c r="T338" s="19"/>
    </row>
    <row r="339" spans="1:20" s="87" customFormat="1" ht="15.75" customHeight="1" x14ac:dyDescent="0.35">
      <c r="A339" s="85">
        <v>6</v>
      </c>
      <c r="B339" s="85" t="s">
        <v>395</v>
      </c>
      <c r="C339" s="85" t="s">
        <v>394</v>
      </c>
      <c r="D339" s="85">
        <f t="shared" si="67"/>
        <v>880.47367199999997</v>
      </c>
      <c r="E339" s="85">
        <f t="shared" si="68"/>
        <v>53.281799999999997</v>
      </c>
      <c r="F339" s="85">
        <f t="shared" si="72"/>
        <v>933.75547199999994</v>
      </c>
      <c r="G339" s="85">
        <v>0</v>
      </c>
      <c r="H339" s="85">
        <f t="shared" si="73"/>
        <v>1400.633208</v>
      </c>
      <c r="I339" s="34"/>
      <c r="L339" s="177"/>
      <c r="M339" s="177"/>
      <c r="N339" s="34"/>
      <c r="T339" s="19"/>
    </row>
    <row r="340" spans="1:20" s="87" customFormat="1" ht="15.75" customHeight="1" x14ac:dyDescent="0.35">
      <c r="A340" s="172" t="s">
        <v>433</v>
      </c>
      <c r="B340" s="173"/>
      <c r="C340" s="173"/>
      <c r="D340" s="173"/>
      <c r="E340" s="173"/>
      <c r="F340" s="173"/>
      <c r="G340" s="173"/>
      <c r="H340" s="174"/>
      <c r="J340" s="34"/>
    </row>
    <row r="341" spans="1:20" s="87" customFormat="1" ht="15.75" customHeight="1" x14ac:dyDescent="0.35">
      <c r="A341" s="85">
        <v>1</v>
      </c>
      <c r="B341" s="85" t="s">
        <v>395</v>
      </c>
      <c r="C341" s="85" t="s">
        <v>394</v>
      </c>
      <c r="D341" s="85">
        <f t="shared" si="67"/>
        <v>880.47367199999997</v>
      </c>
      <c r="E341" s="85">
        <f t="shared" si="68"/>
        <v>53.281799999999997</v>
      </c>
      <c r="F341" s="85">
        <f>D341+E341</f>
        <v>933.75547199999994</v>
      </c>
      <c r="G341" s="85">
        <v>0</v>
      </c>
      <c r="H341" s="85">
        <f>F341*(($H$230)+1)+(IF(G341&lt;101,G341,IF(G341&lt;201,G341/2,IF(G341&lt;=301,G341/3,G341/4))))</f>
        <v>1400.633208</v>
      </c>
      <c r="I341" s="34"/>
      <c r="L341" s="177"/>
      <c r="M341" s="177"/>
      <c r="N341" s="34"/>
    </row>
    <row r="342" spans="1:20" s="87" customFormat="1" ht="15.75" customHeight="1" x14ac:dyDescent="0.35">
      <c r="A342" s="85">
        <v>2</v>
      </c>
      <c r="B342" s="85" t="s">
        <v>395</v>
      </c>
      <c r="C342" s="85" t="s">
        <v>394</v>
      </c>
      <c r="D342" s="85">
        <f t="shared" si="67"/>
        <v>880.47367199999997</v>
      </c>
      <c r="E342" s="85">
        <f t="shared" si="68"/>
        <v>53.281799999999997</v>
      </c>
      <c r="F342" s="85">
        <f>D342+E342</f>
        <v>933.75547199999994</v>
      </c>
      <c r="G342" s="85">
        <v>0</v>
      </c>
      <c r="H342" s="85">
        <f>F342*(($H$230)+1)+(IF(G342&lt;101,G342,IF(G342&lt;201,G342/2,IF(G342&lt;=301,G342/3,G342/4))))</f>
        <v>1400.633208</v>
      </c>
      <c r="I342" s="34"/>
      <c r="L342" s="177"/>
      <c r="M342" s="177"/>
      <c r="N342" s="34"/>
    </row>
    <row r="343" spans="1:20" s="87" customFormat="1" ht="15.75" customHeight="1" x14ac:dyDescent="0.35">
      <c r="A343" s="85">
        <v>3</v>
      </c>
      <c r="B343" s="86" t="s">
        <v>396</v>
      </c>
      <c r="C343" s="85" t="s">
        <v>398</v>
      </c>
      <c r="D343" s="85">
        <f>(66.645)*10.764</f>
        <v>717.36677999999995</v>
      </c>
      <c r="E343" s="85">
        <f>(3.3)*10.764</f>
        <v>35.521199999999993</v>
      </c>
      <c r="F343" s="85">
        <f>D343+E343</f>
        <v>752.88797999999997</v>
      </c>
      <c r="G343" s="85">
        <v>0</v>
      </c>
      <c r="H343" s="85">
        <f>F343*(($H$230)+1)+(IF(G343&lt;101,G343,IF(G343&lt;201,G343/2,IF(G343&lt;=301,G343/3,G343/4))))</f>
        <v>1129.33197</v>
      </c>
      <c r="I343" s="34"/>
      <c r="L343" s="177"/>
      <c r="M343" s="177"/>
      <c r="N343" s="34"/>
    </row>
    <row r="344" spans="1:20" s="87" customFormat="1" ht="15.75" customHeight="1" x14ac:dyDescent="0.35">
      <c r="A344" s="85">
        <v>4</v>
      </c>
      <c r="B344" s="85" t="s">
        <v>395</v>
      </c>
      <c r="C344" s="85" t="s">
        <v>394</v>
      </c>
      <c r="D344" s="85">
        <f t="shared" si="67"/>
        <v>880.47367199999997</v>
      </c>
      <c r="E344" s="85">
        <f t="shared" si="68"/>
        <v>53.281799999999997</v>
      </c>
      <c r="F344" s="85">
        <f>D344+E344</f>
        <v>933.75547199999994</v>
      </c>
      <c r="G344" s="85">
        <v>0</v>
      </c>
      <c r="H344" s="85">
        <f>F344*(($H$230)+1)+(IF(G344&lt;101,G344,IF(G344&lt;201,G344/2,IF(G344&lt;=301,G344/3,G344/4))))</f>
        <v>1400.633208</v>
      </c>
      <c r="I344" s="34"/>
      <c r="L344" s="177"/>
      <c r="M344" s="177"/>
      <c r="N344" s="34"/>
      <c r="T344" s="19"/>
    </row>
    <row r="345" spans="1:20" s="87" customFormat="1" ht="15.75" customHeight="1" x14ac:dyDescent="0.35">
      <c r="A345" s="85">
        <v>5</v>
      </c>
      <c r="B345" s="85" t="s">
        <v>395</v>
      </c>
      <c r="C345" s="85" t="s">
        <v>394</v>
      </c>
      <c r="D345" s="85">
        <f t="shared" si="67"/>
        <v>880.47367199999997</v>
      </c>
      <c r="E345" s="85">
        <f t="shared" si="68"/>
        <v>53.281799999999997</v>
      </c>
      <c r="F345" s="85">
        <f t="shared" ref="F345:F346" si="74">D345+E345</f>
        <v>933.75547199999994</v>
      </c>
      <c r="G345" s="85">
        <v>0</v>
      </c>
      <c r="H345" s="85">
        <f t="shared" ref="H345:H346" si="75">F345*(($H$230)+1)+(IF(G345&lt;101,G345,IF(G345&lt;201,G345/2,IF(G345&lt;=301,G345/3,G345/4))))</f>
        <v>1400.633208</v>
      </c>
      <c r="I345" s="34"/>
      <c r="L345" s="177"/>
      <c r="M345" s="177"/>
      <c r="N345" s="34"/>
      <c r="T345" s="19"/>
    </row>
    <row r="346" spans="1:20" s="87" customFormat="1" ht="15.75" customHeight="1" x14ac:dyDescent="0.35">
      <c r="A346" s="85">
        <v>6</v>
      </c>
      <c r="B346" s="85" t="s">
        <v>395</v>
      </c>
      <c r="C346" s="85" t="s">
        <v>394</v>
      </c>
      <c r="D346" s="85">
        <f t="shared" si="67"/>
        <v>880.47367199999997</v>
      </c>
      <c r="E346" s="85">
        <f t="shared" si="68"/>
        <v>53.281799999999997</v>
      </c>
      <c r="F346" s="85">
        <f t="shared" si="74"/>
        <v>933.75547199999994</v>
      </c>
      <c r="G346" s="85">
        <v>0</v>
      </c>
      <c r="H346" s="85">
        <f t="shared" si="75"/>
        <v>1400.633208</v>
      </c>
      <c r="I346" s="34"/>
      <c r="L346" s="177"/>
      <c r="M346" s="177"/>
      <c r="N346" s="34"/>
      <c r="T346" s="19"/>
    </row>
    <row r="347" spans="1:20" s="87" customFormat="1" x14ac:dyDescent="0.35">
      <c r="A347" s="233" t="s">
        <v>401</v>
      </c>
      <c r="B347" s="233"/>
      <c r="C347" s="233"/>
      <c r="D347" s="233"/>
      <c r="E347" s="233"/>
      <c r="F347" s="233"/>
      <c r="G347" s="233"/>
      <c r="H347" s="233"/>
      <c r="J347" s="34"/>
    </row>
    <row r="348" spans="1:20" s="87" customFormat="1" ht="15.75" customHeight="1" x14ac:dyDescent="0.35">
      <c r="A348" s="115">
        <v>1</v>
      </c>
      <c r="B348" s="115" t="s">
        <v>395</v>
      </c>
      <c r="C348" s="115" t="s">
        <v>394</v>
      </c>
      <c r="D348" s="115">
        <f t="shared" si="67"/>
        <v>880.47367199999997</v>
      </c>
      <c r="E348" s="115">
        <f t="shared" si="68"/>
        <v>53.281799999999997</v>
      </c>
      <c r="F348" s="115">
        <f>D348+E348</f>
        <v>933.75547199999994</v>
      </c>
      <c r="G348" s="115">
        <v>0</v>
      </c>
      <c r="H348" s="115">
        <f>F348*(($H$230)+1)+(IF(G348&lt;101,G348,IF(G348&lt;201,G348/2,IF(G348&lt;=301,G348/3,G348/4))))</f>
        <v>1400.633208</v>
      </c>
      <c r="I348" s="34"/>
      <c r="L348" s="177"/>
      <c r="M348" s="177"/>
      <c r="N348" s="34"/>
    </row>
    <row r="349" spans="1:20" s="87" customFormat="1" ht="15.75" customHeight="1" x14ac:dyDescent="0.35">
      <c r="A349" s="115">
        <v>2</v>
      </c>
      <c r="B349" s="115" t="s">
        <v>395</v>
      </c>
      <c r="C349" s="115" t="s">
        <v>394</v>
      </c>
      <c r="D349" s="115">
        <f t="shared" si="67"/>
        <v>880.47367199999997</v>
      </c>
      <c r="E349" s="115">
        <f t="shared" si="68"/>
        <v>53.281799999999997</v>
      </c>
      <c r="F349" s="115">
        <f>D349+E349</f>
        <v>933.75547199999994</v>
      </c>
      <c r="G349" s="115">
        <v>0</v>
      </c>
      <c r="H349" s="115">
        <f>F349*(($H$230)+1)+(IF(G349&lt;101,G349,IF(G349&lt;201,G349/2,IF(G349&lt;=301,G349/3,G349/4))))</f>
        <v>1400.633208</v>
      </c>
      <c r="I349" s="34"/>
      <c r="L349" s="177"/>
      <c r="M349" s="177"/>
      <c r="N349" s="34"/>
    </row>
    <row r="350" spans="1:20" s="87" customFormat="1" ht="15.75" customHeight="1" x14ac:dyDescent="0.35">
      <c r="A350" s="115">
        <v>3</v>
      </c>
      <c r="B350" s="115" t="s">
        <v>395</v>
      </c>
      <c r="C350" s="115" t="s">
        <v>394</v>
      </c>
      <c r="D350" s="115">
        <f t="shared" si="67"/>
        <v>880.47367199999997</v>
      </c>
      <c r="E350" s="115">
        <f t="shared" si="68"/>
        <v>53.281799999999997</v>
      </c>
      <c r="F350" s="115">
        <f>D350+E350</f>
        <v>933.75547199999994</v>
      </c>
      <c r="G350" s="115">
        <v>0</v>
      </c>
      <c r="H350" s="115">
        <f>F350*(($H$230)+1)+(IF(G350&lt;101,G350,IF(G350&lt;201,G350/2,IF(G350&lt;=301,G350/3,G350/4))))</f>
        <v>1400.633208</v>
      </c>
      <c r="I350" s="34"/>
      <c r="L350" s="177"/>
      <c r="M350" s="177"/>
      <c r="N350" s="34"/>
    </row>
    <row r="351" spans="1:20" s="87" customFormat="1" ht="15.75" customHeight="1" x14ac:dyDescent="0.35">
      <c r="A351" s="115">
        <v>4</v>
      </c>
      <c r="B351" s="115" t="s">
        <v>395</v>
      </c>
      <c r="C351" s="115" t="s">
        <v>394</v>
      </c>
      <c r="D351" s="115">
        <f t="shared" si="67"/>
        <v>880.47367199999997</v>
      </c>
      <c r="E351" s="115">
        <f t="shared" si="68"/>
        <v>53.281799999999997</v>
      </c>
      <c r="F351" s="115">
        <f>D351+E351</f>
        <v>933.75547199999994</v>
      </c>
      <c r="G351" s="115">
        <v>0</v>
      </c>
      <c r="H351" s="115">
        <f>F351*(($H$230)+1)+(IF(G351&lt;101,G351,IF(G351&lt;201,G351/2,IF(G351&lt;=301,G351/3,G351/4))))</f>
        <v>1400.633208</v>
      </c>
      <c r="I351" s="34"/>
      <c r="L351" s="177"/>
      <c r="M351" s="177"/>
      <c r="N351" s="34"/>
      <c r="T351" s="19"/>
    </row>
    <row r="352" spans="1:20" s="87" customFormat="1" ht="15.75" customHeight="1" x14ac:dyDescent="0.35">
      <c r="A352" s="115">
        <v>5</v>
      </c>
      <c r="B352" s="115" t="s">
        <v>395</v>
      </c>
      <c r="C352" s="115" t="s">
        <v>394</v>
      </c>
      <c r="D352" s="115">
        <f t="shared" si="67"/>
        <v>880.47367199999997</v>
      </c>
      <c r="E352" s="115">
        <f t="shared" si="68"/>
        <v>53.281799999999997</v>
      </c>
      <c r="F352" s="115">
        <f t="shared" ref="F352:F353" si="76">D352+E352</f>
        <v>933.75547199999994</v>
      </c>
      <c r="G352" s="115">
        <v>0</v>
      </c>
      <c r="H352" s="115">
        <f t="shared" ref="H352:H353" si="77">F352*(($H$230)+1)+(IF(G352&lt;101,G352,IF(G352&lt;201,G352/2,IF(G352&lt;=301,G352/3,G352/4))))</f>
        <v>1400.633208</v>
      </c>
      <c r="I352" s="34"/>
      <c r="L352" s="177"/>
      <c r="M352" s="177"/>
      <c r="N352" s="34"/>
      <c r="T352" s="19"/>
    </row>
    <row r="353" spans="1:20" s="87" customFormat="1" ht="15.75" customHeight="1" x14ac:dyDescent="0.35">
      <c r="A353" s="115">
        <v>6</v>
      </c>
      <c r="B353" s="115" t="s">
        <v>395</v>
      </c>
      <c r="C353" s="115" t="s">
        <v>394</v>
      </c>
      <c r="D353" s="115">
        <f t="shared" si="67"/>
        <v>880.47367199999997</v>
      </c>
      <c r="E353" s="115">
        <f t="shared" si="68"/>
        <v>53.281799999999997</v>
      </c>
      <c r="F353" s="115">
        <f t="shared" si="76"/>
        <v>933.75547199999994</v>
      </c>
      <c r="G353" s="115">
        <v>0</v>
      </c>
      <c r="H353" s="115">
        <f t="shared" si="77"/>
        <v>1400.633208</v>
      </c>
      <c r="I353" s="34"/>
      <c r="L353" s="177"/>
      <c r="M353" s="177"/>
      <c r="N353" s="34"/>
      <c r="T353" s="19"/>
    </row>
    <row r="354" spans="1:20" s="87" customFormat="1" x14ac:dyDescent="0.35">
      <c r="A354" s="233" t="s">
        <v>402</v>
      </c>
      <c r="B354" s="233"/>
      <c r="C354" s="233"/>
      <c r="D354" s="233"/>
      <c r="E354" s="233"/>
      <c r="F354" s="233"/>
      <c r="G354" s="233"/>
      <c r="H354" s="233"/>
      <c r="J354" s="34"/>
    </row>
    <row r="355" spans="1:20" s="87" customFormat="1" ht="15.75" customHeight="1" x14ac:dyDescent="0.35">
      <c r="A355" s="115">
        <v>1</v>
      </c>
      <c r="B355" s="115" t="s">
        <v>395</v>
      </c>
      <c r="C355" s="115" t="s">
        <v>394</v>
      </c>
      <c r="D355" s="115">
        <f t="shared" si="67"/>
        <v>880.47367199999997</v>
      </c>
      <c r="E355" s="115">
        <f t="shared" si="68"/>
        <v>53.281799999999997</v>
      </c>
      <c r="F355" s="115">
        <f>D355+E355</f>
        <v>933.75547199999994</v>
      </c>
      <c r="G355" s="115">
        <v>0</v>
      </c>
      <c r="H355" s="115">
        <f>F355*(($H$230)+1)+(IF(G355&lt;101,G355,IF(G355&lt;201,G355/2,IF(G355&lt;=301,G355/3,G355/4))))</f>
        <v>1400.633208</v>
      </c>
      <c r="I355" s="34"/>
      <c r="L355" s="177"/>
      <c r="M355" s="177"/>
      <c r="N355" s="34"/>
    </row>
    <row r="356" spans="1:20" s="87" customFormat="1" ht="15.75" customHeight="1" x14ac:dyDescent="0.35">
      <c r="A356" s="115">
        <v>2</v>
      </c>
      <c r="B356" s="115" t="s">
        <v>395</v>
      </c>
      <c r="C356" s="115" t="s">
        <v>394</v>
      </c>
      <c r="D356" s="115">
        <f t="shared" si="67"/>
        <v>880.47367199999997</v>
      </c>
      <c r="E356" s="115">
        <f t="shared" si="68"/>
        <v>53.281799999999997</v>
      </c>
      <c r="F356" s="115">
        <f>D356+E356</f>
        <v>933.75547199999994</v>
      </c>
      <c r="G356" s="115">
        <v>0</v>
      </c>
      <c r="H356" s="115">
        <f>F356*(($H$230)+1)+(IF(G356&lt;101,G356,IF(G356&lt;201,G356/2,IF(G356&lt;=301,G356/3,G356/4))))</f>
        <v>1400.633208</v>
      </c>
      <c r="I356" s="34"/>
      <c r="L356" s="177"/>
      <c r="M356" s="177"/>
      <c r="N356" s="34"/>
    </row>
    <row r="357" spans="1:20" s="87" customFormat="1" ht="15.75" customHeight="1" x14ac:dyDescent="0.35">
      <c r="A357" s="115">
        <v>3</v>
      </c>
      <c r="B357" s="115" t="s">
        <v>395</v>
      </c>
      <c r="C357" s="115" t="s">
        <v>394</v>
      </c>
      <c r="D357" s="115">
        <f t="shared" si="67"/>
        <v>880.47367199999997</v>
      </c>
      <c r="E357" s="115">
        <f t="shared" si="68"/>
        <v>53.281799999999997</v>
      </c>
      <c r="F357" s="115">
        <f>D357+E357</f>
        <v>933.75547199999994</v>
      </c>
      <c r="G357" s="115">
        <v>0</v>
      </c>
      <c r="H357" s="115">
        <f>F357*(($H$230)+1)+(IF(G357&lt;101,G357,IF(G357&lt;201,G357/2,IF(G357&lt;=301,G357/3,G357/4))))</f>
        <v>1400.633208</v>
      </c>
      <c r="I357" s="34"/>
      <c r="L357" s="177"/>
      <c r="M357" s="177"/>
      <c r="N357" s="34"/>
    </row>
    <row r="358" spans="1:20" s="87" customFormat="1" ht="15.75" customHeight="1" x14ac:dyDescent="0.35">
      <c r="A358" s="85">
        <v>4</v>
      </c>
      <c r="B358" s="86" t="s">
        <v>396</v>
      </c>
      <c r="C358" s="85" t="s">
        <v>394</v>
      </c>
      <c r="D358" s="85">
        <f t="shared" si="67"/>
        <v>880.47367199999997</v>
      </c>
      <c r="E358" s="85">
        <f t="shared" si="68"/>
        <v>53.281799999999997</v>
      </c>
      <c r="F358" s="85">
        <f>D358+E358</f>
        <v>933.75547199999994</v>
      </c>
      <c r="G358" s="85">
        <v>0</v>
      </c>
      <c r="H358" s="85">
        <f>F358*(($H$230)+1)+(IF(G358&lt;101,G358,IF(G358&lt;201,G358/2,IF(G358&lt;=301,G358/3,G358/4))))</f>
        <v>1400.633208</v>
      </c>
      <c r="I358" s="34"/>
      <c r="L358" s="177"/>
      <c r="M358" s="177"/>
      <c r="N358" s="34"/>
      <c r="T358" s="19"/>
    </row>
    <row r="359" spans="1:20" s="87" customFormat="1" ht="15.75" customHeight="1" x14ac:dyDescent="0.35">
      <c r="A359" s="85">
        <v>5</v>
      </c>
      <c r="B359" s="85" t="s">
        <v>395</v>
      </c>
      <c r="C359" s="85" t="s">
        <v>394</v>
      </c>
      <c r="D359" s="85">
        <f t="shared" si="67"/>
        <v>880.47367199999997</v>
      </c>
      <c r="E359" s="85">
        <f t="shared" si="68"/>
        <v>53.281799999999997</v>
      </c>
      <c r="F359" s="85">
        <f t="shared" ref="F359:F360" si="78">D359+E359</f>
        <v>933.75547199999994</v>
      </c>
      <c r="G359" s="85">
        <v>0</v>
      </c>
      <c r="H359" s="85">
        <f t="shared" ref="H359:H360" si="79">F359*(($H$230)+1)+(IF(G359&lt;101,G359,IF(G359&lt;201,G359/2,IF(G359&lt;=301,G359/3,G359/4))))</f>
        <v>1400.633208</v>
      </c>
      <c r="I359" s="34"/>
      <c r="L359" s="177"/>
      <c r="M359" s="177"/>
      <c r="N359" s="34"/>
      <c r="T359" s="19"/>
    </row>
    <row r="360" spans="1:20" s="87" customFormat="1" ht="15.75" customHeight="1" x14ac:dyDescent="0.35">
      <c r="A360" s="85">
        <v>6</v>
      </c>
      <c r="B360" s="85" t="s">
        <v>395</v>
      </c>
      <c r="C360" s="85" t="s">
        <v>394</v>
      </c>
      <c r="D360" s="85">
        <f t="shared" si="67"/>
        <v>880.47367199999997</v>
      </c>
      <c r="E360" s="85">
        <f t="shared" si="68"/>
        <v>53.281799999999997</v>
      </c>
      <c r="F360" s="85">
        <f t="shared" si="78"/>
        <v>933.75547199999994</v>
      </c>
      <c r="G360" s="85">
        <v>0</v>
      </c>
      <c r="H360" s="85">
        <f t="shared" si="79"/>
        <v>1400.633208</v>
      </c>
      <c r="I360" s="34"/>
      <c r="L360" s="177"/>
      <c r="M360" s="177"/>
      <c r="N360" s="34"/>
      <c r="T360" s="19"/>
    </row>
    <row r="361" spans="1:20" s="87" customFormat="1" x14ac:dyDescent="0.35">
      <c r="A361" s="241" t="s">
        <v>385</v>
      </c>
      <c r="B361" s="242"/>
      <c r="C361" s="242"/>
      <c r="D361" s="242"/>
      <c r="E361" s="242"/>
      <c r="F361" s="242"/>
      <c r="G361" s="242"/>
      <c r="H361" s="243"/>
      <c r="J361" s="34"/>
    </row>
    <row r="362" spans="1:20" s="87" customFormat="1" x14ac:dyDescent="0.35">
      <c r="A362" s="172" t="s">
        <v>406</v>
      </c>
      <c r="B362" s="173"/>
      <c r="C362" s="173"/>
      <c r="D362" s="173"/>
      <c r="E362" s="173"/>
      <c r="F362" s="173"/>
      <c r="G362" s="173"/>
      <c r="H362" s="174"/>
      <c r="J362" s="34"/>
    </row>
    <row r="363" spans="1:20" s="87" customFormat="1" ht="15.75" customHeight="1" x14ac:dyDescent="0.35">
      <c r="A363" s="85">
        <v>1</v>
      </c>
      <c r="B363" s="86" t="s">
        <v>396</v>
      </c>
      <c r="C363" s="85" t="s">
        <v>394</v>
      </c>
      <c r="D363" s="85">
        <f>(81.85)*10.764</f>
        <v>881.03339999999992</v>
      </c>
      <c r="E363" s="85">
        <f>(4.725)*10.764</f>
        <v>50.859899999999996</v>
      </c>
      <c r="F363" s="85">
        <f>D363+E363</f>
        <v>931.89329999999995</v>
      </c>
      <c r="G363" s="113">
        <f>(6.2*1.9+2.2*1.7)*10.764</f>
        <v>167.05727999999999</v>
      </c>
      <c r="H363" s="85">
        <f>F363*(($H$230)+1)+(IF(G363&lt;101,G363,IF(G363&lt;201,G363/2,IF(G363&lt;=301,G363/3,G363/4))))</f>
        <v>1481.36859</v>
      </c>
      <c r="I363" s="34"/>
      <c r="L363" s="177"/>
      <c r="M363" s="177"/>
      <c r="N363" s="34"/>
    </row>
    <row r="364" spans="1:20" s="87" customFormat="1" ht="15.75" customHeight="1" x14ac:dyDescent="0.35">
      <c r="A364" s="85">
        <v>2</v>
      </c>
      <c r="B364" s="86" t="s">
        <v>396</v>
      </c>
      <c r="C364" s="85" t="s">
        <v>394</v>
      </c>
      <c r="D364" s="85">
        <f>(81.85)*10.764</f>
        <v>881.03339999999992</v>
      </c>
      <c r="E364" s="85">
        <f>(4.725)*10.764</f>
        <v>50.859899999999996</v>
      </c>
      <c r="F364" s="85">
        <f>D364+E364</f>
        <v>931.89329999999995</v>
      </c>
      <c r="G364" s="113">
        <f>(3*1.9+1.6*2.5+12*0.75)*10.764</f>
        <v>201.28679999999997</v>
      </c>
      <c r="H364" s="85">
        <f>F364*(($H$230)+1)+(IF(G364&lt;101,G364,IF(G364&lt;201,G364/2,IF(G364&lt;=301,G364/3,G364/4))))</f>
        <v>1464.9355500000001</v>
      </c>
      <c r="I364" s="34"/>
      <c r="L364" s="177"/>
      <c r="M364" s="177"/>
      <c r="N364" s="34"/>
    </row>
    <row r="365" spans="1:20" s="87" customFormat="1" ht="15.75" customHeight="1" x14ac:dyDescent="0.35">
      <c r="A365" s="85">
        <v>3</v>
      </c>
      <c r="B365" s="86" t="s">
        <v>396</v>
      </c>
      <c r="C365" s="85" t="s">
        <v>398</v>
      </c>
      <c r="D365" s="85">
        <f>(61.66)*10.764</f>
        <v>663.70823999999993</v>
      </c>
      <c r="E365" s="85">
        <f>(3.54)*10.764</f>
        <v>38.104559999999999</v>
      </c>
      <c r="F365" s="85">
        <f>D365+E365</f>
        <v>701.81279999999992</v>
      </c>
      <c r="G365" s="113">
        <f>(11.7*1.2)*10.764</f>
        <v>151.12655999999998</v>
      </c>
      <c r="H365" s="85">
        <f>F365*(($H$230)+1)+(IF(G365&lt;101,G365,IF(G365&lt;201,G365/2,IF(G365&lt;=301,G365/3,G365/4))))</f>
        <v>1128.2824800000001</v>
      </c>
      <c r="I365" s="34"/>
      <c r="L365" s="177"/>
      <c r="M365" s="177"/>
      <c r="N365" s="34"/>
    </row>
    <row r="366" spans="1:20" s="87" customFormat="1" ht="15.75" customHeight="1" x14ac:dyDescent="0.35">
      <c r="A366" s="85">
        <v>4</v>
      </c>
      <c r="B366" s="86" t="s">
        <v>396</v>
      </c>
      <c r="C366" s="85" t="s">
        <v>398</v>
      </c>
      <c r="D366" s="85">
        <f>(61.66)*10.764</f>
        <v>663.70823999999993</v>
      </c>
      <c r="E366" s="85">
        <f>(3.54)*10.764</f>
        <v>38.104559999999999</v>
      </c>
      <c r="F366" s="85">
        <f>D366+E366</f>
        <v>701.81279999999992</v>
      </c>
      <c r="G366" s="113">
        <f>(11.7*1.2)*10.764</f>
        <v>151.12655999999998</v>
      </c>
      <c r="H366" s="85">
        <f>F366*(($H$230)+1)+(IF(G366&lt;101,G366,IF(G366&lt;201,G366/2,IF(G366&lt;=301,G366/3,G366/4))))</f>
        <v>1128.2824800000001</v>
      </c>
      <c r="I366" s="34"/>
      <c r="L366" s="177"/>
      <c r="M366" s="177"/>
      <c r="N366" s="34"/>
      <c r="T366" s="19"/>
    </row>
    <row r="367" spans="1:20" s="87" customFormat="1" x14ac:dyDescent="0.35">
      <c r="A367" s="172" t="s">
        <v>117</v>
      </c>
      <c r="B367" s="173"/>
      <c r="C367" s="173"/>
      <c r="D367" s="173"/>
      <c r="E367" s="173"/>
      <c r="F367" s="173"/>
      <c r="G367" s="173"/>
      <c r="H367" s="174"/>
      <c r="I367" s="87">
        <v>10000</v>
      </c>
      <c r="J367" s="34"/>
    </row>
    <row r="368" spans="1:20" s="87" customFormat="1" ht="15.75" customHeight="1" x14ac:dyDescent="0.35">
      <c r="A368" s="85">
        <v>1</v>
      </c>
      <c r="B368" s="86" t="s">
        <v>396</v>
      </c>
      <c r="C368" s="85" t="s">
        <v>394</v>
      </c>
      <c r="D368" s="85">
        <f>(81.85)*10.764</f>
        <v>881.03339999999992</v>
      </c>
      <c r="E368" s="85">
        <f>(4.725)*10.764</f>
        <v>50.859899999999996</v>
      </c>
      <c r="F368" s="85">
        <f>D368+E368</f>
        <v>931.89329999999995</v>
      </c>
      <c r="G368" s="85">
        <v>0</v>
      </c>
      <c r="H368" s="85">
        <f>F368*(($H$230)+1)+(IF(G368&lt;101,G368,IF(G368&lt;201,G368/2,IF(G368&lt;=301,G368/3,G368/4))))</f>
        <v>1397.83995</v>
      </c>
      <c r="I368" s="34">
        <f>I$367*H368</f>
        <v>13978399.5</v>
      </c>
      <c r="J368" s="34">
        <f>I368+500000</f>
        <v>14478399.5</v>
      </c>
      <c r="L368" s="177"/>
      <c r="M368" s="177"/>
      <c r="N368" s="34"/>
    </row>
    <row r="369" spans="1:20" s="87" customFormat="1" ht="15.75" customHeight="1" x14ac:dyDescent="0.35">
      <c r="A369" s="85">
        <f>A368+1</f>
        <v>2</v>
      </c>
      <c r="B369" s="86" t="s">
        <v>396</v>
      </c>
      <c r="C369" s="85" t="s">
        <v>394</v>
      </c>
      <c r="D369" s="85">
        <f>(81.85)*10.764</f>
        <v>881.03339999999992</v>
      </c>
      <c r="E369" s="85">
        <f>(4.725)*10.764</f>
        <v>50.859899999999996</v>
      </c>
      <c r="F369" s="85">
        <f>D369+E369</f>
        <v>931.89329999999995</v>
      </c>
      <c r="G369" s="85">
        <v>0</v>
      </c>
      <c r="H369" s="85">
        <f>F369*(($H$230)+1)+(IF(G369&lt;101,G369,IF(G369&lt;201,G369/2,IF(G369&lt;=301,G369/3,G369/4))))</f>
        <v>1397.83995</v>
      </c>
      <c r="I369" s="34">
        <f t="shared" ref="I369:I383" si="80">I$367*H369</f>
        <v>13978399.5</v>
      </c>
      <c r="J369" s="34">
        <f t="shared" ref="J369:J376" si="81">I369+500000</f>
        <v>14478399.5</v>
      </c>
      <c r="L369" s="177"/>
      <c r="M369" s="177"/>
      <c r="N369" s="34"/>
    </row>
    <row r="370" spans="1:20" s="87" customFormat="1" ht="15.75" customHeight="1" x14ac:dyDescent="0.35">
      <c r="A370" s="85">
        <f t="shared" ref="A370:A375" si="82">A369+1</f>
        <v>3</v>
      </c>
      <c r="B370" s="86" t="s">
        <v>396</v>
      </c>
      <c r="C370" s="85" t="s">
        <v>398</v>
      </c>
      <c r="D370" s="85">
        <f>(61.66)*10.764</f>
        <v>663.70823999999993</v>
      </c>
      <c r="E370" s="85">
        <f>(3.54)*10.764</f>
        <v>38.104559999999999</v>
      </c>
      <c r="F370" s="85">
        <f>D370+E370</f>
        <v>701.81279999999992</v>
      </c>
      <c r="G370" s="85">
        <v>0</v>
      </c>
      <c r="H370" s="85">
        <f>F370*(($H$230)+1)+(IF(G370&lt;101,G370,IF(G370&lt;201,G370/2,IF(G370&lt;=301,G370/3,G370/4))))</f>
        <v>1052.7192</v>
      </c>
      <c r="I370" s="34">
        <f t="shared" si="80"/>
        <v>10527192</v>
      </c>
      <c r="J370" s="34">
        <f t="shared" si="81"/>
        <v>11027192</v>
      </c>
      <c r="L370" s="177"/>
      <c r="M370" s="177"/>
      <c r="N370" s="34"/>
    </row>
    <row r="371" spans="1:20" s="87" customFormat="1" ht="15.75" customHeight="1" x14ac:dyDescent="0.35">
      <c r="A371" s="85">
        <f t="shared" si="82"/>
        <v>4</v>
      </c>
      <c r="B371" s="86" t="s">
        <v>396</v>
      </c>
      <c r="C371" s="85" t="s">
        <v>398</v>
      </c>
      <c r="D371" s="85">
        <f>(61.66)*10.764</f>
        <v>663.70823999999993</v>
      </c>
      <c r="E371" s="85">
        <f>(3.54)*10.764</f>
        <v>38.104559999999999</v>
      </c>
      <c r="F371" s="85">
        <f>D371+E371</f>
        <v>701.81279999999992</v>
      </c>
      <c r="G371" s="85">
        <v>0</v>
      </c>
      <c r="H371" s="85">
        <f>F371*(($H$230)+1)+(IF(G371&lt;101,G371,IF(G371&lt;201,G371/2,IF(G371&lt;=301,G371/3,G371/4))))</f>
        <v>1052.7192</v>
      </c>
      <c r="I371" s="34">
        <f t="shared" si="80"/>
        <v>10527192</v>
      </c>
      <c r="J371" s="34">
        <f t="shared" si="81"/>
        <v>11027192</v>
      </c>
      <c r="L371" s="177"/>
      <c r="M371" s="177"/>
      <c r="N371" s="34"/>
      <c r="T371" s="19"/>
    </row>
    <row r="372" spans="1:20" s="87" customFormat="1" ht="15.75" customHeight="1" x14ac:dyDescent="0.35">
      <c r="A372" s="85">
        <f t="shared" si="82"/>
        <v>5</v>
      </c>
      <c r="B372" s="99" t="s">
        <v>409</v>
      </c>
      <c r="C372" s="85" t="s">
        <v>398</v>
      </c>
      <c r="D372" s="85">
        <f t="shared" ref="D372:D373" si="83">(61.66)*10.764</f>
        <v>663.70823999999993</v>
      </c>
      <c r="E372" s="85">
        <f t="shared" ref="E372:E373" si="84">(3.54)*10.764</f>
        <v>38.104559999999999</v>
      </c>
      <c r="F372" s="85">
        <f t="shared" ref="F372:F373" si="85">D372+E372</f>
        <v>701.81279999999992</v>
      </c>
      <c r="G372" s="85">
        <v>0</v>
      </c>
      <c r="H372" s="85">
        <f t="shared" ref="H372:H373" si="86">F372*(($H$230)+1)+(IF(G372&lt;101,G372,IF(G372&lt;201,G372/2,IF(G372&lt;=301,G372/3,G372/4))))</f>
        <v>1052.7192</v>
      </c>
      <c r="I372" s="34">
        <f t="shared" si="80"/>
        <v>10527192</v>
      </c>
      <c r="J372" s="34">
        <f t="shared" si="81"/>
        <v>11027192</v>
      </c>
      <c r="L372" s="177"/>
      <c r="M372" s="177"/>
      <c r="N372" s="34"/>
      <c r="T372" s="19"/>
    </row>
    <row r="373" spans="1:20" s="87" customFormat="1" ht="15.75" customHeight="1" x14ac:dyDescent="0.35">
      <c r="A373" s="85">
        <f t="shared" si="82"/>
        <v>6</v>
      </c>
      <c r="B373" s="99" t="s">
        <v>409</v>
      </c>
      <c r="C373" s="85" t="s">
        <v>398</v>
      </c>
      <c r="D373" s="85">
        <f t="shared" si="83"/>
        <v>663.70823999999993</v>
      </c>
      <c r="E373" s="85">
        <f t="shared" si="84"/>
        <v>38.104559999999999</v>
      </c>
      <c r="F373" s="85">
        <f t="shared" si="85"/>
        <v>701.81279999999992</v>
      </c>
      <c r="G373" s="85">
        <v>0</v>
      </c>
      <c r="H373" s="85">
        <f t="shared" si="86"/>
        <v>1052.7192</v>
      </c>
      <c r="I373" s="34">
        <f t="shared" si="80"/>
        <v>10527192</v>
      </c>
      <c r="J373" s="34">
        <f t="shared" si="81"/>
        <v>11027192</v>
      </c>
      <c r="L373" s="177"/>
      <c r="M373" s="177"/>
      <c r="N373" s="34"/>
      <c r="T373" s="19"/>
    </row>
    <row r="374" spans="1:20" s="87" customFormat="1" ht="15.75" customHeight="1" x14ac:dyDescent="0.35">
      <c r="A374" s="85">
        <f t="shared" si="82"/>
        <v>7</v>
      </c>
      <c r="B374" s="86" t="s">
        <v>396</v>
      </c>
      <c r="C374" s="85" t="s">
        <v>394</v>
      </c>
      <c r="D374" s="85">
        <f>(81.85)*10.764</f>
        <v>881.03339999999992</v>
      </c>
      <c r="E374" s="85">
        <f>(4.725)*10.764</f>
        <v>50.859899999999996</v>
      </c>
      <c r="F374" s="85">
        <f t="shared" ref="F374:F375" si="87">D374+E374</f>
        <v>931.89329999999995</v>
      </c>
      <c r="G374" s="85">
        <v>0</v>
      </c>
      <c r="H374" s="85">
        <f t="shared" ref="H374:H375" si="88">F374*(($H$230)+1)+(IF(G374&lt;101,G374,IF(G374&lt;201,G374/2,IF(G374&lt;=301,G374/3,G374/4))))</f>
        <v>1397.83995</v>
      </c>
      <c r="I374" s="34">
        <f t="shared" si="80"/>
        <v>13978399.5</v>
      </c>
      <c r="J374" s="34">
        <f t="shared" si="81"/>
        <v>14478399.5</v>
      </c>
      <c r="L374" s="177"/>
      <c r="M374" s="177"/>
      <c r="N374" s="34"/>
      <c r="T374" s="19"/>
    </row>
    <row r="375" spans="1:20" s="87" customFormat="1" ht="15.75" customHeight="1" x14ac:dyDescent="0.35">
      <c r="A375" s="85">
        <f t="shared" si="82"/>
        <v>8</v>
      </c>
      <c r="B375" s="86" t="s">
        <v>396</v>
      </c>
      <c r="C375" s="85" t="s">
        <v>394</v>
      </c>
      <c r="D375" s="85">
        <f>(81.85)*10.764</f>
        <v>881.03339999999992</v>
      </c>
      <c r="E375" s="85">
        <f>(4.725)*10.764</f>
        <v>50.859899999999996</v>
      </c>
      <c r="F375" s="85">
        <f t="shared" si="87"/>
        <v>931.89329999999995</v>
      </c>
      <c r="G375" s="85">
        <v>0</v>
      </c>
      <c r="H375" s="85">
        <f t="shared" si="88"/>
        <v>1397.83995</v>
      </c>
      <c r="I375" s="34">
        <f t="shared" si="80"/>
        <v>13978399.5</v>
      </c>
      <c r="J375" s="34">
        <f t="shared" si="81"/>
        <v>14478399.5</v>
      </c>
      <c r="L375" s="177"/>
      <c r="M375" s="177"/>
      <c r="N375" s="34"/>
      <c r="T375" s="19"/>
    </row>
    <row r="376" spans="1:20" s="87" customFormat="1" x14ac:dyDescent="0.35">
      <c r="A376" s="172" t="s">
        <v>407</v>
      </c>
      <c r="B376" s="173"/>
      <c r="C376" s="173"/>
      <c r="D376" s="173"/>
      <c r="E376" s="173"/>
      <c r="F376" s="173"/>
      <c r="G376" s="173"/>
      <c r="H376" s="174"/>
      <c r="I376" s="34">
        <f t="shared" si="80"/>
        <v>0</v>
      </c>
      <c r="J376" s="34">
        <f t="shared" si="81"/>
        <v>500000</v>
      </c>
    </row>
    <row r="377" spans="1:20" s="87" customFormat="1" ht="15.75" customHeight="1" x14ac:dyDescent="0.35">
      <c r="A377" s="85">
        <v>1</v>
      </c>
      <c r="B377" s="86" t="s">
        <v>396</v>
      </c>
      <c r="C377" s="85" t="s">
        <v>394</v>
      </c>
      <c r="D377" s="85">
        <f>(81.85)*10.764</f>
        <v>881.03339999999992</v>
      </c>
      <c r="E377" s="85">
        <f>(4.725)*10.764</f>
        <v>50.859899999999996</v>
      </c>
      <c r="F377" s="85">
        <f>D377+E377</f>
        <v>931.89329999999995</v>
      </c>
      <c r="G377" s="85">
        <v>0</v>
      </c>
      <c r="H377" s="85">
        <f>F377*(($H$230)+1)+(IF(G377&lt;101,G377,IF(G377&lt;201,G377/2,IF(G377&lt;=301,G377/3,G377/4))))</f>
        <v>1397.83995</v>
      </c>
      <c r="I377" s="34">
        <f t="shared" si="80"/>
        <v>13978399.5</v>
      </c>
      <c r="L377" s="177"/>
      <c r="M377" s="177"/>
      <c r="N377" s="34"/>
    </row>
    <row r="378" spans="1:20" s="87" customFormat="1" ht="15.75" customHeight="1" x14ac:dyDescent="0.35">
      <c r="A378" s="85">
        <v>2</v>
      </c>
      <c r="B378" s="86" t="s">
        <v>396</v>
      </c>
      <c r="C378" s="85" t="s">
        <v>394</v>
      </c>
      <c r="D378" s="85">
        <f>(81.85)*10.764</f>
        <v>881.03339999999992</v>
      </c>
      <c r="E378" s="85">
        <f>(4.725)*10.764</f>
        <v>50.859899999999996</v>
      </c>
      <c r="F378" s="85">
        <f>D378+E378</f>
        <v>931.89329999999995</v>
      </c>
      <c r="G378" s="85">
        <v>0</v>
      </c>
      <c r="H378" s="85">
        <f>F378*(($H$230)+1)+(IF(G378&lt;101,G378,IF(G378&lt;201,G378/2,IF(G378&lt;=301,G378/3,G378/4))))</f>
        <v>1397.83995</v>
      </c>
      <c r="I378" s="34">
        <f t="shared" si="80"/>
        <v>13978399.5</v>
      </c>
      <c r="L378" s="177"/>
      <c r="M378" s="177"/>
      <c r="N378" s="34"/>
    </row>
    <row r="379" spans="1:20" s="87" customFormat="1" ht="15.75" customHeight="1" x14ac:dyDescent="0.35">
      <c r="A379" s="85">
        <v>3</v>
      </c>
      <c r="B379" s="86" t="s">
        <v>396</v>
      </c>
      <c r="C379" s="85" t="s">
        <v>398</v>
      </c>
      <c r="D379" s="85">
        <f>(61.66)*10.764</f>
        <v>663.70823999999993</v>
      </c>
      <c r="E379" s="85">
        <f>(3.54)*10.764</f>
        <v>38.104559999999999</v>
      </c>
      <c r="F379" s="85">
        <f>D379+E379</f>
        <v>701.81279999999992</v>
      </c>
      <c r="G379" s="85">
        <v>0</v>
      </c>
      <c r="H379" s="85">
        <f>F379*(($H$230)+1)+(IF(G379&lt;101,G379,IF(G379&lt;201,G379/2,IF(G379&lt;=301,G379/3,G379/4))))</f>
        <v>1052.7192</v>
      </c>
      <c r="I379" s="34">
        <f t="shared" si="80"/>
        <v>10527192</v>
      </c>
      <c r="L379" s="177"/>
      <c r="M379" s="177"/>
      <c r="N379" s="34"/>
    </row>
    <row r="380" spans="1:20" s="87" customFormat="1" ht="15.75" customHeight="1" x14ac:dyDescent="0.35">
      <c r="A380" s="85">
        <v>4</v>
      </c>
      <c r="B380" s="86" t="s">
        <v>396</v>
      </c>
      <c r="C380" s="85" t="s">
        <v>398</v>
      </c>
      <c r="D380" s="85">
        <f>(61.66)*10.764</f>
        <v>663.70823999999993</v>
      </c>
      <c r="E380" s="85">
        <f>(3.54)*10.764</f>
        <v>38.104559999999999</v>
      </c>
      <c r="F380" s="85">
        <f>D380+E380</f>
        <v>701.81279999999992</v>
      </c>
      <c r="G380" s="85">
        <v>0</v>
      </c>
      <c r="H380" s="85">
        <f>F380*(($H$230)+1)+(IF(G380&lt;101,G380,IF(G380&lt;201,G380/2,IF(G380&lt;=301,G380/3,G380/4))))</f>
        <v>1052.7192</v>
      </c>
      <c r="I380" s="34">
        <f t="shared" si="80"/>
        <v>10527192</v>
      </c>
      <c r="L380" s="177"/>
      <c r="M380" s="177"/>
      <c r="N380" s="34"/>
      <c r="T380" s="19"/>
    </row>
    <row r="381" spans="1:20" s="87" customFormat="1" ht="15.75" customHeight="1" x14ac:dyDescent="0.35">
      <c r="A381" s="85">
        <v>5</v>
      </c>
      <c r="B381" s="86" t="s">
        <v>396</v>
      </c>
      <c r="C381" s="85" t="s">
        <v>398</v>
      </c>
      <c r="D381" s="85">
        <f t="shared" ref="D381:D382" si="89">(61.66)*10.764</f>
        <v>663.70823999999993</v>
      </c>
      <c r="E381" s="85">
        <f t="shared" ref="E381:E382" si="90">(3.54)*10.764</f>
        <v>38.104559999999999</v>
      </c>
      <c r="F381" s="85">
        <f t="shared" ref="F381:F384" si="91">D381+E381</f>
        <v>701.81279999999992</v>
      </c>
      <c r="G381" s="85">
        <v>0</v>
      </c>
      <c r="H381" s="85">
        <f t="shared" ref="H381:H384" si="92">F381*(($H$230)+1)+(IF(G381&lt;101,G381,IF(G381&lt;201,G381/2,IF(G381&lt;=301,G381/3,G381/4))))</f>
        <v>1052.7192</v>
      </c>
      <c r="I381" s="34">
        <f t="shared" si="80"/>
        <v>10527192</v>
      </c>
      <c r="L381" s="177"/>
      <c r="M381" s="177"/>
      <c r="N381" s="34"/>
      <c r="T381" s="19"/>
    </row>
    <row r="382" spans="1:20" s="87" customFormat="1" ht="15.75" customHeight="1" x14ac:dyDescent="0.35">
      <c r="A382" s="85">
        <v>6</v>
      </c>
      <c r="B382" s="86" t="s">
        <v>396</v>
      </c>
      <c r="C382" s="85" t="s">
        <v>398</v>
      </c>
      <c r="D382" s="85">
        <f t="shared" si="89"/>
        <v>663.70823999999993</v>
      </c>
      <c r="E382" s="85">
        <f t="shared" si="90"/>
        <v>38.104559999999999</v>
      </c>
      <c r="F382" s="85">
        <f t="shared" si="91"/>
        <v>701.81279999999992</v>
      </c>
      <c r="G382" s="85">
        <v>0</v>
      </c>
      <c r="H382" s="85">
        <f t="shared" si="92"/>
        <v>1052.7192</v>
      </c>
      <c r="I382" s="34">
        <f t="shared" si="80"/>
        <v>10527192</v>
      </c>
      <c r="L382" s="177"/>
      <c r="M382" s="177"/>
      <c r="N382" s="34"/>
      <c r="T382" s="19"/>
    </row>
    <row r="383" spans="1:20" s="87" customFormat="1" ht="15.75" customHeight="1" x14ac:dyDescent="0.35">
      <c r="A383" s="85">
        <f t="shared" ref="A383:A384" si="93">A382+1</f>
        <v>7</v>
      </c>
      <c r="B383" s="86" t="s">
        <v>396</v>
      </c>
      <c r="C383" s="85" t="s">
        <v>394</v>
      </c>
      <c r="D383" s="85">
        <f>(81.85)*10.764</f>
        <v>881.03339999999992</v>
      </c>
      <c r="E383" s="85">
        <f>(4.725)*10.764</f>
        <v>50.859899999999996</v>
      </c>
      <c r="F383" s="85">
        <f t="shared" si="91"/>
        <v>931.89329999999995</v>
      </c>
      <c r="G383" s="85">
        <v>0</v>
      </c>
      <c r="H383" s="85">
        <f t="shared" si="92"/>
        <v>1397.83995</v>
      </c>
      <c r="I383" s="34">
        <f t="shared" si="80"/>
        <v>13978399.5</v>
      </c>
      <c r="L383" s="177"/>
      <c r="M383" s="177"/>
      <c r="N383" s="34"/>
      <c r="T383" s="19"/>
    </row>
    <row r="384" spans="1:20" s="87" customFormat="1" ht="15.75" customHeight="1" x14ac:dyDescent="0.35">
      <c r="A384" s="85">
        <f t="shared" si="93"/>
        <v>8</v>
      </c>
      <c r="B384" s="99" t="s">
        <v>409</v>
      </c>
      <c r="C384" s="85" t="s">
        <v>394</v>
      </c>
      <c r="D384" s="85">
        <f>(81.85)*10.764</f>
        <v>881.03339999999992</v>
      </c>
      <c r="E384" s="60">
        <v>0</v>
      </c>
      <c r="F384" s="85">
        <f t="shared" si="91"/>
        <v>881.03339999999992</v>
      </c>
      <c r="G384" s="85">
        <v>0</v>
      </c>
      <c r="H384" s="85">
        <f t="shared" si="92"/>
        <v>1321.5500999999999</v>
      </c>
      <c r="I384" s="110">
        <f>1810/F383</f>
        <v>1.9422824480012895</v>
      </c>
      <c r="L384" s="177"/>
      <c r="M384" s="177"/>
      <c r="N384" s="34"/>
      <c r="T384" s="19"/>
    </row>
    <row r="385" spans="1:20" s="87" customFormat="1" x14ac:dyDescent="0.35">
      <c r="A385" s="172" t="s">
        <v>412</v>
      </c>
      <c r="B385" s="173"/>
      <c r="C385" s="173"/>
      <c r="D385" s="173"/>
      <c r="E385" s="173"/>
      <c r="F385" s="173"/>
      <c r="G385" s="173"/>
      <c r="H385" s="174"/>
      <c r="J385" s="34"/>
    </row>
    <row r="386" spans="1:20" s="87" customFormat="1" ht="15.75" customHeight="1" x14ac:dyDescent="0.35">
      <c r="A386" s="85">
        <v>1</v>
      </c>
      <c r="B386" s="86" t="s">
        <v>396</v>
      </c>
      <c r="C386" s="85" t="s">
        <v>394</v>
      </c>
      <c r="D386" s="85">
        <f>(81.85)*10.764</f>
        <v>881.03339999999992</v>
      </c>
      <c r="E386" s="85">
        <f>(4.725)*10.764</f>
        <v>50.859899999999996</v>
      </c>
      <c r="F386" s="85">
        <f>D386+E386</f>
        <v>931.89329999999995</v>
      </c>
      <c r="G386" s="85">
        <v>0</v>
      </c>
      <c r="H386" s="85">
        <f>F386*(($H$230)+1)+(IF(G386&lt;101,G386,IF(G386&lt;201,G386/2,IF(G386&lt;=301,G386/3,G386/4))))</f>
        <v>1397.83995</v>
      </c>
      <c r="I386" s="34"/>
      <c r="L386" s="177"/>
      <c r="M386" s="177"/>
      <c r="N386" s="34"/>
    </row>
    <row r="387" spans="1:20" s="87" customFormat="1" ht="15.75" customHeight="1" x14ac:dyDescent="0.35">
      <c r="A387" s="85">
        <f>A386+1</f>
        <v>2</v>
      </c>
      <c r="B387" s="86" t="s">
        <v>396</v>
      </c>
      <c r="C387" s="85" t="s">
        <v>394</v>
      </c>
      <c r="D387" s="85">
        <f>(81.85)*10.764</f>
        <v>881.03339999999992</v>
      </c>
      <c r="E387" s="85">
        <f>(4.725)*10.764</f>
        <v>50.859899999999996</v>
      </c>
      <c r="F387" s="85">
        <f>D387+E387</f>
        <v>931.89329999999995</v>
      </c>
      <c r="G387" s="85">
        <v>0</v>
      </c>
      <c r="H387" s="85">
        <f>F387*(($H$230)+1)+(IF(G387&lt;101,G387,IF(G387&lt;201,G387/2,IF(G387&lt;=301,G387/3,G387/4))))</f>
        <v>1397.83995</v>
      </c>
      <c r="I387" s="34"/>
      <c r="L387" s="177"/>
      <c r="M387" s="177"/>
      <c r="N387" s="34"/>
    </row>
    <row r="388" spans="1:20" s="87" customFormat="1" ht="15.75" customHeight="1" x14ac:dyDescent="0.35">
      <c r="A388" s="85">
        <f t="shared" ref="A388:A393" si="94">A387+1</f>
        <v>3</v>
      </c>
      <c r="B388" s="86" t="s">
        <v>393</v>
      </c>
      <c r="C388" s="85" t="s">
        <v>393</v>
      </c>
      <c r="D388" s="169" t="s">
        <v>399</v>
      </c>
      <c r="E388" s="237"/>
      <c r="F388" s="237"/>
      <c r="G388" s="170"/>
      <c r="H388" s="85" t="s">
        <v>393</v>
      </c>
      <c r="I388" s="34"/>
      <c r="L388" s="177"/>
      <c r="M388" s="177"/>
      <c r="N388" s="34"/>
    </row>
    <row r="389" spans="1:20" s="87" customFormat="1" ht="15.75" customHeight="1" x14ac:dyDescent="0.35">
      <c r="A389" s="85">
        <f t="shared" si="94"/>
        <v>4</v>
      </c>
      <c r="B389" s="86" t="s">
        <v>396</v>
      </c>
      <c r="C389" s="85" t="s">
        <v>398</v>
      </c>
      <c r="D389" s="85">
        <f>(61.66)*10.764</f>
        <v>663.70823999999993</v>
      </c>
      <c r="E389" s="85">
        <f>(3.54)*10.764</f>
        <v>38.104559999999999</v>
      </c>
      <c r="F389" s="85">
        <f>D389+E389</f>
        <v>701.81279999999992</v>
      </c>
      <c r="G389" s="85">
        <v>0</v>
      </c>
      <c r="H389" s="85">
        <f>F389*(($H$230)+1)+(IF(G389&lt;101,G389,IF(G389&lt;201,G389/2,IF(G389&lt;=301,G389/3,G389/4))))</f>
        <v>1052.7192</v>
      </c>
      <c r="I389" s="34"/>
      <c r="L389" s="177"/>
      <c r="M389" s="177"/>
      <c r="N389" s="34"/>
      <c r="T389" s="19"/>
    </row>
    <row r="390" spans="1:20" s="87" customFormat="1" ht="15.75" customHeight="1" x14ac:dyDescent="0.35">
      <c r="A390" s="85">
        <f t="shared" si="94"/>
        <v>5</v>
      </c>
      <c r="B390" s="86" t="s">
        <v>396</v>
      </c>
      <c r="C390" s="85" t="s">
        <v>398</v>
      </c>
      <c r="D390" s="85">
        <f t="shared" ref="D390:D391" si="95">(61.66)*10.764</f>
        <v>663.70823999999993</v>
      </c>
      <c r="E390" s="85">
        <f t="shared" ref="E390:E391" si="96">(3.54)*10.764</f>
        <v>38.104559999999999</v>
      </c>
      <c r="F390" s="85">
        <f t="shared" ref="F390:F393" si="97">D390+E390</f>
        <v>701.81279999999992</v>
      </c>
      <c r="G390" s="85">
        <v>0</v>
      </c>
      <c r="H390" s="85">
        <f t="shared" ref="H390:H393" si="98">F390*(($H$230)+1)+(IF(G390&lt;101,G390,IF(G390&lt;201,G390/2,IF(G390&lt;=301,G390/3,G390/4))))</f>
        <v>1052.7192</v>
      </c>
      <c r="I390" s="34"/>
      <c r="L390" s="177"/>
      <c r="M390" s="177"/>
      <c r="N390" s="34"/>
      <c r="T390" s="19"/>
    </row>
    <row r="391" spans="1:20" s="87" customFormat="1" ht="15.75" customHeight="1" x14ac:dyDescent="0.35">
      <c r="A391" s="85">
        <f t="shared" si="94"/>
        <v>6</v>
      </c>
      <c r="B391" s="86" t="s">
        <v>396</v>
      </c>
      <c r="C391" s="85" t="s">
        <v>398</v>
      </c>
      <c r="D391" s="85">
        <f t="shared" si="95"/>
        <v>663.70823999999993</v>
      </c>
      <c r="E391" s="85">
        <f t="shared" si="96"/>
        <v>38.104559999999999</v>
      </c>
      <c r="F391" s="85">
        <f t="shared" si="97"/>
        <v>701.81279999999992</v>
      </c>
      <c r="G391" s="85">
        <v>0</v>
      </c>
      <c r="H391" s="85">
        <f t="shared" si="98"/>
        <v>1052.7192</v>
      </c>
      <c r="I391" s="94">
        <f>1330/F391</f>
        <v>1.8950922525209004</v>
      </c>
      <c r="L391" s="177"/>
      <c r="M391" s="177"/>
      <c r="N391" s="34"/>
      <c r="T391" s="19"/>
    </row>
    <row r="392" spans="1:20" s="87" customFormat="1" ht="15.75" customHeight="1" x14ac:dyDescent="0.35">
      <c r="A392" s="85">
        <f t="shared" si="94"/>
        <v>7</v>
      </c>
      <c r="B392" s="86" t="s">
        <v>396</v>
      </c>
      <c r="C392" s="85" t="s">
        <v>394</v>
      </c>
      <c r="D392" s="85">
        <f>(81.85)*10.764</f>
        <v>881.03339999999992</v>
      </c>
      <c r="E392" s="85">
        <f>(4.725)*10.764</f>
        <v>50.859899999999996</v>
      </c>
      <c r="F392" s="85">
        <f t="shared" si="97"/>
        <v>931.89329999999995</v>
      </c>
      <c r="G392" s="85">
        <v>0</v>
      </c>
      <c r="H392" s="85">
        <f t="shared" si="98"/>
        <v>1397.83995</v>
      </c>
      <c r="I392" s="34"/>
      <c r="L392" s="177"/>
      <c r="M392" s="177"/>
      <c r="N392" s="34"/>
      <c r="T392" s="19"/>
    </row>
    <row r="393" spans="1:20" s="87" customFormat="1" ht="15.75" customHeight="1" x14ac:dyDescent="0.35">
      <c r="A393" s="85">
        <f t="shared" si="94"/>
        <v>8</v>
      </c>
      <c r="B393" s="99" t="s">
        <v>409</v>
      </c>
      <c r="C393" s="85" t="s">
        <v>394</v>
      </c>
      <c r="D393" s="85">
        <f>(81.85)*10.764</f>
        <v>881.03339999999992</v>
      </c>
      <c r="E393" s="85">
        <f>(4.725)*10.764</f>
        <v>50.859899999999996</v>
      </c>
      <c r="F393" s="85">
        <f t="shared" si="97"/>
        <v>931.89329999999995</v>
      </c>
      <c r="G393" s="85">
        <v>0</v>
      </c>
      <c r="H393" s="85">
        <f t="shared" si="98"/>
        <v>1397.83995</v>
      </c>
      <c r="I393" s="34"/>
      <c r="L393" s="177"/>
      <c r="M393" s="177"/>
      <c r="N393" s="34"/>
      <c r="T393" s="19"/>
    </row>
    <row r="394" spans="1:20" s="87" customFormat="1" x14ac:dyDescent="0.35">
      <c r="A394" s="233" t="s">
        <v>408</v>
      </c>
      <c r="B394" s="233"/>
      <c r="C394" s="233"/>
      <c r="D394" s="233"/>
      <c r="E394" s="233"/>
      <c r="F394" s="233"/>
      <c r="G394" s="233"/>
      <c r="H394" s="233"/>
      <c r="J394" s="34"/>
    </row>
    <row r="395" spans="1:20" s="87" customFormat="1" ht="15.75" customHeight="1" x14ac:dyDescent="0.35">
      <c r="A395" s="115">
        <v>1</v>
      </c>
      <c r="B395" s="116" t="s">
        <v>396</v>
      </c>
      <c r="C395" s="115" t="s">
        <v>394</v>
      </c>
      <c r="D395" s="115">
        <f>(81.85)*10.764</f>
        <v>881.03339999999992</v>
      </c>
      <c r="E395" s="115">
        <f>(4.725)*10.764</f>
        <v>50.859899999999996</v>
      </c>
      <c r="F395" s="115">
        <f>D395+E395</f>
        <v>931.89329999999995</v>
      </c>
      <c r="G395" s="115">
        <v>0</v>
      </c>
      <c r="H395" s="115">
        <f>F395*(($H$230)+1)+(IF(G395&lt;101,G395,IF(G395&lt;201,G395/2,IF(G395&lt;=301,G395/3,G395/4))))</f>
        <v>1397.83995</v>
      </c>
      <c r="I395" s="34"/>
      <c r="L395" s="177"/>
      <c r="M395" s="177"/>
      <c r="N395" s="34"/>
    </row>
    <row r="396" spans="1:20" s="87" customFormat="1" ht="15.75" customHeight="1" x14ac:dyDescent="0.35">
      <c r="A396" s="115">
        <f>A395+1</f>
        <v>2</v>
      </c>
      <c r="B396" s="116" t="s">
        <v>396</v>
      </c>
      <c r="C396" s="115" t="s">
        <v>394</v>
      </c>
      <c r="D396" s="115">
        <f>(81.85)*10.764</f>
        <v>881.03339999999992</v>
      </c>
      <c r="E396" s="115">
        <f>(4.725)*10.764</f>
        <v>50.859899999999996</v>
      </c>
      <c r="F396" s="115">
        <f>D396+E396</f>
        <v>931.89329999999995</v>
      </c>
      <c r="G396" s="115">
        <v>0</v>
      </c>
      <c r="H396" s="115">
        <f>F396*(($H$230)+1)+(IF(G396&lt;101,G396,IF(G396&lt;201,G396/2,IF(G396&lt;=301,G396/3,G396/4))))</f>
        <v>1397.83995</v>
      </c>
      <c r="I396" s="34"/>
      <c r="L396" s="177"/>
      <c r="M396" s="177"/>
      <c r="N396" s="34"/>
    </row>
    <row r="397" spans="1:20" s="87" customFormat="1" ht="15.75" customHeight="1" x14ac:dyDescent="0.35">
      <c r="A397" s="115">
        <f t="shared" ref="A397:A400" si="99">A396+1</f>
        <v>3</v>
      </c>
      <c r="B397" s="116" t="s">
        <v>396</v>
      </c>
      <c r="C397" s="115" t="s">
        <v>398</v>
      </c>
      <c r="D397" s="115">
        <f>(61.66)*10.764</f>
        <v>663.70823999999993</v>
      </c>
      <c r="E397" s="115">
        <f>(3.54)*10.764</f>
        <v>38.104559999999999</v>
      </c>
      <c r="F397" s="115">
        <f>D397+E397</f>
        <v>701.81279999999992</v>
      </c>
      <c r="G397" s="115">
        <v>0</v>
      </c>
      <c r="H397" s="115">
        <f>F397*(($H$230)+1)+(IF(G397&lt;101,G397,IF(G397&lt;201,G397/2,IF(G397&lt;=301,G397/3,G397/4))))</f>
        <v>1052.7192</v>
      </c>
      <c r="I397" s="34"/>
      <c r="L397" s="177"/>
      <c r="M397" s="177"/>
      <c r="N397" s="34"/>
    </row>
    <row r="398" spans="1:20" s="87" customFormat="1" ht="15.75" customHeight="1" x14ac:dyDescent="0.35">
      <c r="A398" s="115">
        <f t="shared" si="99"/>
        <v>4</v>
      </c>
      <c r="B398" s="116" t="s">
        <v>396</v>
      </c>
      <c r="C398" s="115" t="s">
        <v>398</v>
      </c>
      <c r="D398" s="115">
        <f>(61.66)*10.764</f>
        <v>663.70823999999993</v>
      </c>
      <c r="E398" s="115">
        <f>(3.54)*10.764</f>
        <v>38.104559999999999</v>
      </c>
      <c r="F398" s="115">
        <f>D398+E398</f>
        <v>701.81279999999992</v>
      </c>
      <c r="G398" s="115">
        <v>0</v>
      </c>
      <c r="H398" s="115">
        <f>F398*(($H$230)+1)+(IF(G398&lt;101,G398,IF(G398&lt;201,G398/2,IF(G398&lt;=301,G398/3,G398/4))))</f>
        <v>1052.7192</v>
      </c>
      <c r="I398" s="34"/>
      <c r="L398" s="177"/>
      <c r="M398" s="177"/>
      <c r="N398" s="34"/>
      <c r="T398" s="19"/>
    </row>
    <row r="399" spans="1:20" s="87" customFormat="1" ht="15.75" customHeight="1" x14ac:dyDescent="0.35">
      <c r="A399" s="115">
        <f t="shared" si="99"/>
        <v>5</v>
      </c>
      <c r="B399" s="116" t="s">
        <v>396</v>
      </c>
      <c r="C399" s="115" t="s">
        <v>398</v>
      </c>
      <c r="D399" s="115">
        <f t="shared" ref="D399:D400" si="100">(61.66)*10.764</f>
        <v>663.70823999999993</v>
      </c>
      <c r="E399" s="115">
        <f t="shared" ref="E399:E400" si="101">(3.54)*10.764</f>
        <v>38.104559999999999</v>
      </c>
      <c r="F399" s="115">
        <f t="shared" ref="F399:F400" si="102">D399+E399</f>
        <v>701.81279999999992</v>
      </c>
      <c r="G399" s="115">
        <v>0</v>
      </c>
      <c r="H399" s="115">
        <f t="shared" ref="H399:H400" si="103">F399*(($H$230)+1)+(IF(G399&lt;101,G399,IF(G399&lt;201,G399/2,IF(G399&lt;=301,G399/3,G399/4))))</f>
        <v>1052.7192</v>
      </c>
      <c r="I399" s="34"/>
      <c r="L399" s="177"/>
      <c r="M399" s="177"/>
      <c r="N399" s="34"/>
      <c r="T399" s="19"/>
    </row>
    <row r="400" spans="1:20" s="87" customFormat="1" ht="15.75" customHeight="1" x14ac:dyDescent="0.35">
      <c r="A400" s="115">
        <f t="shared" si="99"/>
        <v>6</v>
      </c>
      <c r="B400" s="116" t="s">
        <v>396</v>
      </c>
      <c r="C400" s="115" t="s">
        <v>398</v>
      </c>
      <c r="D400" s="115">
        <f t="shared" si="100"/>
        <v>663.70823999999993</v>
      </c>
      <c r="E400" s="115">
        <f t="shared" si="101"/>
        <v>38.104559999999999</v>
      </c>
      <c r="F400" s="115">
        <f t="shared" si="102"/>
        <v>701.81279999999992</v>
      </c>
      <c r="G400" s="115">
        <v>0</v>
      </c>
      <c r="H400" s="115">
        <f t="shared" si="103"/>
        <v>1052.7192</v>
      </c>
      <c r="I400" s="34"/>
      <c r="L400" s="177"/>
      <c r="M400" s="177"/>
      <c r="N400" s="34"/>
      <c r="T400" s="19"/>
    </row>
    <row r="401" spans="1:20" s="87" customFormat="1" ht="15.75" customHeight="1" x14ac:dyDescent="0.35">
      <c r="A401" s="115">
        <f t="shared" ref="A401:A402" si="104">A400+1</f>
        <v>7</v>
      </c>
      <c r="B401" s="116" t="s">
        <v>396</v>
      </c>
      <c r="C401" s="115" t="s">
        <v>394</v>
      </c>
      <c r="D401" s="115">
        <f>(81.85)*10.764</f>
        <v>881.03339999999992</v>
      </c>
      <c r="E401" s="115">
        <f>(4.725)*10.764</f>
        <v>50.859899999999996</v>
      </c>
      <c r="F401" s="115">
        <f t="shared" ref="F401:F402" si="105">D401+E401</f>
        <v>931.89329999999995</v>
      </c>
      <c r="G401" s="115">
        <v>0</v>
      </c>
      <c r="H401" s="115">
        <f t="shared" ref="H401:H402" si="106">F401*(($H$230)+1)+(IF(G401&lt;101,G401,IF(G401&lt;201,G401/2,IF(G401&lt;=301,G401/3,G401/4))))</f>
        <v>1397.83995</v>
      </c>
      <c r="I401" s="34"/>
      <c r="L401" s="177"/>
      <c r="M401" s="177"/>
      <c r="N401" s="34"/>
      <c r="T401" s="19"/>
    </row>
    <row r="402" spans="1:20" s="87" customFormat="1" ht="15.75" customHeight="1" x14ac:dyDescent="0.35">
      <c r="A402" s="115">
        <f t="shared" si="104"/>
        <v>8</v>
      </c>
      <c r="B402" s="99" t="s">
        <v>409</v>
      </c>
      <c r="C402" s="115" t="s">
        <v>394</v>
      </c>
      <c r="D402" s="115">
        <f>(81.85)*10.764</f>
        <v>881.03339999999992</v>
      </c>
      <c r="E402" s="115">
        <f>(4.725)*10.764</f>
        <v>50.859899999999996</v>
      </c>
      <c r="F402" s="115">
        <f t="shared" si="105"/>
        <v>931.89329999999995</v>
      </c>
      <c r="G402" s="115">
        <v>0</v>
      </c>
      <c r="H402" s="115">
        <f t="shared" si="106"/>
        <v>1397.83995</v>
      </c>
      <c r="I402" s="34"/>
      <c r="L402" s="177"/>
      <c r="M402" s="177"/>
      <c r="N402" s="34"/>
      <c r="T402" s="19"/>
    </row>
    <row r="403" spans="1:20" s="87" customFormat="1" x14ac:dyDescent="0.35">
      <c r="A403" s="172" t="s">
        <v>410</v>
      </c>
      <c r="B403" s="173"/>
      <c r="C403" s="173"/>
      <c r="D403" s="173"/>
      <c r="E403" s="173"/>
      <c r="F403" s="173"/>
      <c r="G403" s="173"/>
      <c r="H403" s="174"/>
      <c r="J403" s="34"/>
    </row>
    <row r="404" spans="1:20" s="87" customFormat="1" ht="15.75" customHeight="1" x14ac:dyDescent="0.35">
      <c r="A404" s="85">
        <v>1</v>
      </c>
      <c r="B404" s="86" t="s">
        <v>396</v>
      </c>
      <c r="C404" s="85" t="s">
        <v>394</v>
      </c>
      <c r="D404" s="85">
        <f>(81.85)*10.764</f>
        <v>881.03339999999992</v>
      </c>
      <c r="E404" s="85">
        <f>(4.725)*10.764</f>
        <v>50.859899999999996</v>
      </c>
      <c r="F404" s="85">
        <f>D404+E404</f>
        <v>931.89329999999995</v>
      </c>
      <c r="G404" s="85">
        <v>0</v>
      </c>
      <c r="H404" s="85">
        <f>F404*(($H$230)+1)+(IF(G404&lt;101,G404,IF(G404&lt;201,G404/2,IF(G404&lt;=301,G404/3,G404/4))))</f>
        <v>1397.83995</v>
      </c>
      <c r="I404" s="34"/>
      <c r="L404" s="177"/>
      <c r="M404" s="177"/>
      <c r="N404" s="34"/>
    </row>
    <row r="405" spans="1:20" s="87" customFormat="1" ht="15.75" customHeight="1" x14ac:dyDescent="0.35">
      <c r="A405" s="85">
        <f>A404+1</f>
        <v>2</v>
      </c>
      <c r="B405" s="86" t="s">
        <v>396</v>
      </c>
      <c r="C405" s="85" t="s">
        <v>394</v>
      </c>
      <c r="D405" s="85">
        <f>(81.85)*10.764</f>
        <v>881.03339999999992</v>
      </c>
      <c r="E405" s="85">
        <f>(4.725)*10.764</f>
        <v>50.859899999999996</v>
      </c>
      <c r="F405" s="85">
        <f>D405+E405</f>
        <v>931.89329999999995</v>
      </c>
      <c r="G405" s="85">
        <v>0</v>
      </c>
      <c r="H405" s="85">
        <f>F405*(($H$230)+1)+(IF(G405&lt;101,G405,IF(G405&lt;201,G405/2,IF(G405&lt;=301,G405/3,G405/4))))</f>
        <v>1397.83995</v>
      </c>
      <c r="I405" s="34"/>
      <c r="L405" s="177"/>
      <c r="M405" s="177"/>
      <c r="N405" s="34"/>
    </row>
    <row r="406" spans="1:20" s="87" customFormat="1" ht="15.75" customHeight="1" x14ac:dyDescent="0.35">
      <c r="A406" s="85">
        <f t="shared" ref="A406:A411" si="107">A405+1</f>
        <v>3</v>
      </c>
      <c r="B406" s="86" t="s">
        <v>396</v>
      </c>
      <c r="C406" s="85" t="s">
        <v>398</v>
      </c>
      <c r="D406" s="85">
        <f>(61.66)*10.764</f>
        <v>663.70823999999993</v>
      </c>
      <c r="E406" s="85">
        <f>(3.54)*10.764</f>
        <v>38.104559999999999</v>
      </c>
      <c r="F406" s="85">
        <f>D406+E406</f>
        <v>701.81279999999992</v>
      </c>
      <c r="G406" s="85">
        <v>0</v>
      </c>
      <c r="H406" s="85">
        <f>F406*(($H$230)+1)+(IF(G406&lt;101,G406,IF(G406&lt;201,G406/2,IF(G406&lt;=301,G406/3,G406/4))))</f>
        <v>1052.7192</v>
      </c>
      <c r="I406" s="34"/>
      <c r="L406" s="177"/>
      <c r="M406" s="177"/>
      <c r="N406" s="34"/>
    </row>
    <row r="407" spans="1:20" s="87" customFormat="1" ht="15.75" customHeight="1" x14ac:dyDescent="0.35">
      <c r="A407" s="85">
        <f t="shared" si="107"/>
        <v>4</v>
      </c>
      <c r="B407" s="86" t="s">
        <v>396</v>
      </c>
      <c r="C407" s="85" t="s">
        <v>398</v>
      </c>
      <c r="D407" s="85">
        <f>(61.66)*10.764</f>
        <v>663.70823999999993</v>
      </c>
      <c r="E407" s="85">
        <f>(3.54)*10.764</f>
        <v>38.104559999999999</v>
      </c>
      <c r="F407" s="85">
        <f>D407+E407</f>
        <v>701.81279999999992</v>
      </c>
      <c r="G407" s="85">
        <v>0</v>
      </c>
      <c r="H407" s="85">
        <f>F407*(($H$230)+1)+(IF(G407&lt;101,G407,IF(G407&lt;201,G407/2,IF(G407&lt;=301,G407/3,G407/4))))</f>
        <v>1052.7192</v>
      </c>
      <c r="I407" s="34"/>
      <c r="L407" s="177"/>
      <c r="M407" s="177"/>
      <c r="N407" s="34"/>
      <c r="T407" s="19"/>
    </row>
    <row r="408" spans="1:20" s="87" customFormat="1" ht="15.75" customHeight="1" x14ac:dyDescent="0.35">
      <c r="A408" s="85">
        <f t="shared" si="107"/>
        <v>5</v>
      </c>
      <c r="B408" s="86" t="s">
        <v>396</v>
      </c>
      <c r="C408" s="85" t="s">
        <v>398</v>
      </c>
      <c r="D408" s="85">
        <f t="shared" ref="D408:D409" si="108">(61.66)*10.764</f>
        <v>663.70823999999993</v>
      </c>
      <c r="E408" s="85">
        <f t="shared" ref="E408:E409" si="109">(3.54)*10.764</f>
        <v>38.104559999999999</v>
      </c>
      <c r="F408" s="85">
        <f t="shared" ref="F408:F409" si="110">D408+E408</f>
        <v>701.81279999999992</v>
      </c>
      <c r="G408" s="85">
        <v>0</v>
      </c>
      <c r="H408" s="85">
        <f t="shared" ref="H408:H409" si="111">F408*(($H$230)+1)+(IF(G408&lt;101,G408,IF(G408&lt;201,G408/2,IF(G408&lt;=301,G408/3,G408/4))))</f>
        <v>1052.7192</v>
      </c>
      <c r="I408" s="34"/>
      <c r="L408" s="177"/>
      <c r="M408" s="177"/>
      <c r="N408" s="34"/>
      <c r="T408" s="19"/>
    </row>
    <row r="409" spans="1:20" s="87" customFormat="1" ht="15.75" customHeight="1" x14ac:dyDescent="0.35">
      <c r="A409" s="85">
        <f t="shared" si="107"/>
        <v>6</v>
      </c>
      <c r="B409" s="86" t="s">
        <v>396</v>
      </c>
      <c r="C409" s="85" t="s">
        <v>398</v>
      </c>
      <c r="D409" s="85">
        <f t="shared" si="108"/>
        <v>663.70823999999993</v>
      </c>
      <c r="E409" s="85">
        <f t="shared" si="109"/>
        <v>38.104559999999999</v>
      </c>
      <c r="F409" s="85">
        <f t="shared" si="110"/>
        <v>701.81279999999992</v>
      </c>
      <c r="G409" s="85">
        <v>0</v>
      </c>
      <c r="H409" s="85">
        <f t="shared" si="111"/>
        <v>1052.7192</v>
      </c>
      <c r="I409" s="34"/>
      <c r="L409" s="177"/>
      <c r="M409" s="177"/>
      <c r="N409" s="34"/>
      <c r="T409" s="19"/>
    </row>
    <row r="410" spans="1:20" s="87" customFormat="1" ht="15.75" customHeight="1" x14ac:dyDescent="0.35">
      <c r="A410" s="85">
        <f t="shared" si="107"/>
        <v>7</v>
      </c>
      <c r="B410" s="86" t="s">
        <v>396</v>
      </c>
      <c r="C410" s="85" t="s">
        <v>394</v>
      </c>
      <c r="D410" s="85">
        <f>(81.85)*10.764</f>
        <v>881.03339999999992</v>
      </c>
      <c r="E410" s="85">
        <f>(4.725)*10.764</f>
        <v>50.859899999999996</v>
      </c>
      <c r="F410" s="85">
        <f t="shared" ref="F410:F411" si="112">D410+E410</f>
        <v>931.89329999999995</v>
      </c>
      <c r="G410" s="85">
        <v>0</v>
      </c>
      <c r="H410" s="85">
        <f t="shared" ref="H410:H411" si="113">F410*(($H$230)+1)+(IF(G410&lt;101,G410,IF(G410&lt;201,G410/2,IF(G410&lt;=301,G410/3,G410/4))))</f>
        <v>1397.83995</v>
      </c>
      <c r="I410" s="34"/>
      <c r="L410" s="177"/>
      <c r="M410" s="177"/>
      <c r="N410" s="34"/>
      <c r="T410" s="19"/>
    </row>
    <row r="411" spans="1:20" s="87" customFormat="1" ht="15.75" customHeight="1" x14ac:dyDescent="0.35">
      <c r="A411" s="85">
        <f t="shared" si="107"/>
        <v>8</v>
      </c>
      <c r="B411" s="85" t="s">
        <v>411</v>
      </c>
      <c r="C411" s="85" t="s">
        <v>394</v>
      </c>
      <c r="D411" s="85">
        <f>(81.85)*10.764</f>
        <v>881.03339999999992</v>
      </c>
      <c r="E411" s="85">
        <f>(4.725)*10.764</f>
        <v>50.859899999999996</v>
      </c>
      <c r="F411" s="85">
        <f t="shared" si="112"/>
        <v>931.89329999999995</v>
      </c>
      <c r="G411" s="85">
        <v>0</v>
      </c>
      <c r="H411" s="85">
        <f t="shared" si="113"/>
        <v>1397.83995</v>
      </c>
      <c r="I411" s="34"/>
      <c r="L411" s="177"/>
      <c r="M411" s="177"/>
      <c r="N411" s="34"/>
      <c r="T411" s="19"/>
    </row>
    <row r="412" spans="1:20" s="87" customFormat="1" x14ac:dyDescent="0.35">
      <c r="A412" s="172" t="s">
        <v>413</v>
      </c>
      <c r="B412" s="173"/>
      <c r="C412" s="173"/>
      <c r="D412" s="173"/>
      <c r="E412" s="173"/>
      <c r="F412" s="173"/>
      <c r="G412" s="173"/>
      <c r="H412" s="174"/>
      <c r="J412" s="34"/>
    </row>
    <row r="413" spans="1:20" s="87" customFormat="1" ht="15.75" customHeight="1" x14ac:dyDescent="0.35">
      <c r="A413" s="85">
        <v>1</v>
      </c>
      <c r="B413" s="86" t="s">
        <v>396</v>
      </c>
      <c r="C413" s="85" t="s">
        <v>394</v>
      </c>
      <c r="D413" s="85">
        <f>(81.85)*10.764</f>
        <v>881.03339999999992</v>
      </c>
      <c r="E413" s="85">
        <f>(4.725)*10.764</f>
        <v>50.859899999999996</v>
      </c>
      <c r="F413" s="85">
        <f>D413+E413</f>
        <v>931.89329999999995</v>
      </c>
      <c r="G413" s="85">
        <v>0</v>
      </c>
      <c r="H413" s="85">
        <f>F413*(($H$230)+1)+(IF(G413&lt;101,G413,IF(G413&lt;201,G413/2,IF(G413&lt;=301,G413/3,G413/4))))</f>
        <v>1397.83995</v>
      </c>
      <c r="I413" s="34"/>
      <c r="L413" s="177"/>
      <c r="M413" s="177"/>
      <c r="N413" s="34"/>
    </row>
    <row r="414" spans="1:20" s="87" customFormat="1" ht="15.75" customHeight="1" x14ac:dyDescent="0.35">
      <c r="A414" s="85">
        <f>A413+1</f>
        <v>2</v>
      </c>
      <c r="B414" s="86" t="s">
        <v>396</v>
      </c>
      <c r="C414" s="85" t="s">
        <v>394</v>
      </c>
      <c r="D414" s="85">
        <f>(81.85)*10.764</f>
        <v>881.03339999999992</v>
      </c>
      <c r="E414" s="85">
        <f>(4.725)*10.764</f>
        <v>50.859899999999996</v>
      </c>
      <c r="F414" s="85">
        <f>D414+E414</f>
        <v>931.89329999999995</v>
      </c>
      <c r="G414" s="85">
        <v>0</v>
      </c>
      <c r="H414" s="85">
        <f>F414*(($H$230)+1)+(IF(G414&lt;101,G414,IF(G414&lt;201,G414/2,IF(G414&lt;=301,G414/3,G414/4))))</f>
        <v>1397.83995</v>
      </c>
      <c r="I414" s="34"/>
      <c r="L414" s="177"/>
      <c r="M414" s="177"/>
      <c r="N414" s="34"/>
    </row>
    <row r="415" spans="1:20" s="87" customFormat="1" ht="15.75" customHeight="1" x14ac:dyDescent="0.35">
      <c r="A415" s="85">
        <f t="shared" ref="A415:A420" si="114">A414+1</f>
        <v>3</v>
      </c>
      <c r="B415" s="86" t="s">
        <v>393</v>
      </c>
      <c r="C415" s="85" t="s">
        <v>393</v>
      </c>
      <c r="D415" s="169" t="s">
        <v>399</v>
      </c>
      <c r="E415" s="237"/>
      <c r="F415" s="237"/>
      <c r="G415" s="170"/>
      <c r="H415" s="85" t="s">
        <v>393</v>
      </c>
      <c r="I415" s="34"/>
      <c r="L415" s="177"/>
      <c r="M415" s="177"/>
      <c r="N415" s="34"/>
    </row>
    <row r="416" spans="1:20" s="87" customFormat="1" ht="15.75" customHeight="1" x14ac:dyDescent="0.35">
      <c r="A416" s="85">
        <f t="shared" si="114"/>
        <v>4</v>
      </c>
      <c r="B416" s="86" t="s">
        <v>396</v>
      </c>
      <c r="C416" s="85" t="s">
        <v>398</v>
      </c>
      <c r="D416" s="85">
        <f>(61.66)*10.764</f>
        <v>663.70823999999993</v>
      </c>
      <c r="E416" s="85">
        <f>(3.54)*10.764</f>
        <v>38.104559999999999</v>
      </c>
      <c r="F416" s="85">
        <f>D416+E416</f>
        <v>701.81279999999992</v>
      </c>
      <c r="G416" s="85">
        <v>0</v>
      </c>
      <c r="H416" s="85">
        <f>F416*(($H$230)+1)+(IF(G416&lt;101,G416,IF(G416&lt;201,G416/2,IF(G416&lt;=301,G416/3,G416/4))))</f>
        <v>1052.7192</v>
      </c>
      <c r="I416" s="34"/>
      <c r="L416" s="177"/>
      <c r="M416" s="177"/>
      <c r="N416" s="34"/>
      <c r="T416" s="19"/>
    </row>
    <row r="417" spans="1:20" s="87" customFormat="1" ht="15.75" customHeight="1" x14ac:dyDescent="0.35">
      <c r="A417" s="85">
        <f t="shared" si="114"/>
        <v>5</v>
      </c>
      <c r="B417" s="86" t="s">
        <v>396</v>
      </c>
      <c r="C417" s="85" t="s">
        <v>398</v>
      </c>
      <c r="D417" s="85">
        <f t="shared" ref="D417:D418" si="115">(61.66)*10.764</f>
        <v>663.70823999999993</v>
      </c>
      <c r="E417" s="85">
        <f t="shared" ref="E417:E418" si="116">(3.54)*10.764</f>
        <v>38.104559999999999</v>
      </c>
      <c r="F417" s="85">
        <f t="shared" ref="F417:F420" si="117">D417+E417</f>
        <v>701.81279999999992</v>
      </c>
      <c r="G417" s="85">
        <v>0</v>
      </c>
      <c r="H417" s="85">
        <f t="shared" ref="H417:H420" si="118">F417*(($H$230)+1)+(IF(G417&lt;101,G417,IF(G417&lt;201,G417/2,IF(G417&lt;=301,G417/3,G417/4))))</f>
        <v>1052.7192</v>
      </c>
      <c r="I417" s="34"/>
      <c r="L417" s="177"/>
      <c r="M417" s="177"/>
      <c r="N417" s="34"/>
      <c r="T417" s="19"/>
    </row>
    <row r="418" spans="1:20" s="87" customFormat="1" ht="15.75" customHeight="1" x14ac:dyDescent="0.35">
      <c r="A418" s="85">
        <f t="shared" si="114"/>
        <v>6</v>
      </c>
      <c r="B418" s="86" t="s">
        <v>396</v>
      </c>
      <c r="C418" s="85" t="s">
        <v>398</v>
      </c>
      <c r="D418" s="85">
        <f t="shared" si="115"/>
        <v>663.70823999999993</v>
      </c>
      <c r="E418" s="85">
        <f t="shared" si="116"/>
        <v>38.104559999999999</v>
      </c>
      <c r="F418" s="85">
        <f t="shared" si="117"/>
        <v>701.81279999999992</v>
      </c>
      <c r="G418" s="85">
        <v>0</v>
      </c>
      <c r="H418" s="85">
        <f t="shared" si="118"/>
        <v>1052.7192</v>
      </c>
      <c r="I418" s="34"/>
      <c r="L418" s="177"/>
      <c r="M418" s="177"/>
      <c r="N418" s="34"/>
      <c r="T418" s="19"/>
    </row>
    <row r="419" spans="1:20" s="87" customFormat="1" ht="15.75" customHeight="1" x14ac:dyDescent="0.35">
      <c r="A419" s="85">
        <f t="shared" si="114"/>
        <v>7</v>
      </c>
      <c r="B419" s="86" t="s">
        <v>396</v>
      </c>
      <c r="C419" s="85" t="s">
        <v>394</v>
      </c>
      <c r="D419" s="85">
        <f>(81.85)*10.764</f>
        <v>881.03339999999992</v>
      </c>
      <c r="E419" s="85">
        <f>(4.725)*10.764</f>
        <v>50.859899999999996</v>
      </c>
      <c r="F419" s="85">
        <f t="shared" si="117"/>
        <v>931.89329999999995</v>
      </c>
      <c r="G419" s="85">
        <v>0</v>
      </c>
      <c r="H419" s="85">
        <f t="shared" si="118"/>
        <v>1397.83995</v>
      </c>
      <c r="I419" s="34"/>
      <c r="L419" s="177"/>
      <c r="M419" s="177"/>
      <c r="N419" s="34"/>
      <c r="T419" s="19"/>
    </row>
    <row r="420" spans="1:20" s="87" customFormat="1" ht="15.75" customHeight="1" x14ac:dyDescent="0.35">
      <c r="A420" s="85">
        <f t="shared" si="114"/>
        <v>8</v>
      </c>
      <c r="B420" s="86" t="s">
        <v>396</v>
      </c>
      <c r="C420" s="85" t="s">
        <v>394</v>
      </c>
      <c r="D420" s="85">
        <f>(81.85)*10.764</f>
        <v>881.03339999999992</v>
      </c>
      <c r="E420" s="85">
        <f>(4.725)*10.764</f>
        <v>50.859899999999996</v>
      </c>
      <c r="F420" s="85">
        <f t="shared" si="117"/>
        <v>931.89329999999995</v>
      </c>
      <c r="G420" s="85">
        <v>0</v>
      </c>
      <c r="H420" s="85">
        <f t="shared" si="118"/>
        <v>1397.83995</v>
      </c>
      <c r="I420" s="34"/>
      <c r="L420" s="177"/>
      <c r="M420" s="177"/>
      <c r="N420" s="34"/>
      <c r="T420" s="19"/>
    </row>
    <row r="421" spans="1:20" s="87" customFormat="1" x14ac:dyDescent="0.35">
      <c r="A421" s="172" t="s">
        <v>414</v>
      </c>
      <c r="B421" s="173"/>
      <c r="C421" s="173"/>
      <c r="D421" s="173"/>
      <c r="E421" s="173"/>
      <c r="F421" s="173"/>
      <c r="G421" s="173"/>
      <c r="H421" s="174"/>
      <c r="J421" s="34"/>
    </row>
    <row r="422" spans="1:20" s="87" customFormat="1" ht="15.75" customHeight="1" x14ac:dyDescent="0.35">
      <c r="A422" s="85">
        <v>1</v>
      </c>
      <c r="B422" s="86" t="s">
        <v>396</v>
      </c>
      <c r="C422" s="85" t="s">
        <v>394</v>
      </c>
      <c r="D422" s="85">
        <f>(81.85)*10.764</f>
        <v>881.03339999999992</v>
      </c>
      <c r="E422" s="85">
        <f>(4.725)*10.764</f>
        <v>50.859899999999996</v>
      </c>
      <c r="F422" s="85">
        <f>D422+E422</f>
        <v>931.89329999999995</v>
      </c>
      <c r="G422" s="85">
        <v>0</v>
      </c>
      <c r="H422" s="85">
        <f>F422*(($H$230)+1)+(IF(G422&lt;101,G422,IF(G422&lt;201,G422/2,IF(G422&lt;=301,G422/3,G422/4))))</f>
        <v>1397.83995</v>
      </c>
      <c r="I422" s="34"/>
      <c r="L422" s="177"/>
      <c r="M422" s="177"/>
      <c r="N422" s="34"/>
    </row>
    <row r="423" spans="1:20" s="87" customFormat="1" ht="15.75" customHeight="1" x14ac:dyDescent="0.35">
      <c r="A423" s="85">
        <v>2</v>
      </c>
      <c r="B423" s="86" t="s">
        <v>396</v>
      </c>
      <c r="C423" s="85" t="s">
        <v>394</v>
      </c>
      <c r="D423" s="85">
        <f>(81.85)*10.764</f>
        <v>881.03339999999992</v>
      </c>
      <c r="E423" s="85">
        <f>(4.725)*10.764</f>
        <v>50.859899999999996</v>
      </c>
      <c r="F423" s="85">
        <f>D423+E423</f>
        <v>931.89329999999995</v>
      </c>
      <c r="G423" s="85">
        <v>0</v>
      </c>
      <c r="H423" s="85">
        <f>F423*(($H$230)+1)+(IF(G423&lt;101,G423,IF(G423&lt;201,G423/2,IF(G423&lt;=301,G423/3,G423/4))))</f>
        <v>1397.83995</v>
      </c>
      <c r="I423" s="34"/>
      <c r="L423" s="177"/>
      <c r="M423" s="177"/>
      <c r="N423" s="34"/>
    </row>
    <row r="424" spans="1:20" s="87" customFormat="1" ht="15.75" customHeight="1" x14ac:dyDescent="0.35">
      <c r="A424" s="85">
        <v>3</v>
      </c>
      <c r="B424" s="86" t="s">
        <v>396</v>
      </c>
      <c r="C424" s="85" t="s">
        <v>398</v>
      </c>
      <c r="D424" s="85">
        <f>(61.66)*10.764</f>
        <v>663.70823999999993</v>
      </c>
      <c r="E424" s="85">
        <f>(3.54)*10.764</f>
        <v>38.104559999999999</v>
      </c>
      <c r="F424" s="85">
        <f>D424+E424</f>
        <v>701.81279999999992</v>
      </c>
      <c r="G424" s="85">
        <v>0</v>
      </c>
      <c r="H424" s="85">
        <f>F424*(($H$230)+1)+(IF(G424&lt;101,G424,IF(G424&lt;201,G424/2,IF(G424&lt;=301,G424/3,G424/4))))</f>
        <v>1052.7192</v>
      </c>
      <c r="I424" s="34"/>
      <c r="L424" s="177"/>
      <c r="M424" s="177"/>
      <c r="N424" s="34"/>
    </row>
    <row r="425" spans="1:20" s="87" customFormat="1" ht="15.75" customHeight="1" x14ac:dyDescent="0.35">
      <c r="A425" s="85">
        <v>4</v>
      </c>
      <c r="B425" s="86" t="s">
        <v>396</v>
      </c>
      <c r="C425" s="85" t="s">
        <v>398</v>
      </c>
      <c r="D425" s="85">
        <f>(61.66)*10.764</f>
        <v>663.70823999999993</v>
      </c>
      <c r="E425" s="85">
        <f>(3.54)*10.764</f>
        <v>38.104559999999999</v>
      </c>
      <c r="F425" s="85">
        <f>D425+E425</f>
        <v>701.81279999999992</v>
      </c>
      <c r="G425" s="85">
        <v>0</v>
      </c>
      <c r="H425" s="85">
        <f>F425*(($H$230)+1)+(IF(G425&lt;101,G425,IF(G425&lt;201,G425/2,IF(G425&lt;=301,G425/3,G425/4))))</f>
        <v>1052.7192</v>
      </c>
      <c r="I425" s="111">
        <f>11600000/H425</f>
        <v>11019.082771550096</v>
      </c>
      <c r="J425" s="112">
        <f>13600000/H425</f>
        <v>12918.924628713907</v>
      </c>
      <c r="L425" s="177"/>
      <c r="M425" s="177"/>
      <c r="N425" s="34"/>
      <c r="T425" s="19"/>
    </row>
    <row r="426" spans="1:20" s="87" customFormat="1" ht="15.75" customHeight="1" x14ac:dyDescent="0.35">
      <c r="A426" s="85">
        <v>5</v>
      </c>
      <c r="B426" s="86" t="s">
        <v>396</v>
      </c>
      <c r="C426" s="85" t="s">
        <v>398</v>
      </c>
      <c r="D426" s="85">
        <f t="shared" ref="D426:D427" si="119">(61.66)*10.764</f>
        <v>663.70823999999993</v>
      </c>
      <c r="E426" s="85">
        <f t="shared" ref="E426:E427" si="120">(3.54)*10.764</f>
        <v>38.104559999999999</v>
      </c>
      <c r="F426" s="85">
        <f t="shared" ref="F426:F429" si="121">D426+E426</f>
        <v>701.81279999999992</v>
      </c>
      <c r="G426" s="85">
        <v>0</v>
      </c>
      <c r="H426" s="85">
        <f t="shared" ref="H426:H429" si="122">F426*(($H$230)+1)+(IF(G426&lt;101,G426,IF(G426&lt;201,G426/2,IF(G426&lt;=301,G426/3,G426/4))))</f>
        <v>1052.7192</v>
      </c>
      <c r="I426" s="111"/>
      <c r="J426" s="112"/>
      <c r="L426" s="177"/>
      <c r="M426" s="177"/>
      <c r="N426" s="34"/>
      <c r="T426" s="19"/>
    </row>
    <row r="427" spans="1:20" s="87" customFormat="1" ht="15.75" customHeight="1" x14ac:dyDescent="0.35">
      <c r="A427" s="85">
        <v>6</v>
      </c>
      <c r="B427" s="86" t="s">
        <v>396</v>
      </c>
      <c r="C427" s="85" t="s">
        <v>398</v>
      </c>
      <c r="D427" s="85">
        <f t="shared" si="119"/>
        <v>663.70823999999993</v>
      </c>
      <c r="E427" s="85">
        <f t="shared" si="120"/>
        <v>38.104559999999999</v>
      </c>
      <c r="F427" s="85">
        <f t="shared" si="121"/>
        <v>701.81279999999992</v>
      </c>
      <c r="G427" s="85">
        <v>0</v>
      </c>
      <c r="H427" s="85">
        <f t="shared" si="122"/>
        <v>1052.7192</v>
      </c>
      <c r="I427" s="111"/>
      <c r="J427" s="112"/>
      <c r="L427" s="177"/>
      <c r="M427" s="177"/>
      <c r="N427" s="34"/>
      <c r="T427" s="19"/>
    </row>
    <row r="428" spans="1:20" s="87" customFormat="1" ht="15.75" customHeight="1" x14ac:dyDescent="0.35">
      <c r="A428" s="85">
        <f t="shared" ref="A428:A429" si="123">A427+1</f>
        <v>7</v>
      </c>
      <c r="B428" s="86" t="s">
        <v>396</v>
      </c>
      <c r="C428" s="85" t="s">
        <v>394</v>
      </c>
      <c r="D428" s="85">
        <f>(81.85)*10.764</f>
        <v>881.03339999999992</v>
      </c>
      <c r="E428" s="85">
        <f>(4.725)*10.764</f>
        <v>50.859899999999996</v>
      </c>
      <c r="F428" s="85">
        <f t="shared" si="121"/>
        <v>931.89329999999995</v>
      </c>
      <c r="G428" s="85">
        <v>0</v>
      </c>
      <c r="H428" s="85">
        <f t="shared" si="122"/>
        <v>1397.83995</v>
      </c>
      <c r="I428" s="111">
        <f>15837500/H428</f>
        <v>11329.980946674188</v>
      </c>
      <c r="J428" s="112">
        <f>17800000/H428</f>
        <v>12733.932808258915</v>
      </c>
      <c r="L428" s="177"/>
      <c r="M428" s="177"/>
      <c r="N428" s="34"/>
      <c r="T428" s="19"/>
    </row>
    <row r="429" spans="1:20" s="87" customFormat="1" ht="15.75" customHeight="1" x14ac:dyDescent="0.35">
      <c r="A429" s="85">
        <f t="shared" si="123"/>
        <v>8</v>
      </c>
      <c r="B429" s="86" t="s">
        <v>396</v>
      </c>
      <c r="C429" s="85" t="s">
        <v>394</v>
      </c>
      <c r="D429" s="85">
        <f>(81.85)*10.764</f>
        <v>881.03339999999992</v>
      </c>
      <c r="E429" s="85">
        <f>(4.725)*10.764</f>
        <v>50.859899999999996</v>
      </c>
      <c r="F429" s="85">
        <f t="shared" si="121"/>
        <v>931.89329999999995</v>
      </c>
      <c r="G429" s="85">
        <v>0</v>
      </c>
      <c r="H429" s="85">
        <f t="shared" si="122"/>
        <v>1397.83995</v>
      </c>
      <c r="I429" s="111"/>
      <c r="J429" s="112"/>
      <c r="L429" s="177"/>
      <c r="M429" s="177"/>
      <c r="N429" s="34"/>
      <c r="T429" s="19"/>
    </row>
    <row r="430" spans="1:20" s="87" customFormat="1" x14ac:dyDescent="0.35">
      <c r="A430" s="241" t="s">
        <v>386</v>
      </c>
      <c r="B430" s="242"/>
      <c r="C430" s="242"/>
      <c r="D430" s="242"/>
      <c r="E430" s="242"/>
      <c r="F430" s="242"/>
      <c r="G430" s="242"/>
      <c r="H430" s="243"/>
      <c r="J430" s="34"/>
    </row>
    <row r="431" spans="1:20" s="87" customFormat="1" x14ac:dyDescent="0.35">
      <c r="A431" s="233" t="s">
        <v>406</v>
      </c>
      <c r="B431" s="233"/>
      <c r="C431" s="233"/>
      <c r="D431" s="233"/>
      <c r="E431" s="233"/>
      <c r="F431" s="233"/>
      <c r="G431" s="233"/>
      <c r="H431" s="233"/>
      <c r="J431" s="34"/>
    </row>
    <row r="432" spans="1:20" s="87" customFormat="1" ht="15.75" customHeight="1" x14ac:dyDescent="0.35">
      <c r="A432" s="115">
        <v>1</v>
      </c>
      <c r="B432" s="115" t="s">
        <v>393</v>
      </c>
      <c r="C432" s="115" t="s">
        <v>393</v>
      </c>
      <c r="D432" s="171" t="s">
        <v>392</v>
      </c>
      <c r="E432" s="171"/>
      <c r="F432" s="171"/>
      <c r="G432" s="171"/>
      <c r="H432" s="115">
        <f>F432*(($H$230)+1)+(IF(G432&lt;101,G432,IF(G432&lt;201,G432/2,IF(G432&lt;=301,G432/3,G432/4))))</f>
        <v>0</v>
      </c>
      <c r="I432" s="34"/>
      <c r="L432" s="177"/>
      <c r="M432" s="177"/>
      <c r="N432" s="34"/>
    </row>
    <row r="433" spans="1:20" s="87" customFormat="1" ht="15.75" customHeight="1" x14ac:dyDescent="0.35">
      <c r="A433" s="115">
        <v>2</v>
      </c>
      <c r="B433" s="116" t="s">
        <v>396</v>
      </c>
      <c r="C433" s="115" t="s">
        <v>394</v>
      </c>
      <c r="D433" s="115">
        <f>(81.85)*10.764</f>
        <v>881.03339999999992</v>
      </c>
      <c r="E433" s="115">
        <f>(4.725)*10.764</f>
        <v>50.859899999999996</v>
      </c>
      <c r="F433" s="115">
        <f>D433+E433</f>
        <v>931.89329999999995</v>
      </c>
      <c r="G433" s="113">
        <f>(1.8*5.2+1.3*3+11.7*1.7)*10.764</f>
        <v>356.82659999999998</v>
      </c>
      <c r="H433" s="115">
        <f>F433*(($H$230)+1)+(IF(G433&lt;101,G433,IF(G433&lt;201,G433/2,IF(G433&lt;=301,G433/3,G433/4))))</f>
        <v>1487.0466000000001</v>
      </c>
      <c r="I433" s="34"/>
      <c r="L433" s="177"/>
      <c r="M433" s="177"/>
      <c r="N433" s="34"/>
    </row>
    <row r="434" spans="1:20" s="87" customFormat="1" ht="15.75" customHeight="1" x14ac:dyDescent="0.35">
      <c r="A434" s="115">
        <v>3</v>
      </c>
      <c r="B434" s="116" t="s">
        <v>396</v>
      </c>
      <c r="C434" s="115" t="s">
        <v>394</v>
      </c>
      <c r="D434" s="115">
        <f>(81.85)*10.764</f>
        <v>881.03339999999992</v>
      </c>
      <c r="E434" s="115">
        <f>(4.725)*10.764</f>
        <v>50.859899999999996</v>
      </c>
      <c r="F434" s="115">
        <f>D434+E434</f>
        <v>931.89329999999995</v>
      </c>
      <c r="G434" s="113">
        <f>(3*2+1.6*2.5+11.7*0.75)*10.764</f>
        <v>202.09409999999997</v>
      </c>
      <c r="H434" s="115">
        <f>F434*(($H$230)+1)+(IF(G434&lt;101,G434,IF(G434&lt;201,G434/2,IF(G434&lt;=301,G434/3,G434/4))))</f>
        <v>1465.2046500000001</v>
      </c>
      <c r="I434" s="34"/>
      <c r="L434" s="177"/>
      <c r="M434" s="177"/>
      <c r="N434" s="34"/>
    </row>
    <row r="435" spans="1:20" s="87" customFormat="1" ht="15.75" customHeight="1" x14ac:dyDescent="0.35">
      <c r="A435" s="115">
        <v>4</v>
      </c>
      <c r="B435" s="116" t="s">
        <v>396</v>
      </c>
      <c r="C435" s="115" t="s">
        <v>394</v>
      </c>
      <c r="D435" s="115">
        <f>(81.85)*10.764</f>
        <v>881.03339999999992</v>
      </c>
      <c r="E435" s="115">
        <f>(4.725)*10.764</f>
        <v>50.859899999999996</v>
      </c>
      <c r="F435" s="115">
        <f>D435+E435</f>
        <v>931.89329999999995</v>
      </c>
      <c r="G435" s="113">
        <f>(7.4*1.9+3.5*1.9)*10.764</f>
        <v>222.92243999999999</v>
      </c>
      <c r="H435" s="115">
        <f>F435*(($H$230)+1)+(IF(G435&lt;101,G435,IF(G435&lt;201,G435/2,IF(G435&lt;=301,G435/3,G435/4))))</f>
        <v>1472.14743</v>
      </c>
      <c r="I435" s="34"/>
      <c r="L435" s="177"/>
      <c r="M435" s="177"/>
      <c r="N435" s="34"/>
      <c r="T435" s="19"/>
    </row>
    <row r="436" spans="1:20" s="87" customFormat="1" ht="15.75" customHeight="1" x14ac:dyDescent="0.35">
      <c r="A436" s="115">
        <v>5</v>
      </c>
      <c r="B436" s="116" t="s">
        <v>396</v>
      </c>
      <c r="C436" s="115" t="s">
        <v>394</v>
      </c>
      <c r="D436" s="115">
        <f>(81.85)*10.764</f>
        <v>881.03339999999992</v>
      </c>
      <c r="E436" s="115">
        <f>(4.725)*10.764</f>
        <v>50.859899999999996</v>
      </c>
      <c r="F436" s="115">
        <f t="shared" ref="F436" si="124">D436+E436</f>
        <v>931.89329999999995</v>
      </c>
      <c r="G436" s="115">
        <v>0</v>
      </c>
      <c r="H436" s="115">
        <f t="shared" ref="H436:H437" si="125">F436*(($H$230)+1)+(IF(G436&lt;101,G436,IF(G436&lt;201,G436/2,IF(G436&lt;=301,G436/3,G436/4))))</f>
        <v>1397.83995</v>
      </c>
      <c r="I436" s="34"/>
      <c r="L436" s="177"/>
      <c r="M436" s="177"/>
      <c r="N436" s="34"/>
      <c r="T436" s="19"/>
    </row>
    <row r="437" spans="1:20" s="87" customFormat="1" ht="15.75" customHeight="1" x14ac:dyDescent="0.35">
      <c r="A437" s="115">
        <v>6</v>
      </c>
      <c r="B437" s="115" t="s">
        <v>393</v>
      </c>
      <c r="C437" s="115" t="s">
        <v>393</v>
      </c>
      <c r="D437" s="171" t="s">
        <v>392</v>
      </c>
      <c r="E437" s="171"/>
      <c r="F437" s="171"/>
      <c r="G437" s="171"/>
      <c r="H437" s="115">
        <f t="shared" si="125"/>
        <v>0</v>
      </c>
      <c r="I437" s="34"/>
      <c r="L437" s="177"/>
      <c r="M437" s="177"/>
      <c r="N437" s="34"/>
      <c r="T437" s="19"/>
    </row>
    <row r="438" spans="1:20" s="87" customFormat="1" x14ac:dyDescent="0.35">
      <c r="A438" s="233" t="s">
        <v>415</v>
      </c>
      <c r="B438" s="233"/>
      <c r="C438" s="233"/>
      <c r="D438" s="233"/>
      <c r="E438" s="233"/>
      <c r="F438" s="233"/>
      <c r="G438" s="233"/>
      <c r="H438" s="233"/>
      <c r="J438" s="34"/>
    </row>
    <row r="439" spans="1:20" s="87" customFormat="1" ht="15.75" customHeight="1" x14ac:dyDescent="0.35">
      <c r="A439" s="115">
        <v>1</v>
      </c>
      <c r="B439" s="116" t="s">
        <v>396</v>
      </c>
      <c r="C439" s="115" t="s">
        <v>394</v>
      </c>
      <c r="D439" s="115">
        <f>(81.85)*10.764</f>
        <v>881.03339999999992</v>
      </c>
      <c r="E439" s="115">
        <f>(4.725)*10.764</f>
        <v>50.859899999999996</v>
      </c>
      <c r="F439" s="115">
        <f>D439+E439</f>
        <v>931.89329999999995</v>
      </c>
      <c r="G439" s="115">
        <v>0</v>
      </c>
      <c r="H439" s="115">
        <f>F439*(($H$230)+1)+(IF(G439&lt;101,G439,IF(G439&lt;201,G439/2,IF(G439&lt;=301,G439/3,G439/4))))</f>
        <v>1397.83995</v>
      </c>
      <c r="I439" s="34"/>
      <c r="L439" s="177"/>
      <c r="M439" s="177"/>
      <c r="N439" s="34"/>
    </row>
    <row r="440" spans="1:20" s="87" customFormat="1" ht="15.75" customHeight="1" x14ac:dyDescent="0.35">
      <c r="A440" s="115">
        <v>2</v>
      </c>
      <c r="B440" s="116" t="s">
        <v>396</v>
      </c>
      <c r="C440" s="115" t="s">
        <v>394</v>
      </c>
      <c r="D440" s="115">
        <f>(81.85)*10.764</f>
        <v>881.03339999999992</v>
      </c>
      <c r="E440" s="115">
        <f>(4.725)*10.764</f>
        <v>50.859899999999996</v>
      </c>
      <c r="F440" s="115">
        <f>D440+E440</f>
        <v>931.89329999999995</v>
      </c>
      <c r="G440" s="115">
        <v>0</v>
      </c>
      <c r="H440" s="115">
        <f>F440*(($H$230)+1)+(IF(G440&lt;101,G440,IF(G440&lt;201,G440/2,IF(G440&lt;=301,G440/3,G440/4))))</f>
        <v>1397.83995</v>
      </c>
      <c r="I440" s="34"/>
      <c r="L440" s="177"/>
      <c r="M440" s="177"/>
      <c r="N440" s="34"/>
    </row>
    <row r="441" spans="1:20" s="87" customFormat="1" ht="15.75" customHeight="1" x14ac:dyDescent="0.35">
      <c r="A441" s="115">
        <v>3</v>
      </c>
      <c r="B441" s="116" t="s">
        <v>396</v>
      </c>
      <c r="C441" s="115" t="s">
        <v>394</v>
      </c>
      <c r="D441" s="115">
        <f>(81.85)*10.764</f>
        <v>881.03339999999992</v>
      </c>
      <c r="E441" s="115">
        <f>(4.725)*10.764</f>
        <v>50.859899999999996</v>
      </c>
      <c r="F441" s="115">
        <f>D441+E441</f>
        <v>931.89329999999995</v>
      </c>
      <c r="G441" s="115">
        <v>0</v>
      </c>
      <c r="H441" s="115">
        <f>F441*(($H$230)+1)+(IF(G441&lt;101,G441,IF(G441&lt;201,G441/2,IF(G441&lt;=301,G441/3,G441/4))))</f>
        <v>1397.83995</v>
      </c>
      <c r="I441" s="34"/>
      <c r="L441" s="177"/>
      <c r="M441" s="177"/>
      <c r="N441" s="34"/>
    </row>
    <row r="442" spans="1:20" s="87" customFormat="1" ht="15.75" customHeight="1" x14ac:dyDescent="0.35">
      <c r="A442" s="115">
        <v>4</v>
      </c>
      <c r="B442" s="116" t="s">
        <v>396</v>
      </c>
      <c r="C442" s="115" t="s">
        <v>394</v>
      </c>
      <c r="D442" s="115">
        <f>(81.85)*10.764</f>
        <v>881.03339999999992</v>
      </c>
      <c r="E442" s="115">
        <f>(4.725)*10.764</f>
        <v>50.859899999999996</v>
      </c>
      <c r="F442" s="115">
        <f>D442+E442</f>
        <v>931.89329999999995</v>
      </c>
      <c r="G442" s="115">
        <v>0</v>
      </c>
      <c r="H442" s="115">
        <f>F442*(($H$230)+1)+(IF(G442&lt;101,G442,IF(G442&lt;201,G442/2,IF(G442&lt;=301,G442/3,G442/4))))</f>
        <v>1397.83995</v>
      </c>
      <c r="I442" s="34"/>
      <c r="L442" s="177"/>
      <c r="M442" s="177"/>
      <c r="N442" s="34"/>
      <c r="T442" s="19"/>
    </row>
    <row r="443" spans="1:20" s="87" customFormat="1" ht="15.75" customHeight="1" x14ac:dyDescent="0.35">
      <c r="A443" s="115">
        <v>5</v>
      </c>
      <c r="B443" s="116" t="s">
        <v>396</v>
      </c>
      <c r="C443" s="115" t="s">
        <v>394</v>
      </c>
      <c r="D443" s="115">
        <f t="shared" ref="D443:D444" si="126">(81.85)*10.764</f>
        <v>881.03339999999992</v>
      </c>
      <c r="E443" s="115">
        <f t="shared" ref="E443:E444" si="127">(4.725)*10.764</f>
        <v>50.859899999999996</v>
      </c>
      <c r="F443" s="115">
        <f t="shared" ref="F443:F444" si="128">D443+E443</f>
        <v>931.89329999999995</v>
      </c>
      <c r="G443" s="115">
        <v>0</v>
      </c>
      <c r="H443" s="115">
        <f t="shared" ref="H443:H444" si="129">F443*(($H$230)+1)+(IF(G443&lt;101,G443,IF(G443&lt;201,G443/2,IF(G443&lt;=301,G443/3,G443/4))))</f>
        <v>1397.83995</v>
      </c>
      <c r="I443" s="34"/>
      <c r="L443" s="177"/>
      <c r="M443" s="177"/>
      <c r="N443" s="34"/>
      <c r="T443" s="19"/>
    </row>
    <row r="444" spans="1:20" s="87" customFormat="1" ht="15.75" customHeight="1" x14ac:dyDescent="0.35">
      <c r="A444" s="85">
        <v>6</v>
      </c>
      <c r="B444" s="86" t="s">
        <v>396</v>
      </c>
      <c r="C444" s="85" t="s">
        <v>394</v>
      </c>
      <c r="D444" s="85">
        <f t="shared" si="126"/>
        <v>881.03339999999992</v>
      </c>
      <c r="E444" s="85">
        <f t="shared" si="127"/>
        <v>50.859899999999996</v>
      </c>
      <c r="F444" s="85">
        <f t="shared" si="128"/>
        <v>931.89329999999995</v>
      </c>
      <c r="G444" s="85">
        <v>0</v>
      </c>
      <c r="H444" s="85">
        <f t="shared" si="129"/>
        <v>1397.83995</v>
      </c>
      <c r="I444" s="34"/>
      <c r="L444" s="177"/>
      <c r="M444" s="177"/>
      <c r="N444" s="34"/>
      <c r="T444" s="19"/>
    </row>
    <row r="445" spans="1:20" s="87" customFormat="1" x14ac:dyDescent="0.35">
      <c r="A445" s="172" t="s">
        <v>397</v>
      </c>
      <c r="B445" s="173"/>
      <c r="C445" s="173"/>
      <c r="D445" s="173"/>
      <c r="E445" s="173"/>
      <c r="F445" s="173"/>
      <c r="G445" s="173"/>
      <c r="H445" s="174"/>
      <c r="J445" s="34"/>
    </row>
    <row r="446" spans="1:20" s="87" customFormat="1" ht="15.75" customHeight="1" x14ac:dyDescent="0.35">
      <c r="A446" s="85">
        <v>1</v>
      </c>
      <c r="B446" s="86" t="s">
        <v>396</v>
      </c>
      <c r="C446" s="85" t="s">
        <v>394</v>
      </c>
      <c r="D446" s="85">
        <f>(81.85)*10.764</f>
        <v>881.03339999999992</v>
      </c>
      <c r="E446" s="85">
        <f>(4.725)*10.764</f>
        <v>50.859899999999996</v>
      </c>
      <c r="F446" s="85">
        <f>D446+E446</f>
        <v>931.89329999999995</v>
      </c>
      <c r="G446" s="85">
        <v>0</v>
      </c>
      <c r="H446" s="85">
        <f>F446*(($H$230)+1)+(IF(G446&lt;101,G446,IF(G446&lt;201,G446/2,IF(G446&lt;=301,G446/3,G446/4))))</f>
        <v>1397.83995</v>
      </c>
      <c r="I446" s="34"/>
      <c r="L446" s="177"/>
      <c r="M446" s="177"/>
      <c r="N446" s="34"/>
    </row>
    <row r="447" spans="1:20" s="87" customFormat="1" ht="15.75" customHeight="1" x14ac:dyDescent="0.35">
      <c r="A447" s="85">
        <v>2</v>
      </c>
      <c r="B447" s="86" t="s">
        <v>396</v>
      </c>
      <c r="C447" s="85" t="s">
        <v>394</v>
      </c>
      <c r="D447" s="85">
        <f>(81.85)*10.764</f>
        <v>881.03339999999992</v>
      </c>
      <c r="E447" s="85">
        <f>(4.725)*10.764</f>
        <v>50.859899999999996</v>
      </c>
      <c r="F447" s="85">
        <f>D447+E447</f>
        <v>931.89329999999995</v>
      </c>
      <c r="G447" s="85">
        <v>0</v>
      </c>
      <c r="H447" s="85">
        <f>F447*(($H$230)+1)+(IF(G447&lt;101,G447,IF(G447&lt;201,G447/2,IF(G447&lt;=301,G447/3,G447/4))))</f>
        <v>1397.83995</v>
      </c>
      <c r="I447" s="34"/>
      <c r="L447" s="177"/>
      <c r="M447" s="177"/>
      <c r="N447" s="34"/>
    </row>
    <row r="448" spans="1:20" s="87" customFormat="1" ht="15.75" customHeight="1" x14ac:dyDescent="0.35">
      <c r="A448" s="85">
        <v>3</v>
      </c>
      <c r="B448" s="86" t="s">
        <v>396</v>
      </c>
      <c r="C448" s="85" t="s">
        <v>394</v>
      </c>
      <c r="D448" s="85">
        <f>(81.85)*10.764</f>
        <v>881.03339999999992</v>
      </c>
      <c r="E448" s="85">
        <f>(4.725)*10.764</f>
        <v>50.859899999999996</v>
      </c>
      <c r="F448" s="85">
        <f>D448+E448</f>
        <v>931.89329999999995</v>
      </c>
      <c r="G448" s="85">
        <v>0</v>
      </c>
      <c r="H448" s="85">
        <f>F448*(($H$230)+1)+(IF(G448&lt;101,G448,IF(G448&lt;201,G448/2,IF(G448&lt;=301,G448/3,G448/4))))</f>
        <v>1397.83995</v>
      </c>
      <c r="I448" s="34"/>
      <c r="L448" s="177"/>
      <c r="M448" s="177"/>
      <c r="N448" s="34"/>
    </row>
    <row r="449" spans="1:20" s="87" customFormat="1" ht="15.75" customHeight="1" x14ac:dyDescent="0.35">
      <c r="A449" s="85">
        <v>4</v>
      </c>
      <c r="B449" s="86" t="s">
        <v>396</v>
      </c>
      <c r="C449" s="85" t="s">
        <v>394</v>
      </c>
      <c r="D449" s="85">
        <f>(81.85)*10.764</f>
        <v>881.03339999999992</v>
      </c>
      <c r="E449" s="85">
        <f>(4.725)*10.764</f>
        <v>50.859899999999996</v>
      </c>
      <c r="F449" s="85">
        <f>D449+E449</f>
        <v>931.89329999999995</v>
      </c>
      <c r="G449" s="85">
        <v>0</v>
      </c>
      <c r="H449" s="85">
        <f>F449*(($H$230)+1)+(IF(G449&lt;101,G449,IF(G449&lt;201,G449/2,IF(G449&lt;=301,G449/3,G449/4))))</f>
        <v>1397.83995</v>
      </c>
      <c r="I449" s="34"/>
      <c r="L449" s="177"/>
      <c r="M449" s="177"/>
      <c r="N449" s="34"/>
      <c r="T449" s="19"/>
    </row>
    <row r="450" spans="1:20" s="87" customFormat="1" ht="15.75" customHeight="1" x14ac:dyDescent="0.35">
      <c r="A450" s="85">
        <v>5</v>
      </c>
      <c r="B450" s="86" t="s">
        <v>396</v>
      </c>
      <c r="C450" s="85" t="s">
        <v>394</v>
      </c>
      <c r="D450" s="85">
        <f t="shared" ref="D450:D451" si="130">(81.85)*10.764</f>
        <v>881.03339999999992</v>
      </c>
      <c r="E450" s="85">
        <f t="shared" ref="E450:E451" si="131">(4.725)*10.764</f>
        <v>50.859899999999996</v>
      </c>
      <c r="F450" s="85">
        <f t="shared" ref="F450:F451" si="132">D450+E450</f>
        <v>931.89329999999995</v>
      </c>
      <c r="G450" s="85">
        <v>0</v>
      </c>
      <c r="H450" s="85">
        <f t="shared" ref="H450:H451" si="133">F450*(($H$230)+1)+(IF(G450&lt;101,G450,IF(G450&lt;201,G450/2,IF(G450&lt;=301,G450/3,G450/4))))</f>
        <v>1397.83995</v>
      </c>
      <c r="I450" s="34"/>
      <c r="L450" s="177"/>
      <c r="M450" s="177"/>
      <c r="N450" s="34"/>
      <c r="T450" s="19"/>
    </row>
    <row r="451" spans="1:20" s="87" customFormat="1" ht="15.75" customHeight="1" x14ac:dyDescent="0.35">
      <c r="A451" s="85">
        <v>6</v>
      </c>
      <c r="B451" s="86" t="s">
        <v>396</v>
      </c>
      <c r="C451" s="85" t="s">
        <v>394</v>
      </c>
      <c r="D451" s="85">
        <f t="shared" si="130"/>
        <v>881.03339999999992</v>
      </c>
      <c r="E451" s="85">
        <f t="shared" si="131"/>
        <v>50.859899999999996</v>
      </c>
      <c r="F451" s="85">
        <f t="shared" si="132"/>
        <v>931.89329999999995</v>
      </c>
      <c r="G451" s="85">
        <v>0</v>
      </c>
      <c r="H451" s="85">
        <f t="shared" si="133"/>
        <v>1397.83995</v>
      </c>
      <c r="I451" s="34"/>
      <c r="L451" s="177"/>
      <c r="M451" s="177"/>
      <c r="N451" s="34"/>
      <c r="T451" s="19"/>
    </row>
    <row r="452" spans="1:20" s="87" customFormat="1" ht="15.75" customHeight="1" x14ac:dyDescent="0.35">
      <c r="A452" s="172" t="s">
        <v>433</v>
      </c>
      <c r="B452" s="173"/>
      <c r="C452" s="173"/>
      <c r="D452" s="173"/>
      <c r="E452" s="173"/>
      <c r="F452" s="173"/>
      <c r="G452" s="173"/>
      <c r="H452" s="174"/>
      <c r="J452" s="34"/>
    </row>
    <row r="453" spans="1:20" s="87" customFormat="1" ht="15.75" customHeight="1" x14ac:dyDescent="0.35">
      <c r="A453" s="85">
        <v>1</v>
      </c>
      <c r="B453" s="86" t="s">
        <v>396</v>
      </c>
      <c r="C453" s="85" t="s">
        <v>394</v>
      </c>
      <c r="D453" s="85">
        <f>(81.85)*10.764</f>
        <v>881.03339999999992</v>
      </c>
      <c r="E453" s="85">
        <f>(4.725)*10.764</f>
        <v>50.859899999999996</v>
      </c>
      <c r="F453" s="85">
        <f>D453+E453</f>
        <v>931.89329999999995</v>
      </c>
      <c r="G453" s="85">
        <v>0</v>
      </c>
      <c r="H453" s="85">
        <f>F453*(($H$230)+1)+(IF(G453&lt;101,G453,IF(G453&lt;201,G453/2,IF(G453&lt;=301,G453/3,G453/4))))</f>
        <v>1397.83995</v>
      </c>
      <c r="I453" s="34"/>
      <c r="L453" s="177"/>
      <c r="M453" s="177"/>
      <c r="N453" s="34"/>
    </row>
    <row r="454" spans="1:20" s="87" customFormat="1" ht="15.75" customHeight="1" x14ac:dyDescent="0.35">
      <c r="A454" s="85">
        <v>2</v>
      </c>
      <c r="B454" s="86" t="s">
        <v>396</v>
      </c>
      <c r="C454" s="85" t="s">
        <v>394</v>
      </c>
      <c r="D454" s="85">
        <f>(81.85)*10.764</f>
        <v>881.03339999999992</v>
      </c>
      <c r="E454" s="85">
        <f>(4.725)*10.764</f>
        <v>50.859899999999996</v>
      </c>
      <c r="F454" s="85">
        <f>D454+E454</f>
        <v>931.89329999999995</v>
      </c>
      <c r="G454" s="85">
        <v>0</v>
      </c>
      <c r="H454" s="85">
        <f>F454*(($H$230)+1)+(IF(G454&lt;101,G454,IF(G454&lt;201,G454/2,IF(G454&lt;=301,G454/3,G454/4))))</f>
        <v>1397.83995</v>
      </c>
      <c r="I454" s="34"/>
      <c r="L454" s="177"/>
      <c r="M454" s="177"/>
      <c r="N454" s="34"/>
    </row>
    <row r="455" spans="1:20" s="87" customFormat="1" ht="15.75" customHeight="1" x14ac:dyDescent="0.35">
      <c r="A455" s="85">
        <v>3</v>
      </c>
      <c r="B455" s="86" t="s">
        <v>396</v>
      </c>
      <c r="C455" s="60" t="s">
        <v>398</v>
      </c>
      <c r="D455" s="60">
        <f>(66.678)*10.764</f>
        <v>717.72199199999989</v>
      </c>
      <c r="E455" s="60">
        <f>(4.725)*10.764</f>
        <v>50.859899999999996</v>
      </c>
      <c r="F455" s="85">
        <f>D455+E455</f>
        <v>768.58189199999993</v>
      </c>
      <c r="G455" s="85">
        <v>0</v>
      </c>
      <c r="H455" s="85">
        <f>F455*(($H$230)+1)+(IF(G455&lt;101,G455,IF(G455&lt;201,G455/2,IF(G455&lt;=301,G455/3,G455/4))))</f>
        <v>1152.8728379999998</v>
      </c>
      <c r="I455" s="34"/>
      <c r="L455" s="177"/>
      <c r="M455" s="177"/>
      <c r="N455" s="34"/>
    </row>
    <row r="456" spans="1:20" s="87" customFormat="1" ht="15.75" customHeight="1" x14ac:dyDescent="0.35">
      <c r="A456" s="85">
        <v>4</v>
      </c>
      <c r="B456" s="86" t="s">
        <v>396</v>
      </c>
      <c r="C456" s="85" t="s">
        <v>394</v>
      </c>
      <c r="D456" s="85">
        <f>(81.85)*10.764</f>
        <v>881.03339999999992</v>
      </c>
      <c r="E456" s="85">
        <f>(4.725)*10.764</f>
        <v>50.859899999999996</v>
      </c>
      <c r="F456" s="85">
        <f>D456+E456</f>
        <v>931.89329999999995</v>
      </c>
      <c r="G456" s="85">
        <v>0</v>
      </c>
      <c r="H456" s="85">
        <f>F456*(($H$230)+1)+(IF(G456&lt;101,G456,IF(G456&lt;201,G456/2,IF(G456&lt;=301,G456/3,G456/4))))</f>
        <v>1397.83995</v>
      </c>
      <c r="I456" s="34"/>
      <c r="L456" s="177"/>
      <c r="M456" s="177"/>
      <c r="N456" s="34"/>
      <c r="T456" s="19"/>
    </row>
    <row r="457" spans="1:20" s="87" customFormat="1" ht="15.75" customHeight="1" x14ac:dyDescent="0.35">
      <c r="A457" s="85">
        <v>5</v>
      </c>
      <c r="B457" s="86" t="s">
        <v>396</v>
      </c>
      <c r="C457" s="85" t="s">
        <v>394</v>
      </c>
      <c r="D457" s="85">
        <f t="shared" ref="D457:D458" si="134">(81.85)*10.764</f>
        <v>881.03339999999992</v>
      </c>
      <c r="E457" s="85">
        <f t="shared" ref="E457:E458" si="135">(4.725)*10.764</f>
        <v>50.859899999999996</v>
      </c>
      <c r="F457" s="85">
        <f t="shared" ref="F457:F458" si="136">D457+E457</f>
        <v>931.89329999999995</v>
      </c>
      <c r="G457" s="85">
        <v>0</v>
      </c>
      <c r="H457" s="85">
        <f t="shared" ref="H457:H458" si="137">F457*(($H$230)+1)+(IF(G457&lt;101,G457,IF(G457&lt;201,G457/2,IF(G457&lt;=301,G457/3,G457/4))))</f>
        <v>1397.83995</v>
      </c>
      <c r="I457" s="34"/>
      <c r="L457" s="177"/>
      <c r="M457" s="177"/>
      <c r="N457" s="34"/>
      <c r="T457" s="19"/>
    </row>
    <row r="458" spans="1:20" s="87" customFormat="1" ht="15.75" customHeight="1" x14ac:dyDescent="0.35">
      <c r="A458" s="85">
        <v>6</v>
      </c>
      <c r="B458" s="86" t="s">
        <v>396</v>
      </c>
      <c r="C458" s="85" t="s">
        <v>394</v>
      </c>
      <c r="D458" s="85">
        <f t="shared" si="134"/>
        <v>881.03339999999992</v>
      </c>
      <c r="E458" s="85">
        <f t="shared" si="135"/>
        <v>50.859899999999996</v>
      </c>
      <c r="F458" s="85">
        <f t="shared" si="136"/>
        <v>931.89329999999995</v>
      </c>
      <c r="G458" s="85">
        <v>0</v>
      </c>
      <c r="H458" s="85">
        <f t="shared" si="137"/>
        <v>1397.83995</v>
      </c>
      <c r="I458" s="34"/>
      <c r="L458" s="177"/>
      <c r="M458" s="177"/>
      <c r="N458" s="34"/>
      <c r="T458" s="19"/>
    </row>
    <row r="459" spans="1:20" s="87" customFormat="1" x14ac:dyDescent="0.35">
      <c r="A459" s="172" t="s">
        <v>401</v>
      </c>
      <c r="B459" s="173"/>
      <c r="C459" s="173"/>
      <c r="D459" s="173"/>
      <c r="E459" s="173"/>
      <c r="F459" s="173"/>
      <c r="G459" s="173"/>
      <c r="H459" s="174"/>
      <c r="J459" s="34"/>
    </row>
    <row r="460" spans="1:20" s="87" customFormat="1" ht="15.75" customHeight="1" x14ac:dyDescent="0.35">
      <c r="A460" s="85">
        <v>1</v>
      </c>
      <c r="B460" s="86" t="s">
        <v>396</v>
      </c>
      <c r="C460" s="85" t="s">
        <v>394</v>
      </c>
      <c r="D460" s="85">
        <f>(81.85)*10.764</f>
        <v>881.03339999999992</v>
      </c>
      <c r="E460" s="85">
        <f>(4.725)*10.764</f>
        <v>50.859899999999996</v>
      </c>
      <c r="F460" s="85">
        <f>D460+E460</f>
        <v>931.89329999999995</v>
      </c>
      <c r="G460" s="85">
        <v>0</v>
      </c>
      <c r="H460" s="85">
        <f>F460*(($H$230)+1)+(IF(G460&lt;101,G460,IF(G460&lt;201,G460/2,IF(G460&lt;=301,G460/3,G460/4))))</f>
        <v>1397.83995</v>
      </c>
      <c r="I460" s="34"/>
      <c r="L460" s="177"/>
      <c r="M460" s="177"/>
      <c r="N460" s="34"/>
    </row>
    <row r="461" spans="1:20" s="87" customFormat="1" ht="15.75" customHeight="1" x14ac:dyDescent="0.35">
      <c r="A461" s="85">
        <v>2</v>
      </c>
      <c r="B461" s="86" t="s">
        <v>396</v>
      </c>
      <c r="C461" s="85" t="s">
        <v>394</v>
      </c>
      <c r="D461" s="85">
        <f>(81.85)*10.764</f>
        <v>881.03339999999992</v>
      </c>
      <c r="E461" s="85">
        <f>(4.725)*10.764</f>
        <v>50.859899999999996</v>
      </c>
      <c r="F461" s="85">
        <f>D461+E461</f>
        <v>931.89329999999995</v>
      </c>
      <c r="G461" s="85">
        <v>0</v>
      </c>
      <c r="H461" s="85">
        <f>F461*(($H$230)+1)+(IF(G461&lt;101,G461,IF(G461&lt;201,G461/2,IF(G461&lt;=301,G461/3,G461/4))))</f>
        <v>1397.83995</v>
      </c>
      <c r="I461" s="34"/>
      <c r="L461" s="177"/>
      <c r="M461" s="177"/>
      <c r="N461" s="34"/>
    </row>
    <row r="462" spans="1:20" s="87" customFormat="1" ht="15.75" customHeight="1" x14ac:dyDescent="0.35">
      <c r="A462" s="85">
        <v>3</v>
      </c>
      <c r="B462" s="86" t="s">
        <v>396</v>
      </c>
      <c r="C462" s="85" t="s">
        <v>394</v>
      </c>
      <c r="D462" s="85">
        <f>(81.85)*10.764</f>
        <v>881.03339999999992</v>
      </c>
      <c r="E462" s="85">
        <f>(4.725)*10.764</f>
        <v>50.859899999999996</v>
      </c>
      <c r="F462" s="85">
        <f>D462+E462</f>
        <v>931.89329999999995</v>
      </c>
      <c r="G462" s="85">
        <v>0</v>
      </c>
      <c r="H462" s="85">
        <f>F462*(($H$230)+1)+(IF(G462&lt;101,G462,IF(G462&lt;201,G462/2,IF(G462&lt;=301,G462/3,G462/4))))</f>
        <v>1397.83995</v>
      </c>
      <c r="I462" s="34"/>
      <c r="L462" s="177"/>
      <c r="M462" s="177"/>
      <c r="N462" s="34"/>
    </row>
    <row r="463" spans="1:20" s="87" customFormat="1" ht="15.75" customHeight="1" x14ac:dyDescent="0.35">
      <c r="A463" s="85">
        <v>4</v>
      </c>
      <c r="B463" s="86" t="s">
        <v>396</v>
      </c>
      <c r="C463" s="85" t="s">
        <v>394</v>
      </c>
      <c r="D463" s="85">
        <f>(81.85)*10.764</f>
        <v>881.03339999999992</v>
      </c>
      <c r="E463" s="85">
        <f>(4.725)*10.764</f>
        <v>50.859899999999996</v>
      </c>
      <c r="F463" s="85">
        <f>D463+E463</f>
        <v>931.89329999999995</v>
      </c>
      <c r="G463" s="85">
        <v>0</v>
      </c>
      <c r="H463" s="85">
        <f>F463*(($H$230)+1)+(IF(G463&lt;101,G463,IF(G463&lt;201,G463/2,IF(G463&lt;=301,G463/3,G463/4))))</f>
        <v>1397.83995</v>
      </c>
      <c r="I463" s="34"/>
      <c r="L463" s="177"/>
      <c r="M463" s="177"/>
      <c r="N463" s="34"/>
      <c r="T463" s="19"/>
    </row>
    <row r="464" spans="1:20" s="87" customFormat="1" ht="15.75" customHeight="1" x14ac:dyDescent="0.35">
      <c r="A464" s="85">
        <v>5</v>
      </c>
      <c r="B464" s="86" t="s">
        <v>396</v>
      </c>
      <c r="C464" s="85" t="s">
        <v>394</v>
      </c>
      <c r="D464" s="85">
        <f t="shared" ref="D464:D465" si="138">(81.85)*10.764</f>
        <v>881.03339999999992</v>
      </c>
      <c r="E464" s="85">
        <f t="shared" ref="E464:E465" si="139">(4.725)*10.764</f>
        <v>50.859899999999996</v>
      </c>
      <c r="F464" s="85">
        <f t="shared" ref="F464:F465" si="140">D464+E464</f>
        <v>931.89329999999995</v>
      </c>
      <c r="G464" s="85">
        <v>0</v>
      </c>
      <c r="H464" s="85">
        <f t="shared" ref="H464:H465" si="141">F464*(($H$230)+1)+(IF(G464&lt;101,G464,IF(G464&lt;201,G464/2,IF(G464&lt;=301,G464/3,G464/4))))</f>
        <v>1397.83995</v>
      </c>
      <c r="I464" s="34"/>
      <c r="L464" s="177"/>
      <c r="M464" s="177"/>
      <c r="N464" s="34"/>
      <c r="T464" s="19"/>
    </row>
    <row r="465" spans="1:20" s="87" customFormat="1" ht="15.75" customHeight="1" x14ac:dyDescent="0.35">
      <c r="A465" s="85">
        <v>6</v>
      </c>
      <c r="B465" s="86" t="s">
        <v>396</v>
      </c>
      <c r="C465" s="85" t="s">
        <v>394</v>
      </c>
      <c r="D465" s="85">
        <f t="shared" si="138"/>
        <v>881.03339999999992</v>
      </c>
      <c r="E465" s="85">
        <f t="shared" si="139"/>
        <v>50.859899999999996</v>
      </c>
      <c r="F465" s="85">
        <f t="shared" si="140"/>
        <v>931.89329999999995</v>
      </c>
      <c r="G465" s="85">
        <v>0</v>
      </c>
      <c r="H465" s="85">
        <f t="shared" si="141"/>
        <v>1397.83995</v>
      </c>
      <c r="I465" s="34"/>
      <c r="L465" s="177"/>
      <c r="M465" s="177"/>
      <c r="N465" s="34"/>
      <c r="T465" s="19"/>
    </row>
    <row r="466" spans="1:20" s="87" customFormat="1" x14ac:dyDescent="0.35">
      <c r="A466" s="172" t="s">
        <v>402</v>
      </c>
      <c r="B466" s="173"/>
      <c r="C466" s="173"/>
      <c r="D466" s="173"/>
      <c r="E466" s="173"/>
      <c r="F466" s="173"/>
      <c r="G466" s="173"/>
      <c r="H466" s="174"/>
      <c r="J466" s="34"/>
    </row>
    <row r="467" spans="1:20" s="87" customFormat="1" ht="15.75" customHeight="1" x14ac:dyDescent="0.35">
      <c r="A467" s="85">
        <v>1</v>
      </c>
      <c r="B467" s="86" t="s">
        <v>396</v>
      </c>
      <c r="C467" s="85" t="s">
        <v>394</v>
      </c>
      <c r="D467" s="85">
        <f>(81.85)*10.764</f>
        <v>881.03339999999992</v>
      </c>
      <c r="E467" s="85">
        <f>(4.725)*10.764</f>
        <v>50.859899999999996</v>
      </c>
      <c r="F467" s="85">
        <f>D467+E467</f>
        <v>931.89329999999995</v>
      </c>
      <c r="G467" s="85">
        <v>0</v>
      </c>
      <c r="H467" s="85">
        <f>F467*(($H$230)+1)+(IF(G467&lt;101,G467,IF(G467&lt;201,G467/2,IF(G467&lt;=301,G467/3,G467/4))))</f>
        <v>1397.83995</v>
      </c>
      <c r="I467" s="34"/>
      <c r="L467" s="177"/>
      <c r="M467" s="177"/>
      <c r="N467" s="34"/>
    </row>
    <row r="468" spans="1:20" s="87" customFormat="1" ht="15.75" customHeight="1" x14ac:dyDescent="0.35">
      <c r="A468" s="85">
        <v>2</v>
      </c>
      <c r="B468" s="86" t="s">
        <v>396</v>
      </c>
      <c r="C468" s="85" t="s">
        <v>394</v>
      </c>
      <c r="D468" s="85">
        <f>(81.85)*10.764</f>
        <v>881.03339999999992</v>
      </c>
      <c r="E468" s="85">
        <f>(4.725)*10.764</f>
        <v>50.859899999999996</v>
      </c>
      <c r="F468" s="85">
        <f>D468+E468</f>
        <v>931.89329999999995</v>
      </c>
      <c r="G468" s="85">
        <v>0</v>
      </c>
      <c r="H468" s="85">
        <f>F468*(($H$230)+1)+(IF(G468&lt;101,G468,IF(G468&lt;201,G468/2,IF(G468&lt;=301,G468/3,G468/4))))</f>
        <v>1397.83995</v>
      </c>
      <c r="I468" s="34"/>
      <c r="L468" s="177"/>
      <c r="M468" s="177"/>
      <c r="N468" s="34"/>
    </row>
    <row r="469" spans="1:20" s="87" customFormat="1" ht="15.75" customHeight="1" x14ac:dyDescent="0.35">
      <c r="A469" s="85">
        <v>3</v>
      </c>
      <c r="B469" s="86" t="s">
        <v>396</v>
      </c>
      <c r="C469" s="85" t="s">
        <v>394</v>
      </c>
      <c r="D469" s="85">
        <f>(81.85)*10.764</f>
        <v>881.03339999999992</v>
      </c>
      <c r="E469" s="85">
        <f>(4.725)*10.764</f>
        <v>50.859899999999996</v>
      </c>
      <c r="F469" s="85">
        <f>D469+E469</f>
        <v>931.89329999999995</v>
      </c>
      <c r="G469" s="85">
        <v>0</v>
      </c>
      <c r="H469" s="85">
        <f>F469*(($H$230)+1)+(IF(G469&lt;101,G469,IF(G469&lt;201,G469/2,IF(G469&lt;=301,G469/3,G469/4))))</f>
        <v>1397.83995</v>
      </c>
      <c r="I469" s="34"/>
      <c r="L469" s="177"/>
      <c r="M469" s="177"/>
      <c r="N469" s="34"/>
    </row>
    <row r="470" spans="1:20" s="87" customFormat="1" ht="15.75" customHeight="1" x14ac:dyDescent="0.35">
      <c r="A470" s="85">
        <v>4</v>
      </c>
      <c r="B470" s="86" t="s">
        <v>396</v>
      </c>
      <c r="C470" s="85" t="s">
        <v>394</v>
      </c>
      <c r="D470" s="85">
        <f>(81.85)*10.764</f>
        <v>881.03339999999992</v>
      </c>
      <c r="E470" s="85">
        <f>(4.725)*10.764</f>
        <v>50.859899999999996</v>
      </c>
      <c r="F470" s="85">
        <f>D470+E470</f>
        <v>931.89329999999995</v>
      </c>
      <c r="G470" s="85">
        <v>0</v>
      </c>
      <c r="H470" s="85">
        <f>F470*(($H$230)+1)+(IF(G470&lt;101,G470,IF(G470&lt;201,G470/2,IF(G470&lt;=301,G470/3,G470/4))))</f>
        <v>1397.83995</v>
      </c>
      <c r="I470" s="34"/>
      <c r="L470" s="177"/>
      <c r="M470" s="177"/>
      <c r="N470" s="34"/>
      <c r="T470" s="19"/>
    </row>
    <row r="471" spans="1:20" s="87" customFormat="1" ht="15.75" customHeight="1" x14ac:dyDescent="0.35">
      <c r="A471" s="85">
        <v>5</v>
      </c>
      <c r="B471" s="86" t="s">
        <v>396</v>
      </c>
      <c r="C471" s="85" t="s">
        <v>394</v>
      </c>
      <c r="D471" s="85">
        <f t="shared" ref="D471:D472" si="142">(81.85)*10.764</f>
        <v>881.03339999999992</v>
      </c>
      <c r="E471" s="85">
        <f t="shared" ref="E471:E472" si="143">(4.725)*10.764</f>
        <v>50.859899999999996</v>
      </c>
      <c r="F471" s="85">
        <f t="shared" ref="F471:F472" si="144">D471+E471</f>
        <v>931.89329999999995</v>
      </c>
      <c r="G471" s="85">
        <v>0</v>
      </c>
      <c r="H471" s="85">
        <f t="shared" ref="H471:H472" si="145">F471*(($H$230)+1)+(IF(G471&lt;101,G471,IF(G471&lt;201,G471/2,IF(G471&lt;=301,G471/3,G471/4))))</f>
        <v>1397.83995</v>
      </c>
      <c r="I471" s="34"/>
      <c r="L471" s="177"/>
      <c r="M471" s="177"/>
      <c r="N471" s="34"/>
      <c r="T471" s="19"/>
    </row>
    <row r="472" spans="1:20" s="87" customFormat="1" ht="15.75" customHeight="1" x14ac:dyDescent="0.35">
      <c r="A472" s="85">
        <v>6</v>
      </c>
      <c r="B472" s="86" t="s">
        <v>396</v>
      </c>
      <c r="C472" s="85" t="s">
        <v>394</v>
      </c>
      <c r="D472" s="85">
        <f t="shared" si="142"/>
        <v>881.03339999999992</v>
      </c>
      <c r="E472" s="85">
        <f t="shared" si="143"/>
        <v>50.859899999999996</v>
      </c>
      <c r="F472" s="85">
        <f t="shared" si="144"/>
        <v>931.89329999999995</v>
      </c>
      <c r="G472" s="85">
        <v>0</v>
      </c>
      <c r="H472" s="85">
        <f t="shared" si="145"/>
        <v>1397.83995</v>
      </c>
      <c r="I472" s="34"/>
      <c r="L472" s="177"/>
      <c r="M472" s="177"/>
      <c r="N472" s="34"/>
      <c r="T472" s="19"/>
    </row>
    <row r="473" spans="1:20" s="87" customFormat="1" hidden="1" x14ac:dyDescent="0.35">
      <c r="A473" s="172" t="s">
        <v>390</v>
      </c>
      <c r="B473" s="173"/>
      <c r="C473" s="173"/>
      <c r="D473" s="173"/>
      <c r="E473" s="173"/>
      <c r="F473" s="173"/>
      <c r="G473" s="173"/>
      <c r="H473" s="174"/>
      <c r="J473" s="34"/>
    </row>
    <row r="474" spans="1:20" s="87" customFormat="1" ht="15.75" hidden="1" customHeight="1" x14ac:dyDescent="0.35">
      <c r="A474" s="169">
        <v>1</v>
      </c>
      <c r="B474" s="170"/>
      <c r="C474" s="85"/>
      <c r="D474" s="85"/>
      <c r="E474" s="85">
        <v>0</v>
      </c>
      <c r="F474" s="85">
        <f>D474+E474</f>
        <v>0</v>
      </c>
      <c r="G474" s="85">
        <v>0</v>
      </c>
      <c r="H474" s="85">
        <f>F474*(($H$230)+1)+(IF(G474&lt;101,G474,IF(G474&lt;201,G474/2,IF(G474&lt;=301,G474/3,G474/4))))</f>
        <v>0</v>
      </c>
      <c r="I474" s="34"/>
      <c r="L474" s="177"/>
      <c r="M474" s="177"/>
      <c r="N474" s="34"/>
    </row>
    <row r="475" spans="1:20" s="87" customFormat="1" ht="15.75" hidden="1" customHeight="1" x14ac:dyDescent="0.35">
      <c r="A475" s="169">
        <f>A474+1</f>
        <v>2</v>
      </c>
      <c r="B475" s="170"/>
      <c r="C475" s="85"/>
      <c r="D475" s="85"/>
      <c r="E475" s="85">
        <v>0</v>
      </c>
      <c r="F475" s="85">
        <f>D475+E475</f>
        <v>0</v>
      </c>
      <c r="G475" s="85">
        <v>0</v>
      </c>
      <c r="H475" s="85">
        <f>F475*(($H$230)+1)+(IF(G475&lt;101,G475,IF(G475&lt;201,G475/2,IF(G475&lt;=301,G475/3,G475/4))))</f>
        <v>0</v>
      </c>
      <c r="I475" s="34"/>
      <c r="L475" s="177"/>
      <c r="M475" s="177"/>
      <c r="N475" s="34"/>
    </row>
    <row r="476" spans="1:20" s="87" customFormat="1" ht="15.75" hidden="1" customHeight="1" x14ac:dyDescent="0.35">
      <c r="A476" s="169">
        <f>A475+1</f>
        <v>3</v>
      </c>
      <c r="B476" s="170"/>
      <c r="C476" s="85"/>
      <c r="D476" s="85"/>
      <c r="E476" s="85">
        <v>0</v>
      </c>
      <c r="F476" s="85">
        <f>D476+E476</f>
        <v>0</v>
      </c>
      <c r="G476" s="85">
        <v>0</v>
      </c>
      <c r="H476" s="85">
        <f>F476*(($H$230)+1)+(IF(G476&lt;101,G476,IF(G476&lt;201,G476/2,IF(G476&lt;=301,G476/3,G476/4))))</f>
        <v>0</v>
      </c>
      <c r="I476" s="34"/>
      <c r="L476" s="177"/>
      <c r="M476" s="177"/>
      <c r="N476" s="34"/>
    </row>
    <row r="477" spans="1:20" s="87" customFormat="1" ht="15.75" hidden="1" customHeight="1" x14ac:dyDescent="0.35">
      <c r="A477" s="169">
        <f>A476+1</f>
        <v>4</v>
      </c>
      <c r="B477" s="170"/>
      <c r="C477" s="85"/>
      <c r="D477" s="85"/>
      <c r="E477" s="85">
        <v>0</v>
      </c>
      <c r="F477" s="85">
        <f>D477+E477</f>
        <v>0</v>
      </c>
      <c r="G477" s="85">
        <v>0</v>
      </c>
      <c r="H477" s="85">
        <f>F477*(($H$230)+1)+(IF(G477&lt;101,G477,IF(G477&lt;201,G477/2,IF(G477&lt;=301,G477/3,G477/4))))</f>
        <v>0</v>
      </c>
      <c r="I477" s="34"/>
      <c r="L477" s="177"/>
      <c r="M477" s="177"/>
      <c r="N477" s="34"/>
      <c r="T477" s="19"/>
    </row>
    <row r="478" spans="1:20" s="87" customFormat="1" hidden="1" x14ac:dyDescent="0.35">
      <c r="A478" s="172" t="s">
        <v>390</v>
      </c>
      <c r="B478" s="173"/>
      <c r="C478" s="173"/>
      <c r="D478" s="173"/>
      <c r="E478" s="173"/>
      <c r="F478" s="173"/>
      <c r="G478" s="173"/>
      <c r="H478" s="174"/>
      <c r="J478" s="34"/>
    </row>
    <row r="479" spans="1:20" s="87" customFormat="1" ht="15.75" hidden="1" customHeight="1" x14ac:dyDescent="0.35">
      <c r="A479" s="169">
        <v>1</v>
      </c>
      <c r="B479" s="170"/>
      <c r="C479" s="85"/>
      <c r="D479" s="85"/>
      <c r="E479" s="85">
        <v>0</v>
      </c>
      <c r="F479" s="85">
        <f>D479+E479</f>
        <v>0</v>
      </c>
      <c r="G479" s="85">
        <v>0</v>
      </c>
      <c r="H479" s="85">
        <f>F479*(($H$230)+1)+(IF(G479&lt;101,G479,IF(G479&lt;201,G479/2,IF(G479&lt;=301,G479/3,G479/4))))</f>
        <v>0</v>
      </c>
      <c r="I479" s="34"/>
      <c r="L479" s="177"/>
      <c r="M479" s="177"/>
      <c r="N479" s="34"/>
    </row>
    <row r="480" spans="1:20" s="87" customFormat="1" ht="15.75" hidden="1" customHeight="1" x14ac:dyDescent="0.35">
      <c r="A480" s="169">
        <f>A479+1</f>
        <v>2</v>
      </c>
      <c r="B480" s="170"/>
      <c r="C480" s="85"/>
      <c r="D480" s="85"/>
      <c r="E480" s="85">
        <v>0</v>
      </c>
      <c r="F480" s="85">
        <f>D480+E480</f>
        <v>0</v>
      </c>
      <c r="G480" s="85">
        <v>0</v>
      </c>
      <c r="H480" s="85">
        <f>F480*(($H$230)+1)+(IF(G480&lt;101,G480,IF(G480&lt;201,G480/2,IF(G480&lt;=301,G480/3,G480/4))))</f>
        <v>0</v>
      </c>
      <c r="I480" s="34"/>
      <c r="L480" s="177"/>
      <c r="M480" s="177"/>
      <c r="N480" s="34"/>
    </row>
    <row r="481" spans="1:20" s="87" customFormat="1" ht="15.75" hidden="1" customHeight="1" x14ac:dyDescent="0.35">
      <c r="A481" s="169">
        <f>A480+1</f>
        <v>3</v>
      </c>
      <c r="B481" s="170"/>
      <c r="C481" s="85"/>
      <c r="D481" s="85"/>
      <c r="E481" s="85">
        <v>0</v>
      </c>
      <c r="F481" s="85">
        <f>D481+E481</f>
        <v>0</v>
      </c>
      <c r="G481" s="85">
        <v>0</v>
      </c>
      <c r="H481" s="85">
        <f>F481*(($H$230)+1)+(IF(G481&lt;101,G481,IF(G481&lt;201,G481/2,IF(G481&lt;=301,G481/3,G481/4))))</f>
        <v>0</v>
      </c>
      <c r="I481" s="34"/>
      <c r="L481" s="177"/>
      <c r="M481" s="177"/>
      <c r="N481" s="34"/>
    </row>
    <row r="482" spans="1:20" s="87" customFormat="1" ht="15.75" hidden="1" customHeight="1" x14ac:dyDescent="0.35">
      <c r="A482" s="169">
        <f>A481+1</f>
        <v>4</v>
      </c>
      <c r="B482" s="170"/>
      <c r="C482" s="85"/>
      <c r="D482" s="85"/>
      <c r="E482" s="85">
        <v>0</v>
      </c>
      <c r="F482" s="85">
        <f>D482+E482</f>
        <v>0</v>
      </c>
      <c r="G482" s="85">
        <v>0</v>
      </c>
      <c r="H482" s="85">
        <f>F482*(($H$230)+1)+(IF(G482&lt;101,G482,IF(G482&lt;201,G482/2,IF(G482&lt;=301,G482/3,G482/4))))</f>
        <v>0</v>
      </c>
      <c r="I482" s="34"/>
      <c r="L482" s="177"/>
      <c r="M482" s="177"/>
      <c r="N482" s="34"/>
      <c r="T482" s="19"/>
    </row>
    <row r="483" spans="1:20" s="87" customFormat="1" ht="15.75" hidden="1" customHeight="1" x14ac:dyDescent="0.35">
      <c r="A483" s="169">
        <f t="shared" ref="A483:A484" si="146">A482+1</f>
        <v>5</v>
      </c>
      <c r="B483" s="170"/>
      <c r="C483" s="85"/>
      <c r="D483" s="85"/>
      <c r="E483" s="85">
        <v>0</v>
      </c>
      <c r="F483" s="85">
        <f t="shared" ref="F483:F484" si="147">D483+E483</f>
        <v>0</v>
      </c>
      <c r="G483" s="85">
        <v>0</v>
      </c>
      <c r="H483" s="85">
        <f t="shared" ref="H483:H484" si="148">F483*(($H$230)+1)+(IF(G483&lt;101,G483,IF(G483&lt;201,G483/2,IF(G483&lt;=301,G483/3,G483/4))))</f>
        <v>0</v>
      </c>
      <c r="I483" s="34"/>
      <c r="L483" s="177"/>
      <c r="M483" s="177"/>
      <c r="N483" s="34"/>
      <c r="T483" s="19"/>
    </row>
    <row r="484" spans="1:20" s="87" customFormat="1" ht="15.75" hidden="1" customHeight="1" x14ac:dyDescent="0.35">
      <c r="A484" s="169">
        <f t="shared" si="146"/>
        <v>6</v>
      </c>
      <c r="B484" s="170"/>
      <c r="C484" s="85"/>
      <c r="D484" s="85"/>
      <c r="E484" s="85">
        <v>0</v>
      </c>
      <c r="F484" s="85">
        <f t="shared" si="147"/>
        <v>0</v>
      </c>
      <c r="G484" s="85">
        <v>0</v>
      </c>
      <c r="H484" s="85">
        <f t="shared" si="148"/>
        <v>0</v>
      </c>
      <c r="I484" s="34"/>
      <c r="L484" s="177"/>
      <c r="M484" s="177"/>
      <c r="N484" s="34"/>
      <c r="T484" s="19"/>
    </row>
    <row r="485" spans="1:20" s="35" customFormat="1" hidden="1" x14ac:dyDescent="0.35">
      <c r="A485" s="233" t="s">
        <v>117</v>
      </c>
      <c r="B485" s="233"/>
      <c r="C485" s="233"/>
      <c r="D485" s="233"/>
      <c r="E485" s="233"/>
      <c r="F485" s="233"/>
      <c r="G485" s="233"/>
      <c r="H485" s="233"/>
      <c r="I485" s="34"/>
      <c r="L485" s="177"/>
      <c r="M485" s="177"/>
    </row>
    <row r="486" spans="1:20" s="35" customFormat="1" hidden="1" x14ac:dyDescent="0.35">
      <c r="A486" s="171">
        <f>LEFT(A485,SUM(LEN(A485)-LEN(SUBSTITUTE(A485,{"0","1","2","3","4","5","6","7","8","9"},""))))*100+1</f>
        <v>201</v>
      </c>
      <c r="B486" s="171"/>
      <c r="C486" s="40"/>
      <c r="D486" s="40"/>
      <c r="E486" s="52">
        <v>0</v>
      </c>
      <c r="F486" s="52">
        <f>D486+E486</f>
        <v>0</v>
      </c>
      <c r="G486" s="52">
        <v>0</v>
      </c>
      <c r="H486" s="52">
        <f>F486*(($H$230)+1)+(IF(G486&lt;101,G486,IF(G486&lt;201,G486/2,IF(G486&lt;=301,G486/3,G486/4))))</f>
        <v>0</v>
      </c>
      <c r="I486" s="34"/>
      <c r="N486" s="34"/>
    </row>
    <row r="487" spans="1:20" s="35" customFormat="1" hidden="1" x14ac:dyDescent="0.35">
      <c r="A487" s="171">
        <f>A486+1</f>
        <v>202</v>
      </c>
      <c r="B487" s="171"/>
      <c r="C487" s="40"/>
      <c r="D487" s="40"/>
      <c r="E487" s="52">
        <v>0</v>
      </c>
      <c r="F487" s="52">
        <f>D487+E487</f>
        <v>0</v>
      </c>
      <c r="G487" s="52">
        <v>0</v>
      </c>
      <c r="H487" s="52">
        <f>F487*(($H$230)+1)+(IF(G487&lt;101,G487,IF(G487&lt;201,G487/2,IF(G487&lt;=301,G487/3,G487/4))))</f>
        <v>0</v>
      </c>
      <c r="I487" s="34"/>
      <c r="N487" s="34"/>
    </row>
    <row r="488" spans="1:20" s="35" customFormat="1" hidden="1" x14ac:dyDescent="0.35">
      <c r="A488" s="171">
        <f>A487+1</f>
        <v>203</v>
      </c>
      <c r="B488" s="171"/>
      <c r="C488" s="40"/>
      <c r="D488" s="40"/>
      <c r="E488" s="52">
        <v>0</v>
      </c>
      <c r="F488" s="52">
        <f>D488+E488</f>
        <v>0</v>
      </c>
      <c r="G488" s="52">
        <v>0</v>
      </c>
      <c r="H488" s="52">
        <f>F488*(($H$230)+1)+(IF(G488&lt;101,G488,IF(G488&lt;201,G488/2,IF(G488&lt;=301,G488/3,G488/4))))</f>
        <v>0</v>
      </c>
      <c r="I488" s="34"/>
      <c r="N488" s="34"/>
    </row>
    <row r="489" spans="1:20" s="35" customFormat="1" hidden="1" x14ac:dyDescent="0.35">
      <c r="A489" s="171">
        <f>A488+1</f>
        <v>204</v>
      </c>
      <c r="B489" s="171"/>
      <c r="C489" s="40"/>
      <c r="D489" s="40"/>
      <c r="E489" s="52">
        <v>0</v>
      </c>
      <c r="F489" s="52">
        <f>D489+E489</f>
        <v>0</v>
      </c>
      <c r="G489" s="52">
        <v>0</v>
      </c>
      <c r="H489" s="52">
        <f>F489*(($H$230)+1)+(IF(G489&lt;101,G489,IF(G489&lt;201,G489/2,IF(G489&lt;=301,G489/3,G489/4))))</f>
        <v>0</v>
      </c>
      <c r="I489" s="34"/>
      <c r="N489" s="34"/>
    </row>
    <row r="490" spans="1:20" s="35" customFormat="1" hidden="1" x14ac:dyDescent="0.35">
      <c r="A490" s="171">
        <f>A489+1</f>
        <v>205</v>
      </c>
      <c r="B490" s="171"/>
      <c r="C490" s="40"/>
      <c r="D490" s="40"/>
      <c r="E490" s="52">
        <v>0</v>
      </c>
      <c r="F490" s="52">
        <f>D490+E490</f>
        <v>0</v>
      </c>
      <c r="G490" s="52">
        <v>0</v>
      </c>
      <c r="H490" s="52">
        <f>F490*(($H$230)+1)+(IF(G490&lt;101,G490,IF(G490&lt;201,G490/2,IF(G490&lt;=301,G490/3,G490/4))))</f>
        <v>0</v>
      </c>
      <c r="I490" s="34"/>
      <c r="N490" s="34"/>
    </row>
    <row r="491" spans="1:20" s="35" customFormat="1" ht="15.75" hidden="1" customHeight="1" x14ac:dyDescent="0.35">
      <c r="A491" s="172" t="s">
        <v>150</v>
      </c>
      <c r="B491" s="173"/>
      <c r="C491" s="173"/>
      <c r="D491" s="173"/>
      <c r="E491" s="173"/>
      <c r="F491" s="173"/>
      <c r="G491" s="173"/>
      <c r="H491" s="174"/>
      <c r="I491" s="34"/>
    </row>
    <row r="492" spans="1:20" s="35" customFormat="1" ht="15.75" hidden="1" customHeight="1" x14ac:dyDescent="0.35">
      <c r="A492" s="169" t="str">
        <f ca="1">(SUMPRODUCT(MID(0&amp;(LEFT(A491,SUM(LEN(A491)-LEN(SUBSTITUTE(A491,{"0","1","2"},""))))), LARGE(INDEX(ISNUMBER(--MID((LEFT(A491,SUM(LEN(A491)-LEN(SUBSTITUTE(A491,{"0","1","2"},""))))), ROW(INDIRECT("1:"&amp;LEN((LEFT(A491,SUM(LEN(A491)-LEN(SUBSTITUTE(A491,{"0","1","2"},"")))))))), 1)) * ROW(INDIRECT("1:"&amp;LEN((LEFT(A491,SUM(LEN(A491)-LEN(SUBSTITUTE(A491,{"0","1","2"},"")))))))), 0), ROW(INDIRECT("1:"&amp;LEN((LEFT(A491,SUM(LEN(A491)-LEN(SUBSTITUTE(A491,{"0","1","2"},"")))))))))+1, 1) * 10^ROW(INDIRECT("1:"&amp;LEN((LEFT(A491,SUM(LEN(A491)-LEN(SUBSTITUTE(A491,{"0","1","2"},""))))))))/10))*100+1&amp;""&amp;" ,.., "&amp;""&amp;(SUMPRODUCT(MID(0&amp;(--TRIM(RIGHT(SUBSTITUTE(LEFT(A491,_xlfn.AGGREGATE(16,6,FIND({0,1,2,3,4,5,6,7,8,9},A491,ROW(INDIRECT("1:"&amp;LEN(A491)))),1))," ",REPT(" ",LEN(A491))),LEN(A491)))), LARGE(INDEX(ISNUMBER(--MID((--TRIM(RIGHT(SUBSTITUTE(LEFT(A491,_xlfn.AGGREGATE(16,6,FIND({0,1,2,3,4,5,6,7,8,9},A491,ROW(INDIRECT("1:"&amp;LEN(A491)))),1))," ",REPT(" ",LEN(A491))),LEN(A491)))), ROW(INDIRECT("1:"&amp;LEN((--TRIM(RIGHT(SUBSTITUTE(LEFT(A491,_xlfn.AGGREGATE(16,6,FIND({0,1,2,3,4,5,6,7,8,9},A491,ROW(INDIRECT("1:"&amp;LEN(A491)))),1))," ",REPT(" ",LEN(A491))),LEN(A491))))))), 1)) * ROW(INDIRECT("1:"&amp;LEN((--TRIM(RIGHT(SUBSTITUTE(LEFT(A491,_xlfn.AGGREGATE(16,6,FIND({0,1,2,3,4,5,6,7,8,9},A491,ROW(INDIRECT("1:"&amp;LEN(A491)))),1))," ",REPT(" ",LEN(A491))),LEN(A491))))))), 0), ROW(INDIRECT("1:"&amp;LEN((--TRIM(RIGHT(SUBSTITUTE(LEFT(A491,_xlfn.AGGREGATE(16,6,FIND({0,1,2,3,4,5,6,7,8,9},A491,ROW(INDIRECT("1:"&amp;LEN(A491)))),1))," ",REPT(" ",LEN(A491))),LEN(A491))))))))+1, 1) * 10^ROW(INDIRECT("1:"&amp;LEN((--TRIM(RIGHT(SUBSTITUTE(LEFT(A491,_xlfn.AGGREGATE(16,6,FIND({0,1,2,3,4,5,6,7,8,9},A491,ROW(INDIRECT("1:"&amp;LEN(A491)))),1))," ",REPT(" ",LEN(A491))),LEN(A491)))))))/10))*100+1</f>
        <v>301 ,.., 1501</v>
      </c>
      <c r="B492" s="170"/>
      <c r="C492" s="40"/>
      <c r="D492" s="40"/>
      <c r="E492" s="52">
        <v>0</v>
      </c>
      <c r="F492" s="52">
        <f>D492+E492</f>
        <v>0</v>
      </c>
      <c r="G492" s="52">
        <v>0</v>
      </c>
      <c r="H492" s="52">
        <f>F492*(($H$230)+1)+(IF(G492&lt;101,G492,IF(G492&lt;201,G492/2,IF(G492&lt;=301,G492/3,G492/4))))</f>
        <v>0</v>
      </c>
      <c r="I492" s="34"/>
    </row>
    <row r="493" spans="1:20" s="35" customFormat="1" ht="15.75" hidden="1" customHeight="1" x14ac:dyDescent="0.35">
      <c r="A493" s="169" t="str">
        <f ca="1">(SUMPRODUCT(MID(0&amp;(LEFT(A492,SUM(LEN(A492)-LEN(SUBSTITUTE(A492,{"0","1","2"},""))))), LARGE(INDEX(ISNUMBER(--MID((LEFT(A492,SUM(LEN(A492)-LEN(SUBSTITUTE(A492,{"0","1","2"},""))))), ROW(INDIRECT("1:"&amp;LEN((LEFT(A492,SUM(LEN(A492)-LEN(SUBSTITUTE(A492,{"0","1","2"},"")))))))), 1)) * ROW(INDIRECT("1:"&amp;LEN((LEFT(A492,SUM(LEN(A492)-LEN(SUBSTITUTE(A492,{"0","1","2"},"")))))))), 0), ROW(INDIRECT("1:"&amp;LEN((LEFT(A492,SUM(LEN(A492)-LEN(SUBSTITUTE(A492,{"0","1","2"},"")))))))))+1, 1) * 10^ROW(INDIRECT("1:"&amp;LEN((LEFT(A492,SUM(LEN(A492)-LEN(SUBSTITUTE(A492,{"0","1","2"},""))))))))/10))*1+1&amp;""&amp;" ,.., "&amp;""&amp;(SUMPRODUCT(MID(0&amp;(--TRIM(RIGHT(SUBSTITUTE(LEFT(A492,_xlfn.AGGREGATE(16,6,FIND({0,1,2,3,4,5,6,7,8,9},A492,ROW(INDIRECT("1:"&amp;LEN(A492)))),1))," ",REPT(" ",LEN(A492))),LEN(A492)))), LARGE(INDEX(ISNUMBER(--MID((--TRIM(RIGHT(SUBSTITUTE(LEFT(A492,_xlfn.AGGREGATE(16,6,FIND({0,1,2,3,4,5,6,7,8,9},A492,ROW(INDIRECT("1:"&amp;LEN(A492)))),1))," ",REPT(" ",LEN(A492))),LEN(A492)))), ROW(INDIRECT("1:"&amp;LEN((--TRIM(RIGHT(SUBSTITUTE(LEFT(A492,_xlfn.AGGREGATE(16,6,FIND({0,1,2,3,4,5,6,7,8,9},A492,ROW(INDIRECT("1:"&amp;LEN(A492)))),1))," ",REPT(" ",LEN(A492))),LEN(A492))))))), 1)) * ROW(INDIRECT("1:"&amp;LEN((--TRIM(RIGHT(SUBSTITUTE(LEFT(A492,_xlfn.AGGREGATE(16,6,FIND({0,1,2,3,4,5,6,7,8,9},A492,ROW(INDIRECT("1:"&amp;LEN(A492)))),1))," ",REPT(" ",LEN(A492))),LEN(A492))))))), 0), ROW(INDIRECT("1:"&amp;LEN((--TRIM(RIGHT(SUBSTITUTE(LEFT(A492,_xlfn.AGGREGATE(16,6,FIND({0,1,2,3,4,5,6,7,8,9},A492,ROW(INDIRECT("1:"&amp;LEN(A492)))),1))," ",REPT(" ",LEN(A492))),LEN(A492))))))))+1, 1) * 10^ROW(INDIRECT("1:"&amp;LEN((--TRIM(RIGHT(SUBSTITUTE(LEFT(A492,_xlfn.AGGREGATE(16,6,FIND({0,1,2,3,4,5,6,7,8,9},A492,ROW(INDIRECT("1:"&amp;LEN(A492)))),1))," ",REPT(" ",LEN(A492))),LEN(A492)))))))/10))*1+1</f>
        <v>302 ,.., 1502</v>
      </c>
      <c r="B493" s="170"/>
      <c r="C493" s="40"/>
      <c r="D493" s="40"/>
      <c r="E493" s="52">
        <v>0</v>
      </c>
      <c r="F493" s="52">
        <f>D493+E493</f>
        <v>0</v>
      </c>
      <c r="G493" s="52">
        <v>0</v>
      </c>
      <c r="H493" s="52">
        <f>F493*(($H$230)+1)+(IF(G493&lt;101,G493,IF(G493&lt;201,G493/2,IF(G493&lt;=301,G493/3,G493/4))))</f>
        <v>0</v>
      </c>
      <c r="I493" s="34"/>
    </row>
    <row r="494" spans="1:20" s="35" customFormat="1" ht="15.75" hidden="1" customHeight="1" x14ac:dyDescent="0.35">
      <c r="A494" s="169" t="str">
        <f ca="1">(SUMPRODUCT(MID(0&amp;(LEFT(A493,SUM(LEN(A493)-LEN(SUBSTITUTE(A493,{"0","1","2"},""))))), LARGE(INDEX(ISNUMBER(--MID((LEFT(A493,SUM(LEN(A493)-LEN(SUBSTITUTE(A493,{"0","1","2"},""))))), ROW(INDIRECT("1:"&amp;LEN((LEFT(A493,SUM(LEN(A493)-LEN(SUBSTITUTE(A493,{"0","1","2"},"")))))))), 1)) * ROW(INDIRECT("1:"&amp;LEN((LEFT(A493,SUM(LEN(A493)-LEN(SUBSTITUTE(A493,{"0","1","2"},"")))))))), 0), ROW(INDIRECT("1:"&amp;LEN((LEFT(A493,SUM(LEN(A493)-LEN(SUBSTITUTE(A493,{"0","1","2"},"")))))))))+1, 1) * 10^ROW(INDIRECT("1:"&amp;LEN((LEFT(A493,SUM(LEN(A493)-LEN(SUBSTITUTE(A493,{"0","1","2"},""))))))))/10))*1+1&amp;""&amp;" ,.., "&amp;""&amp;(SUMPRODUCT(MID(0&amp;(--TRIM(RIGHT(SUBSTITUTE(LEFT(A493,_xlfn.AGGREGATE(16,6,FIND({0,1,2,3,4,5,6,7,8,9},A493,ROW(INDIRECT("1:"&amp;LEN(A493)))),1))," ",REPT(" ",LEN(A493))),LEN(A493)))), LARGE(INDEX(ISNUMBER(--MID((--TRIM(RIGHT(SUBSTITUTE(LEFT(A493,_xlfn.AGGREGATE(16,6,FIND({0,1,2,3,4,5,6,7,8,9},A493,ROW(INDIRECT("1:"&amp;LEN(A493)))),1))," ",REPT(" ",LEN(A493))),LEN(A493)))), ROW(INDIRECT("1:"&amp;LEN((--TRIM(RIGHT(SUBSTITUTE(LEFT(A493,_xlfn.AGGREGATE(16,6,FIND({0,1,2,3,4,5,6,7,8,9},A493,ROW(INDIRECT("1:"&amp;LEN(A493)))),1))," ",REPT(" ",LEN(A493))),LEN(A493))))))), 1)) * ROW(INDIRECT("1:"&amp;LEN((--TRIM(RIGHT(SUBSTITUTE(LEFT(A493,_xlfn.AGGREGATE(16,6,FIND({0,1,2,3,4,5,6,7,8,9},A493,ROW(INDIRECT("1:"&amp;LEN(A493)))),1))," ",REPT(" ",LEN(A493))),LEN(A493))))))), 0), ROW(INDIRECT("1:"&amp;LEN((--TRIM(RIGHT(SUBSTITUTE(LEFT(A493,_xlfn.AGGREGATE(16,6,FIND({0,1,2,3,4,5,6,7,8,9},A493,ROW(INDIRECT("1:"&amp;LEN(A493)))),1))," ",REPT(" ",LEN(A493))),LEN(A493))))))))+1, 1) * 10^ROW(INDIRECT("1:"&amp;LEN((--TRIM(RIGHT(SUBSTITUTE(LEFT(A493,_xlfn.AGGREGATE(16,6,FIND({0,1,2,3,4,5,6,7,8,9},A493,ROW(INDIRECT("1:"&amp;LEN(A493)))),1))," ",REPT(" ",LEN(A493))),LEN(A493)))))))/10))*1+1</f>
        <v>303 ,.., 1503</v>
      </c>
      <c r="B494" s="170"/>
      <c r="C494" s="40"/>
      <c r="D494" s="40"/>
      <c r="E494" s="52">
        <v>0</v>
      </c>
      <c r="F494" s="52">
        <f>D494+E494</f>
        <v>0</v>
      </c>
      <c r="G494" s="52">
        <v>0</v>
      </c>
      <c r="H494" s="52">
        <f>F494*(($H$230)+1)+(IF(G494&lt;101,G494,IF(G494&lt;201,G494/2,IF(G494&lt;=301,G494/3,G494/4))))</f>
        <v>0</v>
      </c>
      <c r="I494" s="34"/>
    </row>
    <row r="495" spans="1:20" s="35" customFormat="1" ht="15.75" hidden="1" customHeight="1" x14ac:dyDescent="0.35">
      <c r="A495" s="169" t="str">
        <f ca="1">(SUMPRODUCT(MID(0&amp;(LEFT(A494,SUM(LEN(A494)-LEN(SUBSTITUTE(A494,{"0","1","2"},""))))), LARGE(INDEX(ISNUMBER(--MID((LEFT(A494,SUM(LEN(A494)-LEN(SUBSTITUTE(A494,{"0","1","2"},""))))), ROW(INDIRECT("1:"&amp;LEN((LEFT(A494,SUM(LEN(A494)-LEN(SUBSTITUTE(A494,{"0","1","2"},"")))))))), 1)) * ROW(INDIRECT("1:"&amp;LEN((LEFT(A494,SUM(LEN(A494)-LEN(SUBSTITUTE(A494,{"0","1","2"},"")))))))), 0), ROW(INDIRECT("1:"&amp;LEN((LEFT(A494,SUM(LEN(A494)-LEN(SUBSTITUTE(A494,{"0","1","2"},"")))))))))+1, 1) * 10^ROW(INDIRECT("1:"&amp;LEN((LEFT(A494,SUM(LEN(A494)-LEN(SUBSTITUTE(A494,{"0","1","2"},""))))))))/10))*1+1&amp;""&amp;" ,.., "&amp;""&amp;(SUMPRODUCT(MID(0&amp;(--TRIM(RIGHT(SUBSTITUTE(LEFT(A494,_xlfn.AGGREGATE(16,6,FIND({0,1,2,3,4,5,6,7,8,9},A494,ROW(INDIRECT("1:"&amp;LEN(A494)))),1))," ",REPT(" ",LEN(A494))),LEN(A494)))), LARGE(INDEX(ISNUMBER(--MID((--TRIM(RIGHT(SUBSTITUTE(LEFT(A494,_xlfn.AGGREGATE(16,6,FIND({0,1,2,3,4,5,6,7,8,9},A494,ROW(INDIRECT("1:"&amp;LEN(A494)))),1))," ",REPT(" ",LEN(A494))),LEN(A494)))), ROW(INDIRECT("1:"&amp;LEN((--TRIM(RIGHT(SUBSTITUTE(LEFT(A494,_xlfn.AGGREGATE(16,6,FIND({0,1,2,3,4,5,6,7,8,9},A494,ROW(INDIRECT("1:"&amp;LEN(A494)))),1))," ",REPT(" ",LEN(A494))),LEN(A494))))))), 1)) * ROW(INDIRECT("1:"&amp;LEN((--TRIM(RIGHT(SUBSTITUTE(LEFT(A494,_xlfn.AGGREGATE(16,6,FIND({0,1,2,3,4,5,6,7,8,9},A494,ROW(INDIRECT("1:"&amp;LEN(A494)))),1))," ",REPT(" ",LEN(A494))),LEN(A494))))))), 0), ROW(INDIRECT("1:"&amp;LEN((--TRIM(RIGHT(SUBSTITUTE(LEFT(A494,_xlfn.AGGREGATE(16,6,FIND({0,1,2,3,4,5,6,7,8,9},A494,ROW(INDIRECT("1:"&amp;LEN(A494)))),1))," ",REPT(" ",LEN(A494))),LEN(A494))))))))+1, 1) * 10^ROW(INDIRECT("1:"&amp;LEN((--TRIM(RIGHT(SUBSTITUTE(LEFT(A494,_xlfn.AGGREGATE(16,6,FIND({0,1,2,3,4,5,6,7,8,9},A494,ROW(INDIRECT("1:"&amp;LEN(A494)))),1))," ",REPT(" ",LEN(A494))),LEN(A494)))))))/10))*1+1</f>
        <v>304 ,.., 1504</v>
      </c>
      <c r="B495" s="170"/>
      <c r="C495" s="40"/>
      <c r="D495" s="40"/>
      <c r="E495" s="52">
        <v>0</v>
      </c>
      <c r="F495" s="52">
        <f>D495+E495</f>
        <v>0</v>
      </c>
      <c r="G495" s="52">
        <v>0</v>
      </c>
      <c r="H495" s="52">
        <f>F495*(($H$230)+1)+(IF(G495&lt;101,G495,IF(G495&lt;201,G495/2,IF(G495&lt;=301,G495/3,G495/4))))</f>
        <v>0</v>
      </c>
      <c r="I495" s="34"/>
    </row>
    <row r="496" spans="1:20" s="35" customFormat="1" ht="15.75" hidden="1" customHeight="1" x14ac:dyDescent="0.35">
      <c r="A496" s="169" t="str">
        <f ca="1">(SUMPRODUCT(MID(0&amp;(LEFT(A495,SUM(LEN(A495)-LEN(SUBSTITUTE(A495,{"0","1","2"},""))))), LARGE(INDEX(ISNUMBER(--MID((LEFT(A495,SUM(LEN(A495)-LEN(SUBSTITUTE(A495,{"0","1","2"},""))))), ROW(INDIRECT("1:"&amp;LEN((LEFT(A495,SUM(LEN(A495)-LEN(SUBSTITUTE(A495,{"0","1","2"},"")))))))), 1)) * ROW(INDIRECT("1:"&amp;LEN((LEFT(A495,SUM(LEN(A495)-LEN(SUBSTITUTE(A495,{"0","1","2"},"")))))))), 0), ROW(INDIRECT("1:"&amp;LEN((LEFT(A495,SUM(LEN(A495)-LEN(SUBSTITUTE(A495,{"0","1","2"},"")))))))))+1, 1) * 10^ROW(INDIRECT("1:"&amp;LEN((LEFT(A495,SUM(LEN(A495)-LEN(SUBSTITUTE(A495,{"0","1","2"},""))))))))/10))*1+1&amp;""&amp;" ,.., "&amp;""&amp;(SUMPRODUCT(MID(0&amp;(--TRIM(RIGHT(SUBSTITUTE(LEFT(A495,_xlfn.AGGREGATE(16,6,FIND({0,1,2,3,4,5,6,7,8,9},A495,ROW(INDIRECT("1:"&amp;LEN(A495)))),1))," ",REPT(" ",LEN(A495))),LEN(A495)))), LARGE(INDEX(ISNUMBER(--MID((--TRIM(RIGHT(SUBSTITUTE(LEFT(A495,_xlfn.AGGREGATE(16,6,FIND({0,1,2,3,4,5,6,7,8,9},A495,ROW(INDIRECT("1:"&amp;LEN(A495)))),1))," ",REPT(" ",LEN(A495))),LEN(A495)))), ROW(INDIRECT("1:"&amp;LEN((--TRIM(RIGHT(SUBSTITUTE(LEFT(A495,_xlfn.AGGREGATE(16,6,FIND({0,1,2,3,4,5,6,7,8,9},A495,ROW(INDIRECT("1:"&amp;LEN(A495)))),1))," ",REPT(" ",LEN(A495))),LEN(A495))))))), 1)) * ROW(INDIRECT("1:"&amp;LEN((--TRIM(RIGHT(SUBSTITUTE(LEFT(A495,_xlfn.AGGREGATE(16,6,FIND({0,1,2,3,4,5,6,7,8,9},A495,ROW(INDIRECT("1:"&amp;LEN(A495)))),1))," ",REPT(" ",LEN(A495))),LEN(A495))))))), 0), ROW(INDIRECT("1:"&amp;LEN((--TRIM(RIGHT(SUBSTITUTE(LEFT(A495,_xlfn.AGGREGATE(16,6,FIND({0,1,2,3,4,5,6,7,8,9},A495,ROW(INDIRECT("1:"&amp;LEN(A495)))),1))," ",REPT(" ",LEN(A495))),LEN(A495))))))))+1, 1) * 10^ROW(INDIRECT("1:"&amp;LEN((--TRIM(RIGHT(SUBSTITUTE(LEFT(A495,_xlfn.AGGREGATE(16,6,FIND({0,1,2,3,4,5,6,7,8,9},A495,ROW(INDIRECT("1:"&amp;LEN(A495)))),1))," ",REPT(" ",LEN(A495))),LEN(A495)))))))/10))*1+1</f>
        <v>305 ,.., 1505</v>
      </c>
      <c r="B496" s="170"/>
      <c r="C496" s="40"/>
      <c r="D496" s="40"/>
      <c r="E496" s="52">
        <v>0</v>
      </c>
      <c r="F496" s="52">
        <f>D496+E496</f>
        <v>0</v>
      </c>
      <c r="G496" s="52">
        <v>0</v>
      </c>
      <c r="H496" s="52">
        <f>F496*(($H$230)+1)+(IF(G496&lt;101,G496,IF(G496&lt;201,G496/2,IF(G496&lt;=301,G496/3,G496/4))))</f>
        <v>0</v>
      </c>
      <c r="I496" s="34"/>
    </row>
    <row r="497" spans="1:20" s="35" customFormat="1" hidden="1" x14ac:dyDescent="0.35">
      <c r="A497" s="172" t="s">
        <v>144</v>
      </c>
      <c r="B497" s="173"/>
      <c r="C497" s="173"/>
      <c r="D497" s="173"/>
      <c r="E497" s="173"/>
      <c r="F497" s="173"/>
      <c r="G497" s="173"/>
      <c r="H497" s="174"/>
      <c r="I497" s="34"/>
    </row>
    <row r="498" spans="1:20" s="35" customFormat="1" ht="15.75" hidden="1" customHeight="1" x14ac:dyDescent="0.35">
      <c r="A498" s="169" t="str">
        <f ca="1">(SUMPRODUCT(MID(0&amp;(LEFT(A497,SUM(LEN(A497)-LEN(SUBSTITUTE(A497,{"0","1","2"},""))))), LARGE(INDEX(ISNUMBER(--MID((LEFT(A497,SUM(LEN(A497)-LEN(SUBSTITUTE(A497,{"0","1","2"},""))))), ROW(INDIRECT("1:"&amp;LEN((LEFT(A497,SUM(LEN(A497)-LEN(SUBSTITUTE(A497,{"0","1","2"},"")))))))), 1)) * ROW(INDIRECT("1:"&amp;LEN((LEFT(A497,SUM(LEN(A497)-LEN(SUBSTITUTE(A497,{"0","1","2"},"")))))))), 0), ROW(INDIRECT("1:"&amp;LEN((LEFT(A497,SUM(LEN(A497)-LEN(SUBSTITUTE(A497,{"0","1","2"},"")))))))))+1, 1) * 10^ROW(INDIRECT("1:"&amp;LEN((LEFT(A497,SUM(LEN(A497)-LEN(SUBSTITUTE(A497,{"0","1","2"},""))))))))/10))*100+1&amp;""&amp;" to "&amp;""&amp;(SUMPRODUCT(MID(0&amp;(--TRIM(RIGHT(SUBSTITUTE(LEFT(A497,_xlfn.AGGREGATE(16,6,FIND({0,1,2,3,4,5,6,7,8,9},A497,ROW(INDIRECT("1:"&amp;LEN(A497)))),1))," ",REPT(" ",LEN(A497))),LEN(A497)))), LARGE(INDEX(ISNUMBER(--MID((--TRIM(RIGHT(SUBSTITUTE(LEFT(A497,_xlfn.AGGREGATE(16,6,FIND({0,1,2,3,4,5,6,7,8,9},A497,ROW(INDIRECT("1:"&amp;LEN(A497)))),1))," ",REPT(" ",LEN(A497))),LEN(A497)))), ROW(INDIRECT("1:"&amp;LEN((--TRIM(RIGHT(SUBSTITUTE(LEFT(A497,_xlfn.AGGREGATE(16,6,FIND({0,1,2,3,4,5,6,7,8,9},A497,ROW(INDIRECT("1:"&amp;LEN(A497)))),1))," ",REPT(" ",LEN(A497))),LEN(A497))))))), 1)) * ROW(INDIRECT("1:"&amp;LEN((--TRIM(RIGHT(SUBSTITUTE(LEFT(A497,_xlfn.AGGREGATE(16,6,FIND({0,1,2,3,4,5,6,7,8,9},A497,ROW(INDIRECT("1:"&amp;LEN(A497)))),1))," ",REPT(" ",LEN(A497))),LEN(A497))))))), 0), ROW(INDIRECT("1:"&amp;LEN((--TRIM(RIGHT(SUBSTITUTE(LEFT(A497,_xlfn.AGGREGATE(16,6,FIND({0,1,2,3,4,5,6,7,8,9},A497,ROW(INDIRECT("1:"&amp;LEN(A497)))),1))," ",REPT(" ",LEN(A497))),LEN(A497))))))))+1, 1) * 10^ROW(INDIRECT("1:"&amp;LEN((--TRIM(RIGHT(SUBSTITUTE(LEFT(A497,_xlfn.AGGREGATE(16,6,FIND({0,1,2,3,4,5,6,7,8,9},A497,ROW(INDIRECT("1:"&amp;LEN(A497)))),1))," ",REPT(" ",LEN(A497))),LEN(A497)))))))/10))*100+1</f>
        <v>201 to 501</v>
      </c>
      <c r="B498" s="170"/>
      <c r="C498" s="40"/>
      <c r="D498" s="40"/>
      <c r="E498" s="52">
        <v>0</v>
      </c>
      <c r="F498" s="52">
        <f>D498+E498</f>
        <v>0</v>
      </c>
      <c r="G498" s="52">
        <v>0</v>
      </c>
      <c r="H498" s="52">
        <f>F498*(($H$230)+1)+(IF(G498&lt;101,G498,IF(G498&lt;201,G498/2,IF(G498&lt;=301,G498/3,G498/4))))</f>
        <v>0</v>
      </c>
      <c r="I498" s="34"/>
    </row>
    <row r="499" spans="1:20" s="35" customFormat="1" ht="15.75" hidden="1" customHeight="1" x14ac:dyDescent="0.35">
      <c r="A499" s="169" t="str">
        <f ca="1">(SUMPRODUCT(MID(0&amp;(LEFT(A498,SUM(LEN(A498)-LEN(SUBSTITUTE(A498,{"0","1","2"},""))))), LARGE(INDEX(ISNUMBER(--MID((LEFT(A498,SUM(LEN(A498)-LEN(SUBSTITUTE(A498,{"0","1","2"},""))))), ROW(INDIRECT("1:"&amp;LEN((LEFT(A498,SUM(LEN(A498)-LEN(SUBSTITUTE(A498,{"0","1","2"},"")))))))), 1)) * ROW(INDIRECT("1:"&amp;LEN((LEFT(A498,SUM(LEN(A498)-LEN(SUBSTITUTE(A498,{"0","1","2"},"")))))))), 0), ROW(INDIRECT("1:"&amp;LEN((LEFT(A498,SUM(LEN(A498)-LEN(SUBSTITUTE(A498,{"0","1","2"},"")))))))))+1, 1) * 10^ROW(INDIRECT("1:"&amp;LEN((LEFT(A498,SUM(LEN(A498)-LEN(SUBSTITUTE(A498,{"0","1","2"},""))))))))/10))*1+1&amp;""&amp;" to "&amp;""&amp;(SUMPRODUCT(MID(0&amp;(--TRIM(RIGHT(SUBSTITUTE(LEFT(A498,_xlfn.AGGREGATE(16,6,FIND({0,1,2,3,4,5,6,7,8,9},A498,ROW(INDIRECT("1:"&amp;LEN(A498)))),1))," ",REPT(" ",LEN(A498))),LEN(A498)))), LARGE(INDEX(ISNUMBER(--MID((--TRIM(RIGHT(SUBSTITUTE(LEFT(A498,_xlfn.AGGREGATE(16,6,FIND({0,1,2,3,4,5,6,7,8,9},A498,ROW(INDIRECT("1:"&amp;LEN(A498)))),1))," ",REPT(" ",LEN(A498))),LEN(A498)))), ROW(INDIRECT("1:"&amp;LEN((--TRIM(RIGHT(SUBSTITUTE(LEFT(A498,_xlfn.AGGREGATE(16,6,FIND({0,1,2,3,4,5,6,7,8,9},A498,ROW(INDIRECT("1:"&amp;LEN(A498)))),1))," ",REPT(" ",LEN(A498))),LEN(A498))))))), 1)) * ROW(INDIRECT("1:"&amp;LEN((--TRIM(RIGHT(SUBSTITUTE(LEFT(A498,_xlfn.AGGREGATE(16,6,FIND({0,1,2,3,4,5,6,7,8,9},A498,ROW(INDIRECT("1:"&amp;LEN(A498)))),1))," ",REPT(" ",LEN(A498))),LEN(A498))))))), 0), ROW(INDIRECT("1:"&amp;LEN((--TRIM(RIGHT(SUBSTITUTE(LEFT(A498,_xlfn.AGGREGATE(16,6,FIND({0,1,2,3,4,5,6,7,8,9},A498,ROW(INDIRECT("1:"&amp;LEN(A498)))),1))," ",REPT(" ",LEN(A498))),LEN(A498))))))))+1, 1) * 10^ROW(INDIRECT("1:"&amp;LEN((--TRIM(RIGHT(SUBSTITUTE(LEFT(A498,_xlfn.AGGREGATE(16,6,FIND({0,1,2,3,4,5,6,7,8,9},A498,ROW(INDIRECT("1:"&amp;LEN(A498)))),1))," ",REPT(" ",LEN(A498))),LEN(A498)))))))/10))*1+1</f>
        <v>202 to 502</v>
      </c>
      <c r="B499" s="170"/>
      <c r="C499" s="40"/>
      <c r="D499" s="40"/>
      <c r="E499" s="52">
        <v>0</v>
      </c>
      <c r="F499" s="52">
        <f>D499+E499</f>
        <v>0</v>
      </c>
      <c r="G499" s="52">
        <v>0</v>
      </c>
      <c r="H499" s="52">
        <f>F499*(($H$230)+1)+(IF(G499&lt;101,G499,IF(G499&lt;201,G499/2,IF(G499&lt;=301,G499/3,G499/4))))</f>
        <v>0</v>
      </c>
      <c r="I499" s="34"/>
    </row>
    <row r="500" spans="1:20" s="35" customFormat="1" ht="15.75" hidden="1" customHeight="1" x14ac:dyDescent="0.35">
      <c r="A500" s="169" t="str">
        <f ca="1">(SUMPRODUCT(MID(0&amp;(LEFT(A499,SUM(LEN(A499)-LEN(SUBSTITUTE(A499,{"0","1","2"},""))))), LARGE(INDEX(ISNUMBER(--MID((LEFT(A499,SUM(LEN(A499)-LEN(SUBSTITUTE(A499,{"0","1","2"},""))))), ROW(INDIRECT("1:"&amp;LEN((LEFT(A499,SUM(LEN(A499)-LEN(SUBSTITUTE(A499,{"0","1","2"},"")))))))), 1)) * ROW(INDIRECT("1:"&amp;LEN((LEFT(A499,SUM(LEN(A499)-LEN(SUBSTITUTE(A499,{"0","1","2"},"")))))))), 0), ROW(INDIRECT("1:"&amp;LEN((LEFT(A499,SUM(LEN(A499)-LEN(SUBSTITUTE(A499,{"0","1","2"},"")))))))))+1, 1) * 10^ROW(INDIRECT("1:"&amp;LEN((LEFT(A499,SUM(LEN(A499)-LEN(SUBSTITUTE(A499,{"0","1","2"},""))))))))/10))*1+1&amp;""&amp;" to "&amp;""&amp;(SUMPRODUCT(MID(0&amp;(--TRIM(RIGHT(SUBSTITUTE(LEFT(A499,_xlfn.AGGREGATE(16,6,FIND({0,1,2,3,4,5,6,7,8,9},A499,ROW(INDIRECT("1:"&amp;LEN(A499)))),1))," ",REPT(" ",LEN(A499))),LEN(A499)))), LARGE(INDEX(ISNUMBER(--MID((--TRIM(RIGHT(SUBSTITUTE(LEFT(A499,_xlfn.AGGREGATE(16,6,FIND({0,1,2,3,4,5,6,7,8,9},A499,ROW(INDIRECT("1:"&amp;LEN(A499)))),1))," ",REPT(" ",LEN(A499))),LEN(A499)))), ROW(INDIRECT("1:"&amp;LEN((--TRIM(RIGHT(SUBSTITUTE(LEFT(A499,_xlfn.AGGREGATE(16,6,FIND({0,1,2,3,4,5,6,7,8,9},A499,ROW(INDIRECT("1:"&amp;LEN(A499)))),1))," ",REPT(" ",LEN(A499))),LEN(A499))))))), 1)) * ROW(INDIRECT("1:"&amp;LEN((--TRIM(RIGHT(SUBSTITUTE(LEFT(A499,_xlfn.AGGREGATE(16,6,FIND({0,1,2,3,4,5,6,7,8,9},A499,ROW(INDIRECT("1:"&amp;LEN(A499)))),1))," ",REPT(" ",LEN(A499))),LEN(A499))))))), 0), ROW(INDIRECT("1:"&amp;LEN((--TRIM(RIGHT(SUBSTITUTE(LEFT(A499,_xlfn.AGGREGATE(16,6,FIND({0,1,2,3,4,5,6,7,8,9},A499,ROW(INDIRECT("1:"&amp;LEN(A499)))),1))," ",REPT(" ",LEN(A499))),LEN(A499))))))))+1, 1) * 10^ROW(INDIRECT("1:"&amp;LEN((--TRIM(RIGHT(SUBSTITUTE(LEFT(A499,_xlfn.AGGREGATE(16,6,FIND({0,1,2,3,4,5,6,7,8,9},A499,ROW(INDIRECT("1:"&amp;LEN(A499)))),1))," ",REPT(" ",LEN(A499))),LEN(A499)))))))/10))*1+1</f>
        <v>203 to 503</v>
      </c>
      <c r="B500" s="170"/>
      <c r="C500" s="40"/>
      <c r="D500" s="40"/>
      <c r="E500" s="52">
        <v>0</v>
      </c>
      <c r="F500" s="52">
        <f>D500+E500</f>
        <v>0</v>
      </c>
      <c r="G500" s="52">
        <v>0</v>
      </c>
      <c r="H500" s="52">
        <f>F500*(($H$230)+1)+(IF(G500&lt;101,G500,IF(G500&lt;201,G500/2,IF(G500&lt;=301,G500/3,G500/4))))</f>
        <v>0</v>
      </c>
      <c r="I500" s="34"/>
    </row>
    <row r="501" spans="1:20" s="35" customFormat="1" ht="15.75" hidden="1" customHeight="1" x14ac:dyDescent="0.35">
      <c r="A501" s="169" t="str">
        <f ca="1">(SUMPRODUCT(MID(0&amp;(LEFT(A500,SUM(LEN(A500)-LEN(SUBSTITUTE(A500,{"0","1","2"},""))))), LARGE(INDEX(ISNUMBER(--MID((LEFT(A500,SUM(LEN(A500)-LEN(SUBSTITUTE(A500,{"0","1","2"},""))))), ROW(INDIRECT("1:"&amp;LEN((LEFT(A500,SUM(LEN(A500)-LEN(SUBSTITUTE(A500,{"0","1","2"},"")))))))), 1)) * ROW(INDIRECT("1:"&amp;LEN((LEFT(A500,SUM(LEN(A500)-LEN(SUBSTITUTE(A500,{"0","1","2"},"")))))))), 0), ROW(INDIRECT("1:"&amp;LEN((LEFT(A500,SUM(LEN(A500)-LEN(SUBSTITUTE(A500,{"0","1","2"},"")))))))))+1, 1) * 10^ROW(INDIRECT("1:"&amp;LEN((LEFT(A500,SUM(LEN(A500)-LEN(SUBSTITUTE(A500,{"0","1","2"},""))))))))/10))*1+1&amp;""&amp;" to "&amp;""&amp;(SUMPRODUCT(MID(0&amp;(--TRIM(RIGHT(SUBSTITUTE(LEFT(A500,_xlfn.AGGREGATE(16,6,FIND({0,1,2,3,4,5,6,7,8,9},A500,ROW(INDIRECT("1:"&amp;LEN(A500)))),1))," ",REPT(" ",LEN(A500))),LEN(A500)))), LARGE(INDEX(ISNUMBER(--MID((--TRIM(RIGHT(SUBSTITUTE(LEFT(A500,_xlfn.AGGREGATE(16,6,FIND({0,1,2,3,4,5,6,7,8,9},A500,ROW(INDIRECT("1:"&amp;LEN(A500)))),1))," ",REPT(" ",LEN(A500))),LEN(A500)))), ROW(INDIRECT("1:"&amp;LEN((--TRIM(RIGHT(SUBSTITUTE(LEFT(A500,_xlfn.AGGREGATE(16,6,FIND({0,1,2,3,4,5,6,7,8,9},A500,ROW(INDIRECT("1:"&amp;LEN(A500)))),1))," ",REPT(" ",LEN(A500))),LEN(A500))))))), 1)) * ROW(INDIRECT("1:"&amp;LEN((--TRIM(RIGHT(SUBSTITUTE(LEFT(A500,_xlfn.AGGREGATE(16,6,FIND({0,1,2,3,4,5,6,7,8,9},A500,ROW(INDIRECT("1:"&amp;LEN(A500)))),1))," ",REPT(" ",LEN(A500))),LEN(A500))))))), 0), ROW(INDIRECT("1:"&amp;LEN((--TRIM(RIGHT(SUBSTITUTE(LEFT(A500,_xlfn.AGGREGATE(16,6,FIND({0,1,2,3,4,5,6,7,8,9},A500,ROW(INDIRECT("1:"&amp;LEN(A500)))),1))," ",REPT(" ",LEN(A500))),LEN(A500))))))))+1, 1) * 10^ROW(INDIRECT("1:"&amp;LEN((--TRIM(RIGHT(SUBSTITUTE(LEFT(A500,_xlfn.AGGREGATE(16,6,FIND({0,1,2,3,4,5,6,7,8,9},A500,ROW(INDIRECT("1:"&amp;LEN(A500)))),1))," ",REPT(" ",LEN(A500))),LEN(A500)))))))/10))*1+1</f>
        <v>204 to 504</v>
      </c>
      <c r="B501" s="170"/>
      <c r="C501" s="40"/>
      <c r="D501" s="40"/>
      <c r="E501" s="52">
        <v>0</v>
      </c>
      <c r="F501" s="52">
        <f>D501+E501</f>
        <v>0</v>
      </c>
      <c r="G501" s="52">
        <v>0</v>
      </c>
      <c r="H501" s="52">
        <f>F501*(($H$230)+1)+(IF(G501&lt;101,G501,IF(G501&lt;201,G501/2,IF(G501&lt;=301,G501/3,G501/4))))</f>
        <v>0</v>
      </c>
      <c r="I501" s="34"/>
    </row>
    <row r="502" spans="1:20" s="35" customFormat="1" ht="15.75" hidden="1" customHeight="1" x14ac:dyDescent="0.35">
      <c r="A502" s="169" t="str">
        <f ca="1">(SUMPRODUCT(MID(0&amp;(LEFT(A501,SUM(LEN(A501)-LEN(SUBSTITUTE(A501,{"0","1","2"},""))))), LARGE(INDEX(ISNUMBER(--MID((LEFT(A501,SUM(LEN(A501)-LEN(SUBSTITUTE(A501,{"0","1","2"},""))))), ROW(INDIRECT("1:"&amp;LEN((LEFT(A501,SUM(LEN(A501)-LEN(SUBSTITUTE(A501,{"0","1","2"},"")))))))), 1)) * ROW(INDIRECT("1:"&amp;LEN((LEFT(A501,SUM(LEN(A501)-LEN(SUBSTITUTE(A501,{"0","1","2"},"")))))))), 0), ROW(INDIRECT("1:"&amp;LEN((LEFT(A501,SUM(LEN(A501)-LEN(SUBSTITUTE(A501,{"0","1","2"},"")))))))))+1, 1) * 10^ROW(INDIRECT("1:"&amp;LEN((LEFT(A501,SUM(LEN(A501)-LEN(SUBSTITUTE(A501,{"0","1","2"},""))))))))/10))*1+1&amp;""&amp;" to "&amp;""&amp;(SUMPRODUCT(MID(0&amp;(--TRIM(RIGHT(SUBSTITUTE(LEFT(A501,_xlfn.AGGREGATE(16,6,FIND({0,1,2,3,4,5,6,7,8,9},A501,ROW(INDIRECT("1:"&amp;LEN(A501)))),1))," ",REPT(" ",LEN(A501))),LEN(A501)))), LARGE(INDEX(ISNUMBER(--MID((--TRIM(RIGHT(SUBSTITUTE(LEFT(A501,_xlfn.AGGREGATE(16,6,FIND({0,1,2,3,4,5,6,7,8,9},A501,ROW(INDIRECT("1:"&amp;LEN(A501)))),1))," ",REPT(" ",LEN(A501))),LEN(A501)))), ROW(INDIRECT("1:"&amp;LEN((--TRIM(RIGHT(SUBSTITUTE(LEFT(A501,_xlfn.AGGREGATE(16,6,FIND({0,1,2,3,4,5,6,7,8,9},A501,ROW(INDIRECT("1:"&amp;LEN(A501)))),1))," ",REPT(" ",LEN(A501))),LEN(A501))))))), 1)) * ROW(INDIRECT("1:"&amp;LEN((--TRIM(RIGHT(SUBSTITUTE(LEFT(A501,_xlfn.AGGREGATE(16,6,FIND({0,1,2,3,4,5,6,7,8,9},A501,ROW(INDIRECT("1:"&amp;LEN(A501)))),1))," ",REPT(" ",LEN(A501))),LEN(A501))))))), 0), ROW(INDIRECT("1:"&amp;LEN((--TRIM(RIGHT(SUBSTITUTE(LEFT(A501,_xlfn.AGGREGATE(16,6,FIND({0,1,2,3,4,5,6,7,8,9},A501,ROW(INDIRECT("1:"&amp;LEN(A501)))),1))," ",REPT(" ",LEN(A501))),LEN(A501))))))))+1, 1) * 10^ROW(INDIRECT("1:"&amp;LEN((--TRIM(RIGHT(SUBSTITUTE(LEFT(A501,_xlfn.AGGREGATE(16,6,FIND({0,1,2,3,4,5,6,7,8,9},A501,ROW(INDIRECT("1:"&amp;LEN(A501)))),1))," ",REPT(" ",LEN(A501))),LEN(A501)))))))/10))*1+1</f>
        <v>205 to 505</v>
      </c>
      <c r="B502" s="170"/>
      <c r="C502" s="40"/>
      <c r="D502" s="40"/>
      <c r="E502" s="52">
        <v>0</v>
      </c>
      <c r="F502" s="52">
        <f>D502+E502</f>
        <v>0</v>
      </c>
      <c r="G502" s="52">
        <v>0</v>
      </c>
      <c r="H502" s="52">
        <f>F502*(($H$230)+1)+(IF(G502&lt;101,G502,IF(G502&lt;201,G502/2,IF(G502&lt;=301,G502/3,G502/4))))</f>
        <v>0</v>
      </c>
      <c r="I502" s="34"/>
    </row>
    <row r="503" spans="1:20" s="35" customFormat="1" hidden="1" x14ac:dyDescent="0.35">
      <c r="A503" s="172" t="s">
        <v>145</v>
      </c>
      <c r="B503" s="173"/>
      <c r="C503" s="173"/>
      <c r="D503" s="173"/>
      <c r="E503" s="173"/>
      <c r="F503" s="173"/>
      <c r="G503" s="173"/>
      <c r="H503" s="174"/>
      <c r="I503" s="34"/>
    </row>
    <row r="504" spans="1:20" s="35" customFormat="1" ht="15.75" hidden="1" customHeight="1" x14ac:dyDescent="0.35">
      <c r="A504" s="169" t="str">
        <f ca="1">(SUMPRODUCT(MID(0&amp;(LEFT(A503,SUM(LEN(A503)-LEN(SUBSTITUTE(A503,{"0","1","2"},""))))), LARGE(INDEX(ISNUMBER(--MID((LEFT(A503,SUM(LEN(A503)-LEN(SUBSTITUTE(A503,{"0","1","2"},""))))), ROW(INDIRECT("1:"&amp;LEN((LEFT(A503,SUM(LEN(A503)-LEN(SUBSTITUTE(A503,{"0","1","2"},"")))))))), 1)) * ROW(INDIRECT("1:"&amp;LEN((LEFT(A503,SUM(LEN(A503)-LEN(SUBSTITUTE(A503,{"0","1","2"},"")))))))), 0), ROW(INDIRECT("1:"&amp;LEN((LEFT(A503,SUM(LEN(A503)-LEN(SUBSTITUTE(A503,{"0","1","2"},"")))))))))+1, 1) * 10^ROW(INDIRECT("1:"&amp;LEN((LEFT(A503,SUM(LEN(A503)-LEN(SUBSTITUTE(A503,{"0","1","2"},""))))))))/10))*100+1&amp;""&amp;" &amp; "&amp;""&amp;(SUMPRODUCT(MID(0&amp;(--TRIM(RIGHT(SUBSTITUTE(LEFT(A503,_xlfn.AGGREGATE(16,6,FIND({0,1,2,3,4,5,6,7,8,9},A503,ROW(INDIRECT("1:"&amp;LEN(A503)))),1))," ",REPT(" ",LEN(A503))),LEN(A503)))), LARGE(INDEX(ISNUMBER(--MID((--TRIM(RIGHT(SUBSTITUTE(LEFT(A503,_xlfn.AGGREGATE(16,6,FIND({0,1,2,3,4,5,6,7,8,9},A503,ROW(INDIRECT("1:"&amp;LEN(A503)))),1))," ",REPT(" ",LEN(A503))),LEN(A503)))), ROW(INDIRECT("1:"&amp;LEN((--TRIM(RIGHT(SUBSTITUTE(LEFT(A503,_xlfn.AGGREGATE(16,6,FIND({0,1,2,3,4,5,6,7,8,9},A503,ROW(INDIRECT("1:"&amp;LEN(A503)))),1))," ",REPT(" ",LEN(A503))),LEN(A503))))))), 1)) * ROW(INDIRECT("1:"&amp;LEN((--TRIM(RIGHT(SUBSTITUTE(LEFT(A503,_xlfn.AGGREGATE(16,6,FIND({0,1,2,3,4,5,6,7,8,9},A503,ROW(INDIRECT("1:"&amp;LEN(A503)))),1))," ",REPT(" ",LEN(A503))),LEN(A503))))))), 0), ROW(INDIRECT("1:"&amp;LEN((--TRIM(RIGHT(SUBSTITUTE(LEFT(A503,_xlfn.AGGREGATE(16,6,FIND({0,1,2,3,4,5,6,7,8,9},A503,ROW(INDIRECT("1:"&amp;LEN(A503)))),1))," ",REPT(" ",LEN(A503))),LEN(A503))))))))+1, 1) * 10^ROW(INDIRECT("1:"&amp;LEN((--TRIM(RIGHT(SUBSTITUTE(LEFT(A503,_xlfn.AGGREGATE(16,6,FIND({0,1,2,3,4,5,6,7,8,9},A503,ROW(INDIRECT("1:"&amp;LEN(A503)))),1))," ",REPT(" ",LEN(A503))),LEN(A503)))))))/10))*100+1</f>
        <v>201 &amp; 501</v>
      </c>
      <c r="B504" s="170"/>
      <c r="C504" s="40"/>
      <c r="D504" s="40"/>
      <c r="E504" s="52">
        <v>0</v>
      </c>
      <c r="F504" s="52">
        <f>D504+E504</f>
        <v>0</v>
      </c>
      <c r="G504" s="52">
        <v>0</v>
      </c>
      <c r="H504" s="52">
        <f>F504*(($H$230)+1)+(IF(G504&lt;101,G504,IF(G504&lt;201,G504/2,IF(G504&lt;=301,G504/3,G504/4))))</f>
        <v>0</v>
      </c>
      <c r="I504" s="34"/>
    </row>
    <row r="505" spans="1:20" s="35" customFormat="1" ht="15.75" hidden="1" customHeight="1" x14ac:dyDescent="0.35">
      <c r="A505" s="169" t="str">
        <f ca="1">(SUMPRODUCT(MID(0&amp;(LEFT(A504,SUM(LEN(A504)-LEN(SUBSTITUTE(A504,{"0","1","2"},""))))), LARGE(INDEX(ISNUMBER(--MID((LEFT(A504,SUM(LEN(A504)-LEN(SUBSTITUTE(A504,{"0","1","2"},""))))), ROW(INDIRECT("1:"&amp;LEN((LEFT(A504,SUM(LEN(A504)-LEN(SUBSTITUTE(A504,{"0","1","2"},"")))))))), 1)) * ROW(INDIRECT("1:"&amp;LEN((LEFT(A504,SUM(LEN(A504)-LEN(SUBSTITUTE(A504,{"0","1","2"},"")))))))), 0), ROW(INDIRECT("1:"&amp;LEN((LEFT(A504,SUM(LEN(A504)-LEN(SUBSTITUTE(A504,{"0","1","2"},"")))))))))+1, 1) * 10^ROW(INDIRECT("1:"&amp;LEN((LEFT(A504,SUM(LEN(A504)-LEN(SUBSTITUTE(A504,{"0","1","2"},""))))))))/10))*1+1&amp;""&amp;" &amp; "&amp;""&amp;(SUMPRODUCT(MID(0&amp;(--TRIM(RIGHT(SUBSTITUTE(LEFT(A504,_xlfn.AGGREGATE(16,6,FIND({0,1,2,3,4,5,6,7,8,9},A504,ROW(INDIRECT("1:"&amp;LEN(A504)))),1))," ",REPT(" ",LEN(A504))),LEN(A504)))), LARGE(INDEX(ISNUMBER(--MID((--TRIM(RIGHT(SUBSTITUTE(LEFT(A504,_xlfn.AGGREGATE(16,6,FIND({0,1,2,3,4,5,6,7,8,9},A504,ROW(INDIRECT("1:"&amp;LEN(A504)))),1))," ",REPT(" ",LEN(A504))),LEN(A504)))), ROW(INDIRECT("1:"&amp;LEN((--TRIM(RIGHT(SUBSTITUTE(LEFT(A504,_xlfn.AGGREGATE(16,6,FIND({0,1,2,3,4,5,6,7,8,9},A504,ROW(INDIRECT("1:"&amp;LEN(A504)))),1))," ",REPT(" ",LEN(A504))),LEN(A504))))))), 1)) * ROW(INDIRECT("1:"&amp;LEN((--TRIM(RIGHT(SUBSTITUTE(LEFT(A504,_xlfn.AGGREGATE(16,6,FIND({0,1,2,3,4,5,6,7,8,9},A504,ROW(INDIRECT("1:"&amp;LEN(A504)))),1))," ",REPT(" ",LEN(A504))),LEN(A504))))))), 0), ROW(INDIRECT("1:"&amp;LEN((--TRIM(RIGHT(SUBSTITUTE(LEFT(A504,_xlfn.AGGREGATE(16,6,FIND({0,1,2,3,4,5,6,7,8,9},A504,ROW(INDIRECT("1:"&amp;LEN(A504)))),1))," ",REPT(" ",LEN(A504))),LEN(A504))))))))+1, 1) * 10^ROW(INDIRECT("1:"&amp;LEN((--TRIM(RIGHT(SUBSTITUTE(LEFT(A504,_xlfn.AGGREGATE(16,6,FIND({0,1,2,3,4,5,6,7,8,9},A504,ROW(INDIRECT("1:"&amp;LEN(A504)))),1))," ",REPT(" ",LEN(A504))),LEN(A504)))))))/10))*1+1</f>
        <v>202 &amp; 502</v>
      </c>
      <c r="B505" s="170"/>
      <c r="C505" s="40"/>
      <c r="D505" s="40"/>
      <c r="E505" s="52">
        <v>0</v>
      </c>
      <c r="F505" s="52">
        <f>D505+E505</f>
        <v>0</v>
      </c>
      <c r="G505" s="52">
        <v>0</v>
      </c>
      <c r="H505" s="52">
        <f>F505*(($H$230)+1)+(IF(G505&lt;101,G505,IF(G505&lt;201,G505/2,IF(G505&lt;=301,G505/3,G505/4))))</f>
        <v>0</v>
      </c>
      <c r="I505" s="34"/>
    </row>
    <row r="506" spans="1:20" s="35" customFormat="1" ht="15.75" hidden="1" customHeight="1" x14ac:dyDescent="0.35">
      <c r="A506" s="169" t="str">
        <f ca="1">(SUMPRODUCT(MID(0&amp;(LEFT(A505,SUM(LEN(A505)-LEN(SUBSTITUTE(A505,{"0","1","2"},""))))), LARGE(INDEX(ISNUMBER(--MID((LEFT(A505,SUM(LEN(A505)-LEN(SUBSTITUTE(A505,{"0","1","2"},""))))), ROW(INDIRECT("1:"&amp;LEN((LEFT(A505,SUM(LEN(A505)-LEN(SUBSTITUTE(A505,{"0","1","2"},"")))))))), 1)) * ROW(INDIRECT("1:"&amp;LEN((LEFT(A505,SUM(LEN(A505)-LEN(SUBSTITUTE(A505,{"0","1","2"},"")))))))), 0), ROW(INDIRECT("1:"&amp;LEN((LEFT(A505,SUM(LEN(A505)-LEN(SUBSTITUTE(A505,{"0","1","2"},"")))))))))+1, 1) * 10^ROW(INDIRECT("1:"&amp;LEN((LEFT(A505,SUM(LEN(A505)-LEN(SUBSTITUTE(A505,{"0","1","2"},""))))))))/10))*1+1&amp;""&amp;" &amp; "&amp;""&amp;(SUMPRODUCT(MID(0&amp;(--TRIM(RIGHT(SUBSTITUTE(LEFT(A505,_xlfn.AGGREGATE(16,6,FIND({0,1,2,3,4,5,6,7,8,9},A505,ROW(INDIRECT("1:"&amp;LEN(A505)))),1))," ",REPT(" ",LEN(A505))),LEN(A505)))), LARGE(INDEX(ISNUMBER(--MID((--TRIM(RIGHT(SUBSTITUTE(LEFT(A505,_xlfn.AGGREGATE(16,6,FIND({0,1,2,3,4,5,6,7,8,9},A505,ROW(INDIRECT("1:"&amp;LEN(A505)))),1))," ",REPT(" ",LEN(A505))),LEN(A505)))), ROW(INDIRECT("1:"&amp;LEN((--TRIM(RIGHT(SUBSTITUTE(LEFT(A505,_xlfn.AGGREGATE(16,6,FIND({0,1,2,3,4,5,6,7,8,9},A505,ROW(INDIRECT("1:"&amp;LEN(A505)))),1))," ",REPT(" ",LEN(A505))),LEN(A505))))))), 1)) * ROW(INDIRECT("1:"&amp;LEN((--TRIM(RIGHT(SUBSTITUTE(LEFT(A505,_xlfn.AGGREGATE(16,6,FIND({0,1,2,3,4,5,6,7,8,9},A505,ROW(INDIRECT("1:"&amp;LEN(A505)))),1))," ",REPT(" ",LEN(A505))),LEN(A505))))))), 0), ROW(INDIRECT("1:"&amp;LEN((--TRIM(RIGHT(SUBSTITUTE(LEFT(A505,_xlfn.AGGREGATE(16,6,FIND({0,1,2,3,4,5,6,7,8,9},A505,ROW(INDIRECT("1:"&amp;LEN(A505)))),1))," ",REPT(" ",LEN(A505))),LEN(A505))))))))+1, 1) * 10^ROW(INDIRECT("1:"&amp;LEN((--TRIM(RIGHT(SUBSTITUTE(LEFT(A505,_xlfn.AGGREGATE(16,6,FIND({0,1,2,3,4,5,6,7,8,9},A505,ROW(INDIRECT("1:"&amp;LEN(A505)))),1))," ",REPT(" ",LEN(A505))),LEN(A505)))))))/10))*1+1</f>
        <v>203 &amp; 503</v>
      </c>
      <c r="B506" s="170"/>
      <c r="C506" s="40"/>
      <c r="D506" s="40"/>
      <c r="E506" s="52">
        <v>0</v>
      </c>
      <c r="F506" s="52">
        <f>D506+E506</f>
        <v>0</v>
      </c>
      <c r="G506" s="52">
        <v>0</v>
      </c>
      <c r="H506" s="52">
        <f>F506*(($H$230)+1)+(IF(G506&lt;101,G506,IF(G506&lt;201,G506/2,IF(G506&lt;=301,G506/3,G506/4))))</f>
        <v>0</v>
      </c>
      <c r="I506" s="34"/>
    </row>
    <row r="507" spans="1:20" s="35" customFormat="1" ht="15.75" hidden="1" customHeight="1" x14ac:dyDescent="0.35">
      <c r="A507" s="169" t="str">
        <f ca="1">(SUMPRODUCT(MID(0&amp;(LEFT(A506,SUM(LEN(A506)-LEN(SUBSTITUTE(A506,{"0","1","2"},""))))), LARGE(INDEX(ISNUMBER(--MID((LEFT(A506,SUM(LEN(A506)-LEN(SUBSTITUTE(A506,{"0","1","2"},""))))), ROW(INDIRECT("1:"&amp;LEN((LEFT(A506,SUM(LEN(A506)-LEN(SUBSTITUTE(A506,{"0","1","2"},"")))))))), 1)) * ROW(INDIRECT("1:"&amp;LEN((LEFT(A506,SUM(LEN(A506)-LEN(SUBSTITUTE(A506,{"0","1","2"},"")))))))), 0), ROW(INDIRECT("1:"&amp;LEN((LEFT(A506,SUM(LEN(A506)-LEN(SUBSTITUTE(A506,{"0","1","2"},"")))))))))+1, 1) * 10^ROW(INDIRECT("1:"&amp;LEN((LEFT(A506,SUM(LEN(A506)-LEN(SUBSTITUTE(A506,{"0","1","2"},""))))))))/10))*1+1&amp;""&amp;" &amp; "&amp;""&amp;(SUMPRODUCT(MID(0&amp;(--TRIM(RIGHT(SUBSTITUTE(LEFT(A506,_xlfn.AGGREGATE(16,6,FIND({0,1,2,3,4,5,6,7,8,9},A506,ROW(INDIRECT("1:"&amp;LEN(A506)))),1))," ",REPT(" ",LEN(A506))),LEN(A506)))), LARGE(INDEX(ISNUMBER(--MID((--TRIM(RIGHT(SUBSTITUTE(LEFT(A506,_xlfn.AGGREGATE(16,6,FIND({0,1,2,3,4,5,6,7,8,9},A506,ROW(INDIRECT("1:"&amp;LEN(A506)))),1))," ",REPT(" ",LEN(A506))),LEN(A506)))), ROW(INDIRECT("1:"&amp;LEN((--TRIM(RIGHT(SUBSTITUTE(LEFT(A506,_xlfn.AGGREGATE(16,6,FIND({0,1,2,3,4,5,6,7,8,9},A506,ROW(INDIRECT("1:"&amp;LEN(A506)))),1))," ",REPT(" ",LEN(A506))),LEN(A506))))))), 1)) * ROW(INDIRECT("1:"&amp;LEN((--TRIM(RIGHT(SUBSTITUTE(LEFT(A506,_xlfn.AGGREGATE(16,6,FIND({0,1,2,3,4,5,6,7,8,9},A506,ROW(INDIRECT("1:"&amp;LEN(A506)))),1))," ",REPT(" ",LEN(A506))),LEN(A506))))))), 0), ROW(INDIRECT("1:"&amp;LEN((--TRIM(RIGHT(SUBSTITUTE(LEFT(A506,_xlfn.AGGREGATE(16,6,FIND({0,1,2,3,4,5,6,7,8,9},A506,ROW(INDIRECT("1:"&amp;LEN(A506)))),1))," ",REPT(" ",LEN(A506))),LEN(A506))))))))+1, 1) * 10^ROW(INDIRECT("1:"&amp;LEN((--TRIM(RIGHT(SUBSTITUTE(LEFT(A506,_xlfn.AGGREGATE(16,6,FIND({0,1,2,3,4,5,6,7,8,9},A506,ROW(INDIRECT("1:"&amp;LEN(A506)))),1))," ",REPT(" ",LEN(A506))),LEN(A506)))))))/10))*1+1</f>
        <v>204 &amp; 504</v>
      </c>
      <c r="B507" s="170"/>
      <c r="C507" s="40"/>
      <c r="D507" s="40"/>
      <c r="E507" s="52">
        <v>0</v>
      </c>
      <c r="F507" s="52">
        <f>D507+E507</f>
        <v>0</v>
      </c>
      <c r="G507" s="52">
        <v>0</v>
      </c>
      <c r="H507" s="52">
        <f>F507*(($H$230)+1)+(IF(G507&lt;101,G507,IF(G507&lt;201,G507/2,IF(G507&lt;=301,G507/3,G507/4))))</f>
        <v>0</v>
      </c>
      <c r="I507" s="34"/>
    </row>
    <row r="508" spans="1:20" s="35" customFormat="1" ht="15.75" hidden="1" customHeight="1" x14ac:dyDescent="0.35">
      <c r="A508" s="169" t="str">
        <f ca="1">(SUMPRODUCT(MID(0&amp;(LEFT(A507,SUM(LEN(A507)-LEN(SUBSTITUTE(A507,{"0","1","2"},""))))), LARGE(INDEX(ISNUMBER(--MID((LEFT(A507,SUM(LEN(A507)-LEN(SUBSTITUTE(A507,{"0","1","2"},""))))), ROW(INDIRECT("1:"&amp;LEN((LEFT(A507,SUM(LEN(A507)-LEN(SUBSTITUTE(A507,{"0","1","2"},"")))))))), 1)) * ROW(INDIRECT("1:"&amp;LEN((LEFT(A507,SUM(LEN(A507)-LEN(SUBSTITUTE(A507,{"0","1","2"},"")))))))), 0), ROW(INDIRECT("1:"&amp;LEN((LEFT(A507,SUM(LEN(A507)-LEN(SUBSTITUTE(A507,{"0","1","2"},"")))))))))+1, 1) * 10^ROW(INDIRECT("1:"&amp;LEN((LEFT(A507,SUM(LEN(A507)-LEN(SUBSTITUTE(A507,{"0","1","2"},""))))))))/10))*1+1&amp;""&amp;" &amp; "&amp;""&amp;(SUMPRODUCT(MID(0&amp;(--TRIM(RIGHT(SUBSTITUTE(LEFT(A507,_xlfn.AGGREGATE(16,6,FIND({0,1,2,3,4,5,6,7,8,9},A507,ROW(INDIRECT("1:"&amp;LEN(A507)))),1))," ",REPT(" ",LEN(A507))),LEN(A507)))), LARGE(INDEX(ISNUMBER(--MID((--TRIM(RIGHT(SUBSTITUTE(LEFT(A507,_xlfn.AGGREGATE(16,6,FIND({0,1,2,3,4,5,6,7,8,9},A507,ROW(INDIRECT("1:"&amp;LEN(A507)))),1))," ",REPT(" ",LEN(A507))),LEN(A507)))), ROW(INDIRECT("1:"&amp;LEN((--TRIM(RIGHT(SUBSTITUTE(LEFT(A507,_xlfn.AGGREGATE(16,6,FIND({0,1,2,3,4,5,6,7,8,9},A507,ROW(INDIRECT("1:"&amp;LEN(A507)))),1))," ",REPT(" ",LEN(A507))),LEN(A507))))))), 1)) * ROW(INDIRECT("1:"&amp;LEN((--TRIM(RIGHT(SUBSTITUTE(LEFT(A507,_xlfn.AGGREGATE(16,6,FIND({0,1,2,3,4,5,6,7,8,9},A507,ROW(INDIRECT("1:"&amp;LEN(A507)))),1))," ",REPT(" ",LEN(A507))),LEN(A507))))))), 0), ROW(INDIRECT("1:"&amp;LEN((--TRIM(RIGHT(SUBSTITUTE(LEFT(A507,_xlfn.AGGREGATE(16,6,FIND({0,1,2,3,4,5,6,7,8,9},A507,ROW(INDIRECT("1:"&amp;LEN(A507)))),1))," ",REPT(" ",LEN(A507))),LEN(A507))))))))+1, 1) * 10^ROW(INDIRECT("1:"&amp;LEN((--TRIM(RIGHT(SUBSTITUTE(LEFT(A507,_xlfn.AGGREGATE(16,6,FIND({0,1,2,3,4,5,6,7,8,9},A507,ROW(INDIRECT("1:"&amp;LEN(A507)))),1))," ",REPT(" ",LEN(A507))),LEN(A507)))))))/10))*1+1</f>
        <v>205 &amp; 505</v>
      </c>
      <c r="B508" s="170"/>
      <c r="C508" s="40"/>
      <c r="D508" s="40"/>
      <c r="E508" s="52">
        <v>0</v>
      </c>
      <c r="F508" s="52">
        <f>D508+E508</f>
        <v>0</v>
      </c>
      <c r="G508" s="52">
        <v>0</v>
      </c>
      <c r="H508" s="52">
        <f>F508*(($H$230)+1)+(IF(G508&lt;101,G508,IF(G508&lt;201,G508/2,IF(G508&lt;=301,G508/3,G508/4))))</f>
        <v>0</v>
      </c>
      <c r="I508" s="34"/>
    </row>
    <row r="509" spans="1:20" s="33" customFormat="1" x14ac:dyDescent="0.35">
      <c r="A509" s="260" t="s">
        <v>65</v>
      </c>
      <c r="B509" s="260"/>
      <c r="C509" s="260"/>
      <c r="D509" s="260"/>
      <c r="E509" s="260"/>
      <c r="F509" s="260"/>
      <c r="G509" s="260"/>
      <c r="H509" s="260"/>
      <c r="T509" s="35"/>
    </row>
    <row r="510" spans="1:20" s="33" customFormat="1" x14ac:dyDescent="0.35">
      <c r="A510" s="42" t="s">
        <v>154</v>
      </c>
      <c r="B510" s="127" t="s">
        <v>445</v>
      </c>
      <c r="C510" s="128"/>
      <c r="D510" s="128"/>
      <c r="E510" s="128"/>
      <c r="F510" s="128"/>
      <c r="G510" s="128"/>
      <c r="H510" s="129"/>
      <c r="T510" s="35"/>
    </row>
    <row r="511" spans="1:20" s="33" customFormat="1" x14ac:dyDescent="0.35">
      <c r="A511" s="42" t="s">
        <v>154</v>
      </c>
      <c r="B511" s="161" t="str">
        <f>(IF(H229="Saleable area Loading :","We have considered Saleable area of Flats as per our Calculation.","We considered Saleable area of Flat as per Builder area Sheet."))</f>
        <v>We have considered Saleable area of Flats as per our Calculation.</v>
      </c>
      <c r="C511" s="162"/>
      <c r="D511" s="162"/>
      <c r="E511" s="162"/>
      <c r="F511" s="162"/>
      <c r="G511" s="162"/>
      <c r="H511" s="163"/>
      <c r="T511" s="35"/>
    </row>
    <row r="512" spans="1:20" s="33" customFormat="1" x14ac:dyDescent="0.35">
      <c r="A512" s="42" t="s">
        <v>154</v>
      </c>
      <c r="B512" s="127" t="str">
        <f>(IF(H168="Saleable area Loading :","We have considered Saleable area of Commercial as per our Calculation.","We considered Saleable area of Commercial as per Builder area Sheet."))</f>
        <v>We have considered Saleable area of Commercial as per our Calculation.</v>
      </c>
      <c r="C512" s="128"/>
      <c r="D512" s="128"/>
      <c r="E512" s="128"/>
      <c r="F512" s="128"/>
      <c r="G512" s="128"/>
      <c r="H512" s="129"/>
      <c r="T512" s="35"/>
    </row>
    <row r="513" spans="1:20" s="33" customFormat="1" x14ac:dyDescent="0.35">
      <c r="A513" s="42" t="s">
        <v>154</v>
      </c>
      <c r="B513" s="153" t="s">
        <v>121</v>
      </c>
      <c r="C513" s="154"/>
      <c r="D513" s="154"/>
      <c r="E513" s="154"/>
      <c r="F513" s="154"/>
      <c r="G513" s="154"/>
      <c r="H513" s="155"/>
      <c r="T513" s="35"/>
    </row>
    <row r="514" spans="1:20" s="33" customFormat="1" x14ac:dyDescent="0.35">
      <c r="A514" s="42" t="s">
        <v>154</v>
      </c>
      <c r="B514" s="127" t="s">
        <v>418</v>
      </c>
      <c r="C514" s="128"/>
      <c r="D514" s="128"/>
      <c r="E514" s="128"/>
      <c r="F514" s="128"/>
      <c r="G514" s="128"/>
      <c r="H514" s="129"/>
      <c r="T514" s="35"/>
    </row>
    <row r="515" spans="1:20" s="33" customFormat="1" x14ac:dyDescent="0.35">
      <c r="A515" s="42" t="s">
        <v>154</v>
      </c>
      <c r="B515" s="153" t="s">
        <v>153</v>
      </c>
      <c r="C515" s="154"/>
      <c r="D515" s="154"/>
      <c r="E515" s="154"/>
      <c r="F515" s="154"/>
      <c r="G515" s="154"/>
      <c r="H515" s="155"/>
    </row>
    <row r="516" spans="1:20" s="33" customFormat="1" x14ac:dyDescent="0.35">
      <c r="A516" s="42" t="s">
        <v>154</v>
      </c>
      <c r="B516" s="153" t="s">
        <v>122</v>
      </c>
      <c r="C516" s="154"/>
      <c r="D516" s="154"/>
      <c r="E516" s="154"/>
      <c r="F516" s="154"/>
      <c r="G516" s="154"/>
      <c r="H516" s="155"/>
    </row>
    <row r="517" spans="1:20" s="33" customFormat="1" ht="34.5" customHeight="1" x14ac:dyDescent="0.35">
      <c r="A517" s="42" t="s">
        <v>154</v>
      </c>
      <c r="B517" s="127" t="s">
        <v>155</v>
      </c>
      <c r="C517" s="128"/>
      <c r="D517" s="128"/>
      <c r="E517" s="128"/>
      <c r="F517" s="128"/>
      <c r="G517" s="128"/>
      <c r="H517" s="129"/>
    </row>
    <row r="518" spans="1:20" s="33" customFormat="1" x14ac:dyDescent="0.35">
      <c r="A518" s="42" t="s">
        <v>154</v>
      </c>
      <c r="B518" s="153" t="s">
        <v>123</v>
      </c>
      <c r="C518" s="154"/>
      <c r="D518" s="154"/>
      <c r="E518" s="154"/>
      <c r="F518" s="154"/>
      <c r="G518" s="154"/>
      <c r="H518" s="155"/>
    </row>
    <row r="519" spans="1:20" s="33" customFormat="1" ht="32.25" hidden="1" customHeight="1" x14ac:dyDescent="0.35">
      <c r="A519" s="49" t="s">
        <v>154</v>
      </c>
      <c r="B519" s="118" t="s">
        <v>179</v>
      </c>
      <c r="C519" s="119"/>
      <c r="D519" s="119"/>
      <c r="E519" s="119"/>
      <c r="F519" s="119"/>
      <c r="G519" s="119"/>
      <c r="H519" s="120"/>
    </row>
    <row r="520" spans="1:20" s="33" customFormat="1" x14ac:dyDescent="0.35">
      <c r="A520" s="80" t="s">
        <v>154</v>
      </c>
      <c r="B520" s="127" t="s">
        <v>351</v>
      </c>
      <c r="C520" s="128"/>
      <c r="D520" s="128"/>
      <c r="E520" s="128"/>
      <c r="F520" s="128"/>
      <c r="G520" s="128"/>
      <c r="H520" s="129"/>
    </row>
    <row r="521" spans="1:20" s="33" customFormat="1" x14ac:dyDescent="0.35">
      <c r="A521" s="108" t="s">
        <v>154</v>
      </c>
      <c r="B521" s="127" t="s">
        <v>440</v>
      </c>
      <c r="C521" s="128"/>
      <c r="D521" s="128"/>
      <c r="E521" s="128"/>
      <c r="F521" s="128"/>
      <c r="G521" s="128"/>
      <c r="H521" s="129"/>
    </row>
    <row r="522" spans="1:20" s="33" customFormat="1" x14ac:dyDescent="0.35">
      <c r="A522" s="53" t="s">
        <v>154</v>
      </c>
      <c r="B522" s="127" t="s">
        <v>441</v>
      </c>
      <c r="C522" s="128"/>
      <c r="D522" s="128"/>
      <c r="E522" s="128"/>
      <c r="F522" s="128"/>
      <c r="G522" s="128"/>
      <c r="H522" s="129"/>
    </row>
    <row r="523" spans="1:20" s="33" customFormat="1" hidden="1" x14ac:dyDescent="0.35">
      <c r="A523" s="80" t="s">
        <v>154</v>
      </c>
      <c r="B523" s="118" t="str">
        <f ca="1">IF(G52&gt;EDATE(E3,-48),"NO REMARK FOR CC","REMARK FOR CC")</f>
        <v>NO REMARK FOR CC</v>
      </c>
      <c r="C523" s="119"/>
      <c r="D523" s="119"/>
      <c r="E523" s="119"/>
      <c r="F523" s="119"/>
      <c r="G523" s="119"/>
      <c r="H523" s="120"/>
    </row>
    <row r="524" spans="1:20" s="33" customFormat="1" ht="81.75" hidden="1" customHeight="1" x14ac:dyDescent="0.35">
      <c r="A524" s="81" t="s">
        <v>154</v>
      </c>
      <c r="B524" s="118" t="s">
        <v>352</v>
      </c>
      <c r="C524" s="119"/>
      <c r="D524" s="119"/>
      <c r="E524" s="119"/>
      <c r="F524" s="119"/>
      <c r="G524" s="119"/>
      <c r="H524" s="120"/>
    </row>
    <row r="525" spans="1:20" x14ac:dyDescent="0.35">
      <c r="A525" s="222" t="s">
        <v>58</v>
      </c>
      <c r="B525" s="222"/>
      <c r="C525" s="222"/>
      <c r="D525" s="222"/>
      <c r="E525" s="222"/>
      <c r="F525" s="222"/>
      <c r="G525" s="222"/>
      <c r="H525" s="222"/>
      <c r="T525" s="33"/>
    </row>
    <row r="526" spans="1:20" x14ac:dyDescent="0.35">
      <c r="A526" s="159" t="s">
        <v>59</v>
      </c>
      <c r="B526" s="159"/>
      <c r="C526" s="159"/>
      <c r="D526" s="159"/>
      <c r="E526" s="159"/>
      <c r="F526" s="159"/>
      <c r="G526" s="159"/>
      <c r="H526" s="159"/>
      <c r="T526" s="33"/>
    </row>
    <row r="527" spans="1:20" ht="15.75" customHeight="1" x14ac:dyDescent="0.35">
      <c r="A527" s="244" t="s">
        <v>60</v>
      </c>
      <c r="B527" s="244"/>
      <c r="C527" s="244"/>
      <c r="D527" s="244"/>
      <c r="E527" s="244"/>
      <c r="F527" s="244"/>
      <c r="G527" s="244"/>
      <c r="H527" s="244"/>
      <c r="T527" s="33"/>
    </row>
    <row r="528" spans="1:20" x14ac:dyDescent="0.35">
      <c r="A528" s="159" t="s">
        <v>61</v>
      </c>
      <c r="B528" s="159"/>
      <c r="C528" s="159"/>
      <c r="D528" s="159"/>
      <c r="E528" s="159"/>
      <c r="F528" s="159"/>
      <c r="G528" s="159"/>
      <c r="H528" s="159"/>
      <c r="T528" s="33"/>
    </row>
    <row r="529" spans="1:20" x14ac:dyDescent="0.35">
      <c r="A529" s="159" t="s">
        <v>62</v>
      </c>
      <c r="B529" s="159"/>
      <c r="C529" s="159"/>
      <c r="D529" s="159"/>
      <c r="E529" s="159"/>
      <c r="F529" s="159"/>
      <c r="G529" s="159"/>
      <c r="H529" s="159"/>
      <c r="T529" s="33"/>
    </row>
    <row r="530" spans="1:20" x14ac:dyDescent="0.35">
      <c r="A530" s="159" t="s">
        <v>124</v>
      </c>
      <c r="B530" s="159"/>
      <c r="C530" s="159"/>
      <c r="D530" s="159"/>
      <c r="E530" s="159"/>
      <c r="F530" s="159"/>
      <c r="G530" s="159"/>
      <c r="H530" s="159"/>
      <c r="T530" s="33"/>
    </row>
    <row r="531" spans="1:20" ht="34" customHeight="1" x14ac:dyDescent="0.35">
      <c r="A531" s="223" t="s">
        <v>125</v>
      </c>
      <c r="B531" s="223"/>
      <c r="C531" s="223"/>
      <c r="D531" s="223"/>
      <c r="E531" s="223"/>
      <c r="F531" s="223"/>
      <c r="G531" s="223"/>
      <c r="H531" s="223"/>
    </row>
    <row r="532" spans="1:20" x14ac:dyDescent="0.35">
      <c r="A532" s="230" t="s">
        <v>74</v>
      </c>
      <c r="B532" s="230"/>
      <c r="C532" s="230" t="s">
        <v>450</v>
      </c>
      <c r="D532" s="230"/>
      <c r="E532" s="230" t="s">
        <v>103</v>
      </c>
      <c r="F532" s="230"/>
      <c r="G532" s="231" t="s">
        <v>446</v>
      </c>
      <c r="H532" s="231"/>
    </row>
    <row r="533" spans="1:20" x14ac:dyDescent="0.35">
      <c r="A533" s="229" t="s">
        <v>76</v>
      </c>
      <c r="B533" s="229"/>
      <c r="C533" s="229"/>
      <c r="D533" s="229"/>
      <c r="E533" s="229"/>
      <c r="F533" s="229"/>
      <c r="G533" s="229"/>
      <c r="H533" s="229"/>
    </row>
    <row r="534" spans="1:20" x14ac:dyDescent="0.35">
      <c r="A534" s="229"/>
      <c r="B534" s="229"/>
      <c r="C534" s="229"/>
      <c r="D534" s="229"/>
      <c r="E534" s="229"/>
      <c r="F534" s="229"/>
      <c r="G534" s="229"/>
      <c r="H534" s="229"/>
    </row>
    <row r="535" spans="1:20" x14ac:dyDescent="0.35">
      <c r="A535" s="229"/>
      <c r="B535" s="229"/>
      <c r="C535" s="229"/>
      <c r="D535" s="229"/>
      <c r="E535" s="229"/>
      <c r="F535" s="229"/>
      <c r="G535" s="229"/>
      <c r="H535" s="229"/>
    </row>
    <row r="536" spans="1:20" x14ac:dyDescent="0.35">
      <c r="A536" s="229"/>
      <c r="B536" s="229"/>
      <c r="C536" s="229"/>
      <c r="D536" s="229"/>
      <c r="E536" s="229"/>
      <c r="F536" s="229"/>
      <c r="G536" s="229"/>
      <c r="H536" s="229"/>
    </row>
    <row r="537" spans="1:20" x14ac:dyDescent="0.35">
      <c r="A537" s="36" t="s">
        <v>63</v>
      </c>
      <c r="B537" s="37"/>
      <c r="C537" s="37"/>
      <c r="D537" s="36" t="str">
        <f>E9</f>
        <v>Tulsi Sahyadri</v>
      </c>
      <c r="F537" s="37"/>
      <c r="G537" s="37"/>
      <c r="H537" s="37"/>
    </row>
    <row r="538" spans="1:20" x14ac:dyDescent="0.35">
      <c r="A538" s="37"/>
      <c r="B538" s="37"/>
      <c r="C538" s="37"/>
      <c r="D538" s="37"/>
      <c r="E538" s="37"/>
      <c r="F538" s="37"/>
      <c r="G538" s="37"/>
      <c r="H538" s="37"/>
    </row>
    <row r="539" spans="1:20" x14ac:dyDescent="0.35">
      <c r="A539" s="37"/>
      <c r="B539" s="37"/>
      <c r="C539" s="37"/>
      <c r="D539" s="37"/>
      <c r="E539" s="37"/>
      <c r="F539" s="37"/>
      <c r="G539" s="37"/>
      <c r="H539" s="37"/>
    </row>
    <row r="540" spans="1:20" ht="15" customHeight="1" x14ac:dyDescent="0.35"/>
    <row r="580" spans="1:1" x14ac:dyDescent="0.35">
      <c r="A580" s="39" t="s">
        <v>165</v>
      </c>
    </row>
    <row r="623" spans="1:1" x14ac:dyDescent="0.35">
      <c r="A623" s="39" t="s">
        <v>64</v>
      </c>
    </row>
  </sheetData>
  <mergeCells count="784">
    <mergeCell ref="B521:H521"/>
    <mergeCell ref="A466:H466"/>
    <mergeCell ref="L467:M467"/>
    <mergeCell ref="L468:M468"/>
    <mergeCell ref="L469:M469"/>
    <mergeCell ref="L470:M470"/>
    <mergeCell ref="L471:M471"/>
    <mergeCell ref="L472:M472"/>
    <mergeCell ref="C160:D160"/>
    <mergeCell ref="E160:F160"/>
    <mergeCell ref="G160:H160"/>
    <mergeCell ref="A158:A160"/>
    <mergeCell ref="L461:M461"/>
    <mergeCell ref="L462:M462"/>
    <mergeCell ref="L463:M463"/>
    <mergeCell ref="L464:M464"/>
    <mergeCell ref="L465:M465"/>
    <mergeCell ref="A430:H430"/>
    <mergeCell ref="D437:G437"/>
    <mergeCell ref="D432:G432"/>
    <mergeCell ref="A452:H452"/>
    <mergeCell ref="L453:M453"/>
    <mergeCell ref="L454:M454"/>
    <mergeCell ref="L455:M455"/>
    <mergeCell ref="L456:M456"/>
    <mergeCell ref="L457:M457"/>
    <mergeCell ref="L458:M458"/>
    <mergeCell ref="A445:H445"/>
    <mergeCell ref="L446:M446"/>
    <mergeCell ref="L447:M447"/>
    <mergeCell ref="L448:M448"/>
    <mergeCell ref="L449:M449"/>
    <mergeCell ref="L450:M450"/>
    <mergeCell ref="L451:M451"/>
    <mergeCell ref="A459:H459"/>
    <mergeCell ref="L460:M460"/>
    <mergeCell ref="L440:M440"/>
    <mergeCell ref="L441:M441"/>
    <mergeCell ref="L442:M442"/>
    <mergeCell ref="L443:M443"/>
    <mergeCell ref="L444:M444"/>
    <mergeCell ref="L401:M401"/>
    <mergeCell ref="L402:M402"/>
    <mergeCell ref="L410:M410"/>
    <mergeCell ref="L411:M411"/>
    <mergeCell ref="L428:M428"/>
    <mergeCell ref="L429:M429"/>
    <mergeCell ref="A412:H412"/>
    <mergeCell ref="L413:M413"/>
    <mergeCell ref="L414:M414"/>
    <mergeCell ref="A431:H431"/>
    <mergeCell ref="L432:M432"/>
    <mergeCell ref="L433:M433"/>
    <mergeCell ref="L434:M434"/>
    <mergeCell ref="L435:M435"/>
    <mergeCell ref="L436:M436"/>
    <mergeCell ref="L437:M437"/>
    <mergeCell ref="A438:H438"/>
    <mergeCell ref="L407:M407"/>
    <mergeCell ref="L408:M408"/>
    <mergeCell ref="L409:M409"/>
    <mergeCell ref="A421:H421"/>
    <mergeCell ref="L439:M439"/>
    <mergeCell ref="L423:M423"/>
    <mergeCell ref="L424:M424"/>
    <mergeCell ref="L425:M425"/>
    <mergeCell ref="L426:M426"/>
    <mergeCell ref="L427:M427"/>
    <mergeCell ref="L422:M422"/>
    <mergeCell ref="D415:G415"/>
    <mergeCell ref="L415:M415"/>
    <mergeCell ref="L416:M416"/>
    <mergeCell ref="L417:M417"/>
    <mergeCell ref="L418:M418"/>
    <mergeCell ref="L419:M419"/>
    <mergeCell ref="L420:M420"/>
    <mergeCell ref="L372:M372"/>
    <mergeCell ref="L373:M373"/>
    <mergeCell ref="A376:H376"/>
    <mergeCell ref="L377:M377"/>
    <mergeCell ref="L380:M380"/>
    <mergeCell ref="A403:H403"/>
    <mergeCell ref="L404:M404"/>
    <mergeCell ref="L405:M405"/>
    <mergeCell ref="L406:M406"/>
    <mergeCell ref="L395:M395"/>
    <mergeCell ref="L396:M396"/>
    <mergeCell ref="L397:M397"/>
    <mergeCell ref="L398:M398"/>
    <mergeCell ref="L399:M399"/>
    <mergeCell ref="L400:M400"/>
    <mergeCell ref="L381:M381"/>
    <mergeCell ref="L382:M382"/>
    <mergeCell ref="L384:M384"/>
    <mergeCell ref="L386:M386"/>
    <mergeCell ref="L387:M387"/>
    <mergeCell ref="L388:M388"/>
    <mergeCell ref="L389:M389"/>
    <mergeCell ref="L390:M390"/>
    <mergeCell ref="L391:M391"/>
    <mergeCell ref="L392:M392"/>
    <mergeCell ref="L393:M393"/>
    <mergeCell ref="L383:M383"/>
    <mergeCell ref="L350:M350"/>
    <mergeCell ref="L351:M351"/>
    <mergeCell ref="L352:M352"/>
    <mergeCell ref="L353:M353"/>
    <mergeCell ref="L378:M378"/>
    <mergeCell ref="L379:M379"/>
    <mergeCell ref="L359:M359"/>
    <mergeCell ref="L360:M360"/>
    <mergeCell ref="A394:H394"/>
    <mergeCell ref="A385:H385"/>
    <mergeCell ref="D388:G388"/>
    <mergeCell ref="A361:H361"/>
    <mergeCell ref="A362:H362"/>
    <mergeCell ref="L363:M363"/>
    <mergeCell ref="L364:M364"/>
    <mergeCell ref="L365:M365"/>
    <mergeCell ref="L366:M366"/>
    <mergeCell ref="L374:M374"/>
    <mergeCell ref="L375:M375"/>
    <mergeCell ref="A367:H367"/>
    <mergeCell ref="L368:M368"/>
    <mergeCell ref="L369:M369"/>
    <mergeCell ref="L370:M370"/>
    <mergeCell ref="L371:M371"/>
    <mergeCell ref="A354:H354"/>
    <mergeCell ref="L355:M355"/>
    <mergeCell ref="L356:M356"/>
    <mergeCell ref="L357:M357"/>
    <mergeCell ref="L358:M358"/>
    <mergeCell ref="L331:M331"/>
    <mergeCell ref="L332:M332"/>
    <mergeCell ref="L338:M338"/>
    <mergeCell ref="L339:M339"/>
    <mergeCell ref="A340:H340"/>
    <mergeCell ref="L341:M341"/>
    <mergeCell ref="L342:M342"/>
    <mergeCell ref="A333:H333"/>
    <mergeCell ref="L334:M334"/>
    <mergeCell ref="L335:M335"/>
    <mergeCell ref="L336:M336"/>
    <mergeCell ref="L337:M337"/>
    <mergeCell ref="A347:H347"/>
    <mergeCell ref="L343:M343"/>
    <mergeCell ref="L344:M344"/>
    <mergeCell ref="L345:M345"/>
    <mergeCell ref="L346:M346"/>
    <mergeCell ref="L348:M348"/>
    <mergeCell ref="L349:M349"/>
    <mergeCell ref="A473:H473"/>
    <mergeCell ref="A474:B474"/>
    <mergeCell ref="L474:M474"/>
    <mergeCell ref="A475:B475"/>
    <mergeCell ref="L475:M475"/>
    <mergeCell ref="A476:B476"/>
    <mergeCell ref="L476:M476"/>
    <mergeCell ref="A477:B477"/>
    <mergeCell ref="L477:M477"/>
    <mergeCell ref="A326:H326"/>
    <mergeCell ref="L327:M327"/>
    <mergeCell ref="L328:M328"/>
    <mergeCell ref="L329:M329"/>
    <mergeCell ref="L330:M330"/>
    <mergeCell ref="L323:M323"/>
    <mergeCell ref="L324:M324"/>
    <mergeCell ref="L325:M325"/>
    <mergeCell ref="C162:D162"/>
    <mergeCell ref="E162:F162"/>
    <mergeCell ref="G162:H162"/>
    <mergeCell ref="A162:B162"/>
    <mergeCell ref="A320:H320"/>
    <mergeCell ref="A313:H313"/>
    <mergeCell ref="L314:M314"/>
    <mergeCell ref="L315:M315"/>
    <mergeCell ref="L316:M316"/>
    <mergeCell ref="L317:M317"/>
    <mergeCell ref="L318:M318"/>
    <mergeCell ref="L319:M319"/>
    <mergeCell ref="A321:H321"/>
    <mergeCell ref="L322:M322"/>
    <mergeCell ref="L310:M310"/>
    <mergeCell ref="L311:M311"/>
    <mergeCell ref="L294:M294"/>
    <mergeCell ref="L295:M295"/>
    <mergeCell ref="L296:M296"/>
    <mergeCell ref="L297:M297"/>
    <mergeCell ref="L298:M298"/>
    <mergeCell ref="A306:H306"/>
    <mergeCell ref="L307:M307"/>
    <mergeCell ref="L308:M308"/>
    <mergeCell ref="L309:M309"/>
    <mergeCell ref="A481:B481"/>
    <mergeCell ref="L481:M481"/>
    <mergeCell ref="A482:B482"/>
    <mergeCell ref="L482:M482"/>
    <mergeCell ref="A483:B483"/>
    <mergeCell ref="L483:M483"/>
    <mergeCell ref="A484:B484"/>
    <mergeCell ref="L484:M484"/>
    <mergeCell ref="D259:G259"/>
    <mergeCell ref="A278:H278"/>
    <mergeCell ref="L279:M279"/>
    <mergeCell ref="L280:M280"/>
    <mergeCell ref="L281:M281"/>
    <mergeCell ref="L282:M282"/>
    <mergeCell ref="L283:M283"/>
    <mergeCell ref="L284:M284"/>
    <mergeCell ref="A270:H270"/>
    <mergeCell ref="L271:M271"/>
    <mergeCell ref="L268:M268"/>
    <mergeCell ref="L269:M269"/>
    <mergeCell ref="A478:H478"/>
    <mergeCell ref="A479:B479"/>
    <mergeCell ref="L479:M479"/>
    <mergeCell ref="A480:B480"/>
    <mergeCell ref="L480:M480"/>
    <mergeCell ref="L272:M272"/>
    <mergeCell ref="L273:M273"/>
    <mergeCell ref="L274:M274"/>
    <mergeCell ref="L275:M275"/>
    <mergeCell ref="L276:M276"/>
    <mergeCell ref="A277:H277"/>
    <mergeCell ref="A285:H285"/>
    <mergeCell ref="L286:M286"/>
    <mergeCell ref="L287:M287"/>
    <mergeCell ref="L288:M288"/>
    <mergeCell ref="L289:M289"/>
    <mergeCell ref="L290:M290"/>
    <mergeCell ref="L291:M291"/>
    <mergeCell ref="A292:H292"/>
    <mergeCell ref="L293:M293"/>
    <mergeCell ref="L312:M312"/>
    <mergeCell ref="A299:H299"/>
    <mergeCell ref="L300:M300"/>
    <mergeCell ref="L301:M301"/>
    <mergeCell ref="L302:M302"/>
    <mergeCell ref="L303:M303"/>
    <mergeCell ref="L304:M304"/>
    <mergeCell ref="L305:M305"/>
    <mergeCell ref="A263:H263"/>
    <mergeCell ref="L264:M264"/>
    <mergeCell ref="L265:M265"/>
    <mergeCell ref="L266:M266"/>
    <mergeCell ref="L267:M267"/>
    <mergeCell ref="L261:M261"/>
    <mergeCell ref="L262:M262"/>
    <mergeCell ref="A249:H249"/>
    <mergeCell ref="L250:M250"/>
    <mergeCell ref="L251:M251"/>
    <mergeCell ref="L252:M252"/>
    <mergeCell ref="L253:M253"/>
    <mergeCell ref="L254:M254"/>
    <mergeCell ref="L255:M255"/>
    <mergeCell ref="A256:H256"/>
    <mergeCell ref="L257:M257"/>
    <mergeCell ref="L258:M258"/>
    <mergeCell ref="L259:M259"/>
    <mergeCell ref="L260:M260"/>
    <mergeCell ref="L247:M247"/>
    <mergeCell ref="L248:M248"/>
    <mergeCell ref="A232:H232"/>
    <mergeCell ref="A233:H233"/>
    <mergeCell ref="A234:H234"/>
    <mergeCell ref="A242:H242"/>
    <mergeCell ref="L243:M243"/>
    <mergeCell ref="L244:M244"/>
    <mergeCell ref="L245:M245"/>
    <mergeCell ref="D236:G238"/>
    <mergeCell ref="C236:C238"/>
    <mergeCell ref="H236:H238"/>
    <mergeCell ref="C159:D159"/>
    <mergeCell ref="E159:F159"/>
    <mergeCell ref="G159:H159"/>
    <mergeCell ref="C161:D161"/>
    <mergeCell ref="E161:F161"/>
    <mergeCell ref="G161:H161"/>
    <mergeCell ref="A154:A155"/>
    <mergeCell ref="L246:M246"/>
    <mergeCell ref="L240:M240"/>
    <mergeCell ref="L241:M241"/>
    <mergeCell ref="L227:M227"/>
    <mergeCell ref="A198:B198"/>
    <mergeCell ref="L198:M198"/>
    <mergeCell ref="A199:B199"/>
    <mergeCell ref="L199:M199"/>
    <mergeCell ref="A200:B200"/>
    <mergeCell ref="L200:M200"/>
    <mergeCell ref="A201:B201"/>
    <mergeCell ref="L201:M201"/>
    <mergeCell ref="A202:B202"/>
    <mergeCell ref="L202:M202"/>
    <mergeCell ref="A203:B203"/>
    <mergeCell ref="L203:M203"/>
    <mergeCell ref="A204:B204"/>
    <mergeCell ref="L224:M224"/>
    <mergeCell ref="A225:B225"/>
    <mergeCell ref="A222:B222"/>
    <mergeCell ref="L225:M225"/>
    <mergeCell ref="L207:M207"/>
    <mergeCell ref="A208:B208"/>
    <mergeCell ref="L208:M208"/>
    <mergeCell ref="L222:M222"/>
    <mergeCell ref="A209:B209"/>
    <mergeCell ref="A220:B220"/>
    <mergeCell ref="L220:M220"/>
    <mergeCell ref="A221:B221"/>
    <mergeCell ref="L221:M221"/>
    <mergeCell ref="L204:M204"/>
    <mergeCell ref="A205:B205"/>
    <mergeCell ref="L205:M205"/>
    <mergeCell ref="A206:B206"/>
    <mergeCell ref="L206:M206"/>
    <mergeCell ref="A207:B207"/>
    <mergeCell ref="A192:B192"/>
    <mergeCell ref="L192:M192"/>
    <mergeCell ref="A193:B193"/>
    <mergeCell ref="L193:M193"/>
    <mergeCell ref="A226:B226"/>
    <mergeCell ref="L226:M226"/>
    <mergeCell ref="A210:B210"/>
    <mergeCell ref="L210:M210"/>
    <mergeCell ref="A214:B214"/>
    <mergeCell ref="L214:M214"/>
    <mergeCell ref="A215:B215"/>
    <mergeCell ref="L215:M215"/>
    <mergeCell ref="A216:B216"/>
    <mergeCell ref="L216:M216"/>
    <mergeCell ref="A217:B217"/>
    <mergeCell ref="L217:M217"/>
    <mergeCell ref="A218:B218"/>
    <mergeCell ref="A211:B211"/>
    <mergeCell ref="L211:M211"/>
    <mergeCell ref="A212:B212"/>
    <mergeCell ref="L213:M213"/>
    <mergeCell ref="L218:M218"/>
    <mergeCell ref="A219:B219"/>
    <mergeCell ref="L219:M219"/>
    <mergeCell ref="A197:B197"/>
    <mergeCell ref="L209:M209"/>
    <mergeCell ref="L197:M197"/>
    <mergeCell ref="L196:M196"/>
    <mergeCell ref="L195:M195"/>
    <mergeCell ref="L212:M212"/>
    <mergeCell ref="L184:M184"/>
    <mergeCell ref="A185:B185"/>
    <mergeCell ref="L185:M185"/>
    <mergeCell ref="A186:B186"/>
    <mergeCell ref="L186:M186"/>
    <mergeCell ref="A184:B184"/>
    <mergeCell ref="A187:B187"/>
    <mergeCell ref="L187:M187"/>
    <mergeCell ref="A188:B188"/>
    <mergeCell ref="L188:M188"/>
    <mergeCell ref="A189:B189"/>
    <mergeCell ref="L189:M189"/>
    <mergeCell ref="A194:B194"/>
    <mergeCell ref="L194:M194"/>
    <mergeCell ref="A190:B190"/>
    <mergeCell ref="L190:M190"/>
    <mergeCell ref="A191:B191"/>
    <mergeCell ref="L191:M191"/>
    <mergeCell ref="L174:M174"/>
    <mergeCell ref="A175:B175"/>
    <mergeCell ref="L175:M175"/>
    <mergeCell ref="A176:B176"/>
    <mergeCell ref="L176:M176"/>
    <mergeCell ref="A177:B177"/>
    <mergeCell ref="L177:M177"/>
    <mergeCell ref="A178:B178"/>
    <mergeCell ref="L178:M178"/>
    <mergeCell ref="L179:M179"/>
    <mergeCell ref="A180:B180"/>
    <mergeCell ref="L180:M180"/>
    <mergeCell ref="A181:B181"/>
    <mergeCell ref="L181:M181"/>
    <mergeCell ref="A182:B182"/>
    <mergeCell ref="L182:M182"/>
    <mergeCell ref="A183:B183"/>
    <mergeCell ref="L183:M183"/>
    <mergeCell ref="C121:H121"/>
    <mergeCell ref="A122:B122"/>
    <mergeCell ref="E122:F122"/>
    <mergeCell ref="G122:H122"/>
    <mergeCell ref="A123:B123"/>
    <mergeCell ref="E123:F132"/>
    <mergeCell ref="G123:H132"/>
    <mergeCell ref="A124:B124"/>
    <mergeCell ref="A125:B125"/>
    <mergeCell ref="A126:B126"/>
    <mergeCell ref="A127:B127"/>
    <mergeCell ref="A128:B128"/>
    <mergeCell ref="A129:B129"/>
    <mergeCell ref="A130:B130"/>
    <mergeCell ref="A131:B131"/>
    <mergeCell ref="A132:B132"/>
    <mergeCell ref="A84:B84"/>
    <mergeCell ref="E80:F80"/>
    <mergeCell ref="A87:B87"/>
    <mergeCell ref="A79:B79"/>
    <mergeCell ref="A77:B77"/>
    <mergeCell ref="C77:H77"/>
    <mergeCell ref="A72:C72"/>
    <mergeCell ref="D72:H72"/>
    <mergeCell ref="C79:H79"/>
    <mergeCell ref="A73:C73"/>
    <mergeCell ref="D73:H73"/>
    <mergeCell ref="A76:C76"/>
    <mergeCell ref="D76:H76"/>
    <mergeCell ref="A75:C75"/>
    <mergeCell ref="A80:B80"/>
    <mergeCell ref="A83:B83"/>
    <mergeCell ref="E81:F90"/>
    <mergeCell ref="G81:H90"/>
    <mergeCell ref="A88:B88"/>
    <mergeCell ref="E43:H43"/>
    <mergeCell ref="A43:D43"/>
    <mergeCell ref="A86:B86"/>
    <mergeCell ref="A50:B50"/>
    <mergeCell ref="D67:H67"/>
    <mergeCell ref="C52:E52"/>
    <mergeCell ref="A509:H509"/>
    <mergeCell ref="A501:B501"/>
    <mergeCell ref="A502:B502"/>
    <mergeCell ref="A497:H497"/>
    <mergeCell ref="A491:H491"/>
    <mergeCell ref="A506:B506"/>
    <mergeCell ref="A503:H503"/>
    <mergeCell ref="A74:C74"/>
    <mergeCell ref="D75:H75"/>
    <mergeCell ref="A81:B81"/>
    <mergeCell ref="G80:H80"/>
    <mergeCell ref="A89:B89"/>
    <mergeCell ref="A90:B90"/>
    <mergeCell ref="A85:B85"/>
    <mergeCell ref="C53:H53"/>
    <mergeCell ref="D68:H68"/>
    <mergeCell ref="D69:H69"/>
    <mergeCell ref="A65:C69"/>
    <mergeCell ref="I15:P15"/>
    <mergeCell ref="F143:H143"/>
    <mergeCell ref="F141:H141"/>
    <mergeCell ref="A493:B493"/>
    <mergeCell ref="A167:H167"/>
    <mergeCell ref="G147:H147"/>
    <mergeCell ref="A142:E142"/>
    <mergeCell ref="A196:B196"/>
    <mergeCell ref="A60:B60"/>
    <mergeCell ref="C60:E60"/>
    <mergeCell ref="D62:H62"/>
    <mergeCell ref="F142:H142"/>
    <mergeCell ref="E147:F147"/>
    <mergeCell ref="A147:B147"/>
    <mergeCell ref="C151:D151"/>
    <mergeCell ref="D74:H74"/>
    <mergeCell ref="D63:H63"/>
    <mergeCell ref="G60:H60"/>
    <mergeCell ref="A54:B55"/>
    <mergeCell ref="C59:E59"/>
    <mergeCell ref="G54:H54"/>
    <mergeCell ref="A56:B57"/>
    <mergeCell ref="C56:E56"/>
    <mergeCell ref="A82:B82"/>
    <mergeCell ref="A99:B99"/>
    <mergeCell ref="A101:B101"/>
    <mergeCell ref="F134:H134"/>
    <mergeCell ref="G148:H148"/>
    <mergeCell ref="A104:B104"/>
    <mergeCell ref="F140:H140"/>
    <mergeCell ref="C147:D147"/>
    <mergeCell ref="C157:D157"/>
    <mergeCell ref="A235:H235"/>
    <mergeCell ref="F133:H133"/>
    <mergeCell ref="F138:H138"/>
    <mergeCell ref="A105:B105"/>
    <mergeCell ref="C105:H105"/>
    <mergeCell ref="A107:B107"/>
    <mergeCell ref="C107:H107"/>
    <mergeCell ref="A108:B108"/>
    <mergeCell ref="E108:F108"/>
    <mergeCell ref="G108:H108"/>
    <mergeCell ref="A116:B116"/>
    <mergeCell ref="A117:B117"/>
    <mergeCell ref="A118:B118"/>
    <mergeCell ref="A119:B119"/>
    <mergeCell ref="C119:H119"/>
    <mergeCell ref="A121:B121"/>
    <mergeCell ref="A530:H530"/>
    <mergeCell ref="A527:H527"/>
    <mergeCell ref="A486:B486"/>
    <mergeCell ref="A151:B151"/>
    <mergeCell ref="D229:D230"/>
    <mergeCell ref="E229:E230"/>
    <mergeCell ref="A495:B495"/>
    <mergeCell ref="B514:H514"/>
    <mergeCell ref="A504:B504"/>
    <mergeCell ref="A505:B505"/>
    <mergeCell ref="A508:B508"/>
    <mergeCell ref="A526:H526"/>
    <mergeCell ref="A236:B236"/>
    <mergeCell ref="B523:H523"/>
    <mergeCell ref="B520:H520"/>
    <mergeCell ref="A213:B213"/>
    <mergeCell ref="A223:H223"/>
    <mergeCell ref="A224:B224"/>
    <mergeCell ref="A152:A153"/>
    <mergeCell ref="A179:B179"/>
    <mergeCell ref="A156:A157"/>
    <mergeCell ref="A227:B227"/>
    <mergeCell ref="A231:H231"/>
    <mergeCell ref="C154:D154"/>
    <mergeCell ref="A141:E141"/>
    <mergeCell ref="F136:H136"/>
    <mergeCell ref="A140:E140"/>
    <mergeCell ref="A228:H228"/>
    <mergeCell ref="B515:H515"/>
    <mergeCell ref="E151:F151"/>
    <mergeCell ref="A166:H166"/>
    <mergeCell ref="A229:A230"/>
    <mergeCell ref="F229:F230"/>
    <mergeCell ref="G151:H151"/>
    <mergeCell ref="E154:F154"/>
    <mergeCell ref="G154:H154"/>
    <mergeCell ref="C155:D155"/>
    <mergeCell ref="E155:F155"/>
    <mergeCell ref="G155:H155"/>
    <mergeCell ref="C156:D156"/>
    <mergeCell ref="E156:F156"/>
    <mergeCell ref="G156:H156"/>
    <mergeCell ref="A170:H170"/>
    <mergeCell ref="A172:H172"/>
    <mergeCell ref="A171:H171"/>
    <mergeCell ref="C158:D158"/>
    <mergeCell ref="E158:F158"/>
    <mergeCell ref="G158:H158"/>
    <mergeCell ref="A15:D15"/>
    <mergeCell ref="A11:D11"/>
    <mergeCell ref="A533:H536"/>
    <mergeCell ref="A532:B532"/>
    <mergeCell ref="E532:F532"/>
    <mergeCell ref="C532:D532"/>
    <mergeCell ref="G532:H532"/>
    <mergeCell ref="A146:H146"/>
    <mergeCell ref="A144:E144"/>
    <mergeCell ref="F144:H144"/>
    <mergeCell ref="A145:E145"/>
    <mergeCell ref="F145:H145"/>
    <mergeCell ref="A485:H485"/>
    <mergeCell ref="A494:B494"/>
    <mergeCell ref="A148:B148"/>
    <mergeCell ref="A528:H528"/>
    <mergeCell ref="A150:H150"/>
    <mergeCell ref="A531:H531"/>
    <mergeCell ref="A529:H529"/>
    <mergeCell ref="A525:H525"/>
    <mergeCell ref="A492:B492"/>
    <mergeCell ref="A195:B195"/>
    <mergeCell ref="B519:H519"/>
    <mergeCell ref="A165:B165"/>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0:F20"/>
    <mergeCell ref="G20:H20"/>
    <mergeCell ref="E14:H14"/>
    <mergeCell ref="A26:D26"/>
    <mergeCell ref="E26:H26"/>
    <mergeCell ref="A25:D25"/>
    <mergeCell ref="E25:H25"/>
    <mergeCell ref="A30:D30"/>
    <mergeCell ref="E30:H30"/>
    <mergeCell ref="A27:D27"/>
    <mergeCell ref="A21:B21"/>
    <mergeCell ref="C21:D21"/>
    <mergeCell ref="E21:F21"/>
    <mergeCell ref="G21:H21"/>
    <mergeCell ref="A22:B22"/>
    <mergeCell ref="C22:D22"/>
    <mergeCell ref="E22:F22"/>
    <mergeCell ref="G22:H22"/>
    <mergeCell ref="E27:H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29:D29"/>
    <mergeCell ref="E29:H29"/>
    <mergeCell ref="A46:D46"/>
    <mergeCell ref="A47:D47"/>
    <mergeCell ref="D71:H71"/>
    <mergeCell ref="A44:D44"/>
    <mergeCell ref="E44:H44"/>
    <mergeCell ref="E45:H45"/>
    <mergeCell ref="E46:H46"/>
    <mergeCell ref="E47:H47"/>
    <mergeCell ref="C57:H57"/>
    <mergeCell ref="A48:H48"/>
    <mergeCell ref="D64:H64"/>
    <mergeCell ref="A64:C64"/>
    <mergeCell ref="A45:D45"/>
    <mergeCell ref="A49:B49"/>
    <mergeCell ref="C49:H49"/>
    <mergeCell ref="D65:H65"/>
    <mergeCell ref="D66:H66"/>
    <mergeCell ref="G52:H52"/>
    <mergeCell ref="A61:H61"/>
    <mergeCell ref="A62:C62"/>
    <mergeCell ref="G59:H59"/>
    <mergeCell ref="A38:H38"/>
    <mergeCell ref="A37:B37"/>
    <mergeCell ref="C37:E37"/>
    <mergeCell ref="A42:D42"/>
    <mergeCell ref="E42:H42"/>
    <mergeCell ref="A41:H41"/>
    <mergeCell ref="A70:C70"/>
    <mergeCell ref="A71:C71"/>
    <mergeCell ref="D70:H70"/>
    <mergeCell ref="F37:H37"/>
    <mergeCell ref="C51:E51"/>
    <mergeCell ref="C50:E50"/>
    <mergeCell ref="G50:H50"/>
    <mergeCell ref="A51:B51"/>
    <mergeCell ref="G56:H56"/>
    <mergeCell ref="A58:B59"/>
    <mergeCell ref="C58:E58"/>
    <mergeCell ref="G58:H58"/>
    <mergeCell ref="G51:H51"/>
    <mergeCell ref="A52:B53"/>
    <mergeCell ref="A39:B39"/>
    <mergeCell ref="C39:H39"/>
    <mergeCell ref="A63:C63"/>
    <mergeCell ref="C54:E54"/>
    <mergeCell ref="A91:B91"/>
    <mergeCell ref="C91:H91"/>
    <mergeCell ref="E168:E169"/>
    <mergeCell ref="A95:B95"/>
    <mergeCell ref="C93:H93"/>
    <mergeCell ref="A96:B96"/>
    <mergeCell ref="A97:B97"/>
    <mergeCell ref="G95:H104"/>
    <mergeCell ref="A98:B98"/>
    <mergeCell ref="F135:H135"/>
    <mergeCell ref="A135:E135"/>
    <mergeCell ref="D168:D169"/>
    <mergeCell ref="G153:H153"/>
    <mergeCell ref="A93:B93"/>
    <mergeCell ref="A110:B110"/>
    <mergeCell ref="A111:B111"/>
    <mergeCell ref="A112:B112"/>
    <mergeCell ref="A113:B113"/>
    <mergeCell ref="A114:B114"/>
    <mergeCell ref="A115:B115"/>
    <mergeCell ref="C165:D165"/>
    <mergeCell ref="A102:B102"/>
    <mergeCell ref="A103:B103"/>
    <mergeCell ref="A136:E136"/>
    <mergeCell ref="L485:M485"/>
    <mergeCell ref="A490:B490"/>
    <mergeCell ref="A487:B487"/>
    <mergeCell ref="A488:B488"/>
    <mergeCell ref="A498:B498"/>
    <mergeCell ref="A40:B40"/>
    <mergeCell ref="C40:H40"/>
    <mergeCell ref="F168:F169"/>
    <mergeCell ref="C148:D148"/>
    <mergeCell ref="E148:F148"/>
    <mergeCell ref="B168:B169"/>
    <mergeCell ref="A168:A169"/>
    <mergeCell ref="C229:C230"/>
    <mergeCell ref="G229:G230"/>
    <mergeCell ref="L239:M239"/>
    <mergeCell ref="L236:M236"/>
    <mergeCell ref="A237:B237"/>
    <mergeCell ref="G165:H165"/>
    <mergeCell ref="L237:M237"/>
    <mergeCell ref="A238:B238"/>
    <mergeCell ref="L238:M238"/>
    <mergeCell ref="C55:H55"/>
    <mergeCell ref="B522:H522"/>
    <mergeCell ref="A138:E138"/>
    <mergeCell ref="E157:F157"/>
    <mergeCell ref="A143:E143"/>
    <mergeCell ref="G157:H157"/>
    <mergeCell ref="E149:F149"/>
    <mergeCell ref="G149:H149"/>
    <mergeCell ref="A149:B149"/>
    <mergeCell ref="C149:D149"/>
    <mergeCell ref="C153:D153"/>
    <mergeCell ref="E153:F153"/>
    <mergeCell ref="C152:D152"/>
    <mergeCell ref="E152:F152"/>
    <mergeCell ref="G152:H152"/>
    <mergeCell ref="A500:B500"/>
    <mergeCell ref="A489:B489"/>
    <mergeCell ref="A173:H173"/>
    <mergeCell ref="A174:B174"/>
    <mergeCell ref="A496:B496"/>
    <mergeCell ref="B517:H517"/>
    <mergeCell ref="G168:G169"/>
    <mergeCell ref="A499:B499"/>
    <mergeCell ref="A507:B507"/>
    <mergeCell ref="B510:H510"/>
    <mergeCell ref="A100:B100"/>
    <mergeCell ref="G94:H94"/>
    <mergeCell ref="E165:F165"/>
    <mergeCell ref="B518:H518"/>
    <mergeCell ref="B516:H516"/>
    <mergeCell ref="A163:B163"/>
    <mergeCell ref="C163:D163"/>
    <mergeCell ref="E163:F163"/>
    <mergeCell ref="G163:H163"/>
    <mergeCell ref="A164:B164"/>
    <mergeCell ref="C164:D164"/>
    <mergeCell ref="E164:F164"/>
    <mergeCell ref="G164:H164"/>
    <mergeCell ref="A134:E134"/>
    <mergeCell ref="A133:E133"/>
    <mergeCell ref="F137:H137"/>
    <mergeCell ref="A137:E137"/>
    <mergeCell ref="B511:H511"/>
    <mergeCell ref="B513:H513"/>
    <mergeCell ref="A109:B109"/>
    <mergeCell ref="E109:F118"/>
    <mergeCell ref="G109:H118"/>
    <mergeCell ref="A139:E139"/>
    <mergeCell ref="F139:H139"/>
    <mergeCell ref="B524:H524"/>
    <mergeCell ref="C168:C169"/>
    <mergeCell ref="B229:B230"/>
    <mergeCell ref="B512:H512"/>
    <mergeCell ref="A94:B94"/>
    <mergeCell ref="E94:F94"/>
    <mergeCell ref="E95:F104"/>
  </mergeCells>
  <phoneticPr fontId="32" type="noConversion"/>
  <dataValidations count="17">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68:E169">
      <formula1>"Attached Loft area,Attached Otla area,Attached Mezzanine area"</formula1>
    </dataValidation>
    <dataValidation type="list" allowBlank="1" showInputMessage="1" showErrorMessage="1" sqref="G532:H532">
      <formula1>"Kunal Kadam,Pranita Mhatre,Shruti Fule,Pooja Kawale,Gaurav Panchal,Shruti Tathare, Hitakshi Mhatre, Sachin Sawant"</formula1>
    </dataValidation>
    <dataValidation type="list" allowBlank="1" showInputMessage="1" showErrorMessage="1" sqref="F133:H133">
      <formula1>"On Saleable Area,On Builtup Area,On Carpet Area,On Plot Area"</formula1>
    </dataValidation>
    <dataValidation type="list" allowBlank="1" showInputMessage="1" showErrorMessage="1" sqref="B168:B169">
      <formula1>"Shop No. (Sale Plan),Sale / Rehab,Sale / Mhada"</formula1>
    </dataValidation>
    <dataValidation type="list" allowBlank="1" showInputMessage="1" showErrorMessage="1" sqref="B229:B230">
      <formula1>"Flat No. (Sale Plan),Sale / Rehab / CIDCO / PMC,Sale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229:E230">
      <formula1>"Fungible area,Balcony Area , Chajja Area,Cornice Area,AP Area,WS Area"</formula1>
    </dataValidation>
    <dataValidation type="list" allowBlank="1" showInputMessage="1" showErrorMessage="1" sqref="H169 H230">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68 H229">
      <formula1>"Saleable area Loading :,Builder Saleable Area"</formula1>
    </dataValidation>
    <dataValidation type="list" allowBlank="1" showInputMessage="1" showErrorMessage="1" sqref="D168:D169 D229:D230">
      <formula1>"Carpet area,RERA Carpet area"</formula1>
    </dataValidation>
    <dataValidation type="list" allowBlank="1" showInputMessage="1" showErrorMessage="1" sqref="F144:H144">
      <formula1>OFFSET($S$133,1,MATCH($G20,$S$133:$W$133,0)-1,15,1)</formula1>
    </dataValidation>
  </dataValidations>
  <hyperlinks>
    <hyperlink ref="C40" r:id="rId1"/>
    <hyperlink ref="I73" r:id="rId2" location="showModal"/>
  </hyperlinks>
  <printOptions horizontalCentered="1"/>
  <pageMargins left="0.39370078740157483" right="0.39370078740157483" top="0.82677165354330717" bottom="0.78740157480314965" header="0.15748031496062992" footer="0.19685039370078741"/>
  <pageSetup paperSize="2" fitToHeight="0" orientation="portrait" r:id="rId3"/>
  <headerFooter>
    <oddHeader>&amp;C&amp;G</oddHeader>
    <oddFooter>&amp;L&amp;"Times New Roman,Bold"&amp;12Ref No: &amp;F&amp;C&amp;G&amp;R&amp;"Times New Roman,Bold"&amp;12&amp;P</oddFooter>
  </headerFooter>
  <rowBreaks count="4" manualBreakCount="4">
    <brk id="76" max="7" man="1"/>
    <brk id="536" max="16383" man="1"/>
    <brk id="579" max="16383" man="1"/>
    <brk id="622" max="16383" man="1"/>
  </rowBreak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80" t="s">
        <v>104</v>
      </c>
      <c r="C3" s="280"/>
      <c r="D3" s="280"/>
      <c r="E3" s="280"/>
      <c r="F3" s="280"/>
      <c r="G3" s="280"/>
      <c r="H3" s="280"/>
    </row>
    <row r="4" spans="1:9" x14ac:dyDescent="0.35">
      <c r="A4" s="2"/>
      <c r="B4" s="3" t="s">
        <v>105</v>
      </c>
      <c r="C4" s="3" t="s">
        <v>106</v>
      </c>
      <c r="D4" s="3" t="s">
        <v>66</v>
      </c>
      <c r="E4" s="3" t="s">
        <v>107</v>
      </c>
      <c r="F4" s="3" t="s">
        <v>113</v>
      </c>
      <c r="G4" s="3" t="s">
        <v>114</v>
      </c>
      <c r="H4" s="3" t="s">
        <v>108</v>
      </c>
    </row>
    <row r="5" spans="1:9" ht="15" customHeight="1" x14ac:dyDescent="0.35">
      <c r="A5" s="2"/>
      <c r="B5" s="5" t="s">
        <v>109</v>
      </c>
      <c r="C5" s="6"/>
      <c r="D5" s="5"/>
      <c r="E5" s="5"/>
      <c r="F5" s="7">
        <f>E5*1.6</f>
        <v>0</v>
      </c>
      <c r="G5" s="7" t="e">
        <f>H5/F5</f>
        <v>#DIV/0!</v>
      </c>
      <c r="H5" s="8"/>
    </row>
    <row r="6" spans="1:9" x14ac:dyDescent="0.35">
      <c r="A6" s="2"/>
      <c r="B6" s="5" t="s">
        <v>109</v>
      </c>
      <c r="C6" s="9"/>
      <c r="D6" s="5"/>
      <c r="E6" s="5"/>
      <c r="F6" s="7">
        <f t="shared" ref="F6:F11" si="0">E6*1.6</f>
        <v>0</v>
      </c>
      <c r="G6" s="7" t="e">
        <f t="shared" ref="G6:G11" si="1">H6/F6</f>
        <v>#DIV/0!</v>
      </c>
      <c r="H6" s="8"/>
    </row>
    <row r="7" spans="1:9" ht="15" customHeight="1" x14ac:dyDescent="0.35">
      <c r="A7" s="2"/>
      <c r="B7" s="5" t="s">
        <v>109</v>
      </c>
      <c r="C7" s="6"/>
      <c r="D7" s="5"/>
      <c r="E7" s="5"/>
      <c r="F7" s="7">
        <f t="shared" si="0"/>
        <v>0</v>
      </c>
      <c r="G7" s="7" t="e">
        <f t="shared" si="1"/>
        <v>#DIV/0!</v>
      </c>
      <c r="H7" s="8"/>
    </row>
    <row r="8" spans="1:9" x14ac:dyDescent="0.35">
      <c r="A8" s="2"/>
      <c r="B8" s="5" t="s">
        <v>109</v>
      </c>
      <c r="C8" s="9"/>
      <c r="D8" s="5"/>
      <c r="E8" s="5"/>
      <c r="F8" s="7">
        <f t="shared" si="0"/>
        <v>0</v>
      </c>
      <c r="G8" s="7" t="e">
        <f t="shared" si="1"/>
        <v>#DIV/0!</v>
      </c>
      <c r="H8" s="8"/>
    </row>
    <row r="9" spans="1:9" ht="15" customHeight="1" x14ac:dyDescent="0.35">
      <c r="A9" s="2"/>
      <c r="B9" s="5" t="s">
        <v>109</v>
      </c>
      <c r="C9" s="9"/>
      <c r="D9" s="5"/>
      <c r="E9" s="5"/>
      <c r="F9" s="7">
        <f t="shared" si="0"/>
        <v>0</v>
      </c>
      <c r="G9" s="7" t="e">
        <f t="shared" si="1"/>
        <v>#DIV/0!</v>
      </c>
      <c r="H9" s="8"/>
    </row>
    <row r="10" spans="1:9" ht="15" customHeight="1" x14ac:dyDescent="0.35">
      <c r="A10" s="2"/>
      <c r="B10" s="5" t="s">
        <v>110</v>
      </c>
      <c r="C10" s="6"/>
      <c r="D10" s="5"/>
      <c r="E10" s="5"/>
      <c r="F10" s="7">
        <f t="shared" si="0"/>
        <v>0</v>
      </c>
      <c r="G10" s="7" t="e">
        <f t="shared" si="1"/>
        <v>#DIV/0!</v>
      </c>
      <c r="H10" s="8"/>
    </row>
    <row r="11" spans="1:9" ht="15" customHeight="1" x14ac:dyDescent="0.35">
      <c r="A11" s="2"/>
      <c r="B11" s="5" t="s">
        <v>110</v>
      </c>
      <c r="C11" s="6"/>
      <c r="D11" s="5"/>
      <c r="E11" s="5"/>
      <c r="F11" s="7">
        <f t="shared" si="0"/>
        <v>0</v>
      </c>
      <c r="G11" s="7" t="e">
        <f t="shared" si="1"/>
        <v>#DIV/0!</v>
      </c>
      <c r="H11" s="8"/>
    </row>
    <row r="12" spans="1:9" ht="15" customHeight="1" x14ac:dyDescent="0.35">
      <c r="A12" s="2"/>
      <c r="B12" s="10" t="s">
        <v>111</v>
      </c>
      <c r="C12" s="5"/>
      <c r="D12" s="5"/>
      <c r="E12" s="5"/>
      <c r="F12" s="5"/>
      <c r="G12" s="11" t="e">
        <f>AVERAGE(G5:G11)</f>
        <v>#DIV/0!</v>
      </c>
      <c r="H12" s="5"/>
    </row>
    <row r="13" spans="1:9" ht="15" customHeight="1" x14ac:dyDescent="0.35">
      <c r="B13" s="10" t="s">
        <v>112</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50"/>
      <c r="C4" s="50" t="s">
        <v>11</v>
      </c>
      <c r="D4" s="51" t="s">
        <v>180</v>
      </c>
      <c r="E4" s="51" t="s">
        <v>190</v>
      </c>
      <c r="F4" s="51" t="s">
        <v>174</v>
      </c>
      <c r="G4" s="51" t="s">
        <v>195</v>
      </c>
      <c r="H4" s="51" t="s">
        <v>213</v>
      </c>
      <c r="J4" t="s">
        <v>195</v>
      </c>
      <c r="K4" t="s">
        <v>211</v>
      </c>
    </row>
    <row r="5" spans="2:11" x14ac:dyDescent="0.35">
      <c r="B5" s="50"/>
      <c r="C5" s="50"/>
      <c r="D5" s="51" t="s">
        <v>181</v>
      </c>
      <c r="E5" s="51" t="s">
        <v>188</v>
      </c>
      <c r="F5" s="51" t="s">
        <v>210</v>
      </c>
      <c r="G5" s="51" t="s">
        <v>196</v>
      </c>
      <c r="H5" s="51" t="s">
        <v>214</v>
      </c>
    </row>
    <row r="6" spans="2:11" x14ac:dyDescent="0.35">
      <c r="B6" s="50"/>
      <c r="C6" s="50"/>
      <c r="D6" s="51" t="s">
        <v>182</v>
      </c>
      <c r="E6" s="51" t="s">
        <v>189</v>
      </c>
      <c r="F6" s="51" t="s">
        <v>211</v>
      </c>
      <c r="G6" s="51" t="s">
        <v>197</v>
      </c>
      <c r="H6" s="51" t="s">
        <v>227</v>
      </c>
    </row>
    <row r="7" spans="2:11" x14ac:dyDescent="0.35">
      <c r="B7" s="50"/>
      <c r="C7" s="50"/>
      <c r="D7" s="51" t="s">
        <v>183</v>
      </c>
      <c r="E7" s="51" t="s">
        <v>191</v>
      </c>
      <c r="F7" s="51" t="s">
        <v>212</v>
      </c>
      <c r="G7" s="51" t="s">
        <v>198</v>
      </c>
      <c r="H7" s="51" t="s">
        <v>215</v>
      </c>
    </row>
    <row r="8" spans="2:11" x14ac:dyDescent="0.35">
      <c r="B8" s="50"/>
      <c r="C8" s="50"/>
      <c r="D8" s="51" t="s">
        <v>184</v>
      </c>
      <c r="E8" s="51" t="s">
        <v>192</v>
      </c>
      <c r="F8" s="51"/>
      <c r="G8" s="51" t="s">
        <v>199</v>
      </c>
      <c r="H8" s="51" t="s">
        <v>216</v>
      </c>
    </row>
    <row r="9" spans="2:11" x14ac:dyDescent="0.35">
      <c r="B9" s="50"/>
      <c r="C9" s="50"/>
      <c r="D9" s="51" t="s">
        <v>185</v>
      </c>
      <c r="E9" s="51" t="s">
        <v>190</v>
      </c>
      <c r="F9" s="51"/>
      <c r="G9" s="51" t="s">
        <v>200</v>
      </c>
      <c r="H9" s="51" t="s">
        <v>217</v>
      </c>
    </row>
    <row r="10" spans="2:11" x14ac:dyDescent="0.35">
      <c r="B10" s="50"/>
      <c r="C10" s="50"/>
      <c r="D10" s="51" t="s">
        <v>186</v>
      </c>
      <c r="E10" s="51" t="s">
        <v>193</v>
      </c>
      <c r="F10" s="51"/>
      <c r="G10" s="51" t="s">
        <v>201</v>
      </c>
      <c r="H10" s="51" t="s">
        <v>218</v>
      </c>
    </row>
    <row r="11" spans="2:11" x14ac:dyDescent="0.35">
      <c r="B11" s="50"/>
      <c r="C11" s="50"/>
      <c r="D11" s="51" t="s">
        <v>187</v>
      </c>
      <c r="E11" s="51" t="s">
        <v>194</v>
      </c>
      <c r="F11" s="51"/>
      <c r="G11" s="51" t="s">
        <v>202</v>
      </c>
      <c r="H11" s="51" t="s">
        <v>219</v>
      </c>
    </row>
    <row r="12" spans="2:11" x14ac:dyDescent="0.35">
      <c r="B12" s="50"/>
      <c r="C12" s="50"/>
      <c r="D12" s="51"/>
      <c r="E12" s="51"/>
      <c r="F12" s="51"/>
      <c r="G12" s="51" t="s">
        <v>203</v>
      </c>
      <c r="H12" s="51" t="s">
        <v>220</v>
      </c>
    </row>
    <row r="13" spans="2:11" x14ac:dyDescent="0.35">
      <c r="B13" s="50"/>
      <c r="C13" s="50"/>
      <c r="D13" s="51"/>
      <c r="E13" s="51"/>
      <c r="F13" s="51"/>
      <c r="G13" s="51" t="s">
        <v>204</v>
      </c>
      <c r="H13" s="51" t="s">
        <v>221</v>
      </c>
    </row>
    <row r="14" spans="2:11" x14ac:dyDescent="0.35">
      <c r="B14" s="50"/>
      <c r="C14" s="50"/>
      <c r="D14" s="51"/>
      <c r="E14" s="51"/>
      <c r="F14" s="51"/>
      <c r="G14" s="51" t="s">
        <v>205</v>
      </c>
      <c r="H14" s="51" t="s">
        <v>222</v>
      </c>
    </row>
    <row r="15" spans="2:11" x14ac:dyDescent="0.35">
      <c r="B15" s="50"/>
      <c r="C15" s="50"/>
      <c r="D15" s="51"/>
      <c r="E15" s="51"/>
      <c r="F15" s="51"/>
      <c r="G15" s="51" t="s">
        <v>206</v>
      </c>
      <c r="H15" s="51" t="s">
        <v>223</v>
      </c>
    </row>
    <row r="16" spans="2:11" x14ac:dyDescent="0.35">
      <c r="B16" s="50"/>
      <c r="C16" s="50"/>
      <c r="D16" s="51"/>
      <c r="E16" s="51"/>
      <c r="F16" s="51"/>
      <c r="G16" s="51" t="s">
        <v>207</v>
      </c>
      <c r="H16" s="51" t="s">
        <v>224</v>
      </c>
    </row>
    <row r="17" spans="2:8" x14ac:dyDescent="0.35">
      <c r="B17" s="50"/>
      <c r="C17" s="50"/>
      <c r="D17" s="51"/>
      <c r="E17" s="51"/>
      <c r="F17" s="51"/>
      <c r="G17" s="51" t="s">
        <v>208</v>
      </c>
      <c r="H17" s="51" t="s">
        <v>225</v>
      </c>
    </row>
    <row r="18" spans="2:8" x14ac:dyDescent="0.35">
      <c r="B18" s="50"/>
      <c r="C18" s="50"/>
      <c r="D18" s="51"/>
      <c r="E18" s="51"/>
      <c r="F18" s="51"/>
      <c r="G18" s="51" t="s">
        <v>209</v>
      </c>
      <c r="H18" s="51" t="s">
        <v>226</v>
      </c>
    </row>
    <row r="24" spans="2:8" x14ac:dyDescent="0.35">
      <c r="C24" t="s">
        <v>171</v>
      </c>
    </row>
    <row r="25" spans="2:8" x14ac:dyDescent="0.35">
      <c r="C25" t="s">
        <v>228</v>
      </c>
    </row>
    <row r="26" spans="2:8" x14ac:dyDescent="0.35">
      <c r="C26" t="s">
        <v>229</v>
      </c>
    </row>
    <row r="27" spans="2:8" x14ac:dyDescent="0.35">
      <c r="C27" t="s">
        <v>230</v>
      </c>
    </row>
    <row r="28" spans="2:8" x14ac:dyDescent="0.35">
      <c r="C28" t="s">
        <v>231</v>
      </c>
    </row>
    <row r="29" spans="2:8" x14ac:dyDescent="0.35">
      <c r="C29" t="s">
        <v>232</v>
      </c>
    </row>
    <row r="30" spans="2:8" x14ac:dyDescent="0.35">
      <c r="C30" t="s">
        <v>171</v>
      </c>
    </row>
    <row r="33" spans="3:11" x14ac:dyDescent="0.35">
      <c r="J33">
        <v>1</v>
      </c>
      <c r="K33">
        <v>2</v>
      </c>
    </row>
    <row r="34" spans="3:11" x14ac:dyDescent="0.35">
      <c r="C34" s="54" t="s">
        <v>236</v>
      </c>
      <c r="D34" s="51" t="s">
        <v>234</v>
      </c>
      <c r="E34" s="51" t="s">
        <v>239</v>
      </c>
      <c r="F34" s="51" t="s">
        <v>237</v>
      </c>
      <c r="G34" s="51" t="s">
        <v>238</v>
      </c>
      <c r="H34" s="51" t="s">
        <v>240</v>
      </c>
      <c r="J34" t="s">
        <v>195</v>
      </c>
      <c r="K34" t="s">
        <v>211</v>
      </c>
    </row>
    <row r="35" spans="3:11" x14ac:dyDescent="0.35">
      <c r="C35" s="50" t="s">
        <v>235</v>
      </c>
      <c r="D35" s="51" t="s">
        <v>172</v>
      </c>
      <c r="E35" s="51" t="s">
        <v>244</v>
      </c>
      <c r="F35" s="51" t="s">
        <v>246</v>
      </c>
      <c r="G35" s="51" t="s">
        <v>248</v>
      </c>
      <c r="H35" s="51"/>
    </row>
    <row r="36" spans="3:11" x14ac:dyDescent="0.35">
      <c r="C36" s="50"/>
      <c r="D36" s="51" t="s">
        <v>241</v>
      </c>
      <c r="E36" s="51" t="s">
        <v>245</v>
      </c>
      <c r="F36" s="51" t="s">
        <v>247</v>
      </c>
      <c r="G36" s="51" t="s">
        <v>249</v>
      </c>
      <c r="H36" s="51"/>
    </row>
    <row r="37" spans="3:11" x14ac:dyDescent="0.35">
      <c r="C37" s="50"/>
      <c r="D37" s="51" t="s">
        <v>242</v>
      </c>
      <c r="E37" s="51"/>
      <c r="F37" s="51"/>
      <c r="G37" s="51" t="s">
        <v>250</v>
      </c>
      <c r="H37" s="51"/>
    </row>
    <row r="38" spans="3:11" x14ac:dyDescent="0.35">
      <c r="C38" s="50"/>
      <c r="D38" s="51" t="s">
        <v>243</v>
      </c>
      <c r="E38" s="51"/>
      <c r="F38" s="51"/>
      <c r="G38" s="51" t="s">
        <v>250</v>
      </c>
      <c r="H38" s="51"/>
    </row>
    <row r="39" spans="3:11" x14ac:dyDescent="0.35">
      <c r="C39" s="50"/>
      <c r="D39" s="51"/>
      <c r="E39" s="51"/>
      <c r="F39" s="51"/>
      <c r="G39" s="51" t="s">
        <v>251</v>
      </c>
      <c r="H39" s="51"/>
    </row>
    <row r="40" spans="3:11" x14ac:dyDescent="0.35">
      <c r="C40" s="50"/>
      <c r="D40" s="51"/>
      <c r="E40" s="51"/>
      <c r="F40" s="51"/>
      <c r="G40" s="51" t="s">
        <v>252</v>
      </c>
      <c r="H40" s="51"/>
    </row>
    <row r="41" spans="3:11" x14ac:dyDescent="0.35">
      <c r="C41" s="50"/>
      <c r="D41" s="51"/>
      <c r="E41" s="51"/>
      <c r="F41" s="51"/>
      <c r="G41" s="51"/>
      <c r="H41" s="51"/>
    </row>
    <row r="43" spans="3:11" x14ac:dyDescent="0.35">
      <c r="C43" t="s">
        <v>253</v>
      </c>
    </row>
    <row r="44" spans="3:11" x14ac:dyDescent="0.35">
      <c r="C44" t="s">
        <v>174</v>
      </c>
      <c r="D44" t="s">
        <v>254</v>
      </c>
    </row>
    <row r="45" spans="3:11" x14ac:dyDescent="0.35">
      <c r="D45" t="s">
        <v>255</v>
      </c>
    </row>
    <row r="46" spans="3:11" x14ac:dyDescent="0.35">
      <c r="D46" t="s">
        <v>256</v>
      </c>
    </row>
    <row r="47" spans="3:11" x14ac:dyDescent="0.35">
      <c r="D47" t="s">
        <v>257</v>
      </c>
    </row>
    <row r="48" spans="3:11" x14ac:dyDescent="0.35">
      <c r="D48" t="s">
        <v>258</v>
      </c>
    </row>
    <row r="49" spans="3:4" x14ac:dyDescent="0.35">
      <c r="C49" t="s">
        <v>180</v>
      </c>
      <c r="D49" t="s">
        <v>259</v>
      </c>
    </row>
    <row r="50" spans="3:4" x14ac:dyDescent="0.35">
      <c r="D50" t="s">
        <v>260</v>
      </c>
    </row>
    <row r="51" spans="3:4" x14ac:dyDescent="0.35">
      <c r="D51" t="s">
        <v>261</v>
      </c>
    </row>
    <row r="52" spans="3:4" x14ac:dyDescent="0.35">
      <c r="D52" t="s">
        <v>264</v>
      </c>
    </row>
    <row r="53" spans="3:4" x14ac:dyDescent="0.35">
      <c r="D53" t="s">
        <v>262</v>
      </c>
    </row>
    <row r="54" spans="3:4" x14ac:dyDescent="0.35">
      <c r="D54" t="s">
        <v>263</v>
      </c>
    </row>
    <row r="55" spans="3:4" x14ac:dyDescent="0.35">
      <c r="D55" t="s">
        <v>265</v>
      </c>
    </row>
    <row r="56" spans="3:4" x14ac:dyDescent="0.35">
      <c r="D56" t="s">
        <v>266</v>
      </c>
    </row>
    <row r="57" spans="3:4" x14ac:dyDescent="0.35">
      <c r="D57" t="s">
        <v>267</v>
      </c>
    </row>
    <row r="58" spans="3:4" x14ac:dyDescent="0.35">
      <c r="D58" t="s">
        <v>269</v>
      </c>
    </row>
    <row r="59" spans="3:4" x14ac:dyDescent="0.35">
      <c r="D59" t="s">
        <v>278</v>
      </c>
    </row>
    <row r="60" spans="3:4" x14ac:dyDescent="0.35">
      <c r="C60" t="s">
        <v>195</v>
      </c>
      <c r="D60" t="s">
        <v>270</v>
      </c>
    </row>
    <row r="61" spans="3:4" x14ac:dyDescent="0.35">
      <c r="D61" t="s">
        <v>268</v>
      </c>
    </row>
    <row r="62" spans="3:4" x14ac:dyDescent="0.35">
      <c r="D62" t="s">
        <v>258</v>
      </c>
    </row>
    <row r="63" spans="3:4" x14ac:dyDescent="0.35">
      <c r="D63" t="s">
        <v>271</v>
      </c>
    </row>
    <row r="64" spans="3:4" x14ac:dyDescent="0.35">
      <c r="D64" t="s">
        <v>272</v>
      </c>
    </row>
    <row r="65" spans="3:4" x14ac:dyDescent="0.35">
      <c r="D65" t="s">
        <v>273</v>
      </c>
    </row>
    <row r="66" spans="3:4" x14ac:dyDescent="0.35">
      <c r="D66" t="s">
        <v>274</v>
      </c>
    </row>
    <row r="67" spans="3:4" x14ac:dyDescent="0.35">
      <c r="C67" t="s">
        <v>190</v>
      </c>
      <c r="D67" t="s">
        <v>275</v>
      </c>
    </row>
    <row r="68" spans="3:4" x14ac:dyDescent="0.35">
      <c r="D68" t="s">
        <v>276</v>
      </c>
    </row>
    <row r="69" spans="3:4" x14ac:dyDescent="0.35">
      <c r="D69" t="s">
        <v>277</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44"/>
  <sheetViews>
    <sheetView workbookViewId="0">
      <selection sqref="A1:XFD1048576"/>
    </sheetView>
  </sheetViews>
  <sheetFormatPr defaultRowHeight="14.5" x14ac:dyDescent="0.35"/>
  <cols>
    <col min="2" max="2" width="3" bestFit="1" customWidth="1"/>
    <col min="3" max="3" width="155.26953125" customWidth="1"/>
  </cols>
  <sheetData>
    <row r="2" spans="2:3" ht="15" customHeight="1" x14ac:dyDescent="0.35">
      <c r="B2" s="55">
        <v>1</v>
      </c>
      <c r="C2" s="58" t="s">
        <v>283</v>
      </c>
    </row>
    <row r="3" spans="2:3" x14ac:dyDescent="0.35">
      <c r="B3" s="55">
        <v>2</v>
      </c>
      <c r="C3" s="56" t="s">
        <v>284</v>
      </c>
    </row>
    <row r="4" spans="2:3" x14ac:dyDescent="0.35">
      <c r="B4" s="55">
        <v>3</v>
      </c>
      <c r="C4" s="57" t="s">
        <v>285</v>
      </c>
    </row>
    <row r="5" spans="2:3" x14ac:dyDescent="0.35">
      <c r="B5" s="55">
        <v>4</v>
      </c>
      <c r="C5" s="56" t="s">
        <v>286</v>
      </c>
    </row>
    <row r="6" spans="2:3" x14ac:dyDescent="0.35">
      <c r="B6" s="55">
        <v>5</v>
      </c>
      <c r="C6" s="57" t="s">
        <v>287</v>
      </c>
    </row>
    <row r="7" spans="2:3" ht="29" x14ac:dyDescent="0.35">
      <c r="B7" s="55">
        <v>6</v>
      </c>
      <c r="C7" s="56" t="s">
        <v>288</v>
      </c>
    </row>
    <row r="8" spans="2:3" ht="72.5" x14ac:dyDescent="0.35">
      <c r="B8" s="55">
        <v>7</v>
      </c>
      <c r="C8" s="56" t="s">
        <v>289</v>
      </c>
    </row>
    <row r="9" spans="2:3" x14ac:dyDescent="0.35">
      <c r="B9" s="55">
        <v>8</v>
      </c>
      <c r="C9" s="57" t="s">
        <v>290</v>
      </c>
    </row>
    <row r="10" spans="2:3" x14ac:dyDescent="0.35">
      <c r="B10" s="55">
        <v>9</v>
      </c>
      <c r="C10" s="57" t="s">
        <v>291</v>
      </c>
    </row>
    <row r="11" spans="2:3" x14ac:dyDescent="0.35">
      <c r="B11" s="55">
        <v>10</v>
      </c>
      <c r="C11" s="57" t="s">
        <v>292</v>
      </c>
    </row>
    <row r="12" spans="2:3" x14ac:dyDescent="0.35">
      <c r="B12" s="55">
        <v>11</v>
      </c>
      <c r="C12" s="57" t="s">
        <v>293</v>
      </c>
    </row>
    <row r="13" spans="2:3" x14ac:dyDescent="0.35">
      <c r="B13" s="55">
        <v>12</v>
      </c>
      <c r="C13" s="57" t="s">
        <v>294</v>
      </c>
    </row>
    <row r="14" spans="2:3" x14ac:dyDescent="0.35">
      <c r="B14" s="55">
        <v>13</v>
      </c>
      <c r="C14" s="57" t="s">
        <v>295</v>
      </c>
    </row>
    <row r="15" spans="2:3" x14ac:dyDescent="0.35">
      <c r="B15" s="55">
        <v>14</v>
      </c>
      <c r="C15" s="57" t="s">
        <v>285</v>
      </c>
    </row>
    <row r="16" spans="2:3" x14ac:dyDescent="0.35">
      <c r="B16" s="55">
        <v>15</v>
      </c>
      <c r="C16" s="57" t="s">
        <v>297</v>
      </c>
    </row>
    <row r="17" spans="2:3" x14ac:dyDescent="0.35">
      <c r="B17" s="78">
        <v>16</v>
      </c>
      <c r="C17" s="63" t="s">
        <v>298</v>
      </c>
    </row>
    <row r="18" spans="2:3" x14ac:dyDescent="0.35">
      <c r="B18" s="62">
        <v>17</v>
      </c>
      <c r="C18" s="63" t="s">
        <v>299</v>
      </c>
    </row>
    <row r="19" spans="2:3" x14ac:dyDescent="0.35">
      <c r="B19" s="61">
        <v>18</v>
      </c>
      <c r="C19" s="55" t="s">
        <v>300</v>
      </c>
    </row>
    <row r="20" spans="2:3" x14ac:dyDescent="0.35">
      <c r="B20" s="62">
        <v>19</v>
      </c>
      <c r="C20" s="55" t="s">
        <v>336</v>
      </c>
    </row>
    <row r="21" spans="2:3" x14ac:dyDescent="0.35">
      <c r="B21" s="64">
        <v>20</v>
      </c>
      <c r="C21" s="55" t="s">
        <v>301</v>
      </c>
    </row>
    <row r="22" spans="2:3" x14ac:dyDescent="0.35">
      <c r="B22" s="62">
        <v>21</v>
      </c>
      <c r="C22" s="55" t="s">
        <v>300</v>
      </c>
    </row>
    <row r="23" spans="2:3" s="72" customFormat="1" ht="29.25" customHeight="1" x14ac:dyDescent="0.35">
      <c r="B23" s="71">
        <v>22</v>
      </c>
      <c r="C23" s="58" t="s">
        <v>328</v>
      </c>
    </row>
    <row r="24" spans="2:3" s="72" customFormat="1" ht="30.75" customHeight="1" x14ac:dyDescent="0.35">
      <c r="B24" s="73">
        <v>23</v>
      </c>
      <c r="C24" s="58" t="s">
        <v>329</v>
      </c>
    </row>
    <row r="25" spans="2:3" x14ac:dyDescent="0.35">
      <c r="B25" s="64">
        <v>24</v>
      </c>
      <c r="C25" s="55" t="s">
        <v>332</v>
      </c>
    </row>
    <row r="26" spans="2:3" x14ac:dyDescent="0.35">
      <c r="B26" s="62">
        <v>25</v>
      </c>
      <c r="C26" s="55" t="s">
        <v>330</v>
      </c>
    </row>
    <row r="27" spans="2:3" x14ac:dyDescent="0.35">
      <c r="B27" s="73">
        <v>26</v>
      </c>
      <c r="C27" s="64" t="s">
        <v>331</v>
      </c>
    </row>
    <row r="28" spans="2:3" x14ac:dyDescent="0.35">
      <c r="B28" s="74">
        <v>27</v>
      </c>
      <c r="C28" s="55" t="s">
        <v>333</v>
      </c>
    </row>
    <row r="29" spans="2:3" ht="43.5" x14ac:dyDescent="0.35">
      <c r="B29" s="77">
        <v>28</v>
      </c>
      <c r="C29" s="56" t="s">
        <v>334</v>
      </c>
    </row>
    <row r="30" spans="2:3" x14ac:dyDescent="0.35">
      <c r="B30" s="73">
        <v>29</v>
      </c>
      <c r="C30" s="55" t="s">
        <v>335</v>
      </c>
    </row>
    <row r="31" spans="2:3" ht="29" x14ac:dyDescent="0.35">
      <c r="B31" s="79">
        <v>30</v>
      </c>
      <c r="C31" s="56" t="s">
        <v>337</v>
      </c>
    </row>
    <row r="32" spans="2:3" x14ac:dyDescent="0.35">
      <c r="B32" s="73">
        <v>31</v>
      </c>
      <c r="C32" s="55" t="s">
        <v>338</v>
      </c>
    </row>
    <row r="33" spans="2:3" x14ac:dyDescent="0.35">
      <c r="B33" s="73">
        <v>32</v>
      </c>
      <c r="C33" s="55" t="s">
        <v>339</v>
      </c>
    </row>
    <row r="34" spans="2:3" ht="36.75" customHeight="1" x14ac:dyDescent="0.35">
      <c r="B34" s="79">
        <v>33</v>
      </c>
      <c r="C34" s="63" t="s">
        <v>340</v>
      </c>
    </row>
    <row r="35" spans="2:3" x14ac:dyDescent="0.35">
      <c r="B35" s="84">
        <v>34</v>
      </c>
      <c r="C35" s="55" t="s">
        <v>349</v>
      </c>
    </row>
    <row r="36" spans="2:3" ht="58" x14ac:dyDescent="0.35">
      <c r="B36" s="71">
        <v>35</v>
      </c>
      <c r="C36" s="56" t="s">
        <v>352</v>
      </c>
    </row>
    <row r="37" spans="2:3" x14ac:dyDescent="0.35">
      <c r="B37" s="55"/>
      <c r="C37" s="55"/>
    </row>
    <row r="38" spans="2:3" x14ac:dyDescent="0.35">
      <c r="B38" s="55"/>
      <c r="C38" s="55"/>
    </row>
    <row r="39" spans="2:3" x14ac:dyDescent="0.35">
      <c r="B39" s="55"/>
      <c r="C39" s="55"/>
    </row>
    <row r="40" spans="2:3" x14ac:dyDescent="0.35">
      <c r="B40" s="55"/>
      <c r="C40" s="55"/>
    </row>
    <row r="41" spans="2:3" x14ac:dyDescent="0.35">
      <c r="B41" s="55"/>
      <c r="C41" s="55"/>
    </row>
    <row r="42" spans="2:3" x14ac:dyDescent="0.35">
      <c r="B42" s="55"/>
      <c r="C42" s="55"/>
    </row>
    <row r="43" spans="2:3" x14ac:dyDescent="0.35">
      <c r="B43" s="55"/>
      <c r="C43" s="55"/>
    </row>
    <row r="44" spans="2:3" x14ac:dyDescent="0.35">
      <c r="B44" s="55"/>
      <c r="C44" s="55"/>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796875" defaultRowHeight="14.5" x14ac:dyDescent="0.35"/>
  <cols>
    <col min="1" max="1" width="9.1796875" style="50"/>
    <col min="2" max="2" width="12.26953125" style="50" customWidth="1"/>
    <col min="3" max="16384" width="9.1796875" style="50"/>
  </cols>
  <sheetData>
    <row r="2" spans="1:12" x14ac:dyDescent="0.35">
      <c r="B2" s="65" t="s">
        <v>302</v>
      </c>
      <c r="C2" s="281"/>
      <c r="D2" s="281"/>
    </row>
    <row r="3" spans="1:12" x14ac:dyDescent="0.35">
      <c r="D3" s="66"/>
      <c r="E3" s="66"/>
      <c r="F3" s="66"/>
      <c r="G3" s="66"/>
      <c r="H3" s="66"/>
      <c r="I3" s="66"/>
    </row>
    <row r="4" spans="1:12" x14ac:dyDescent="0.35">
      <c r="A4" s="65" t="s">
        <v>66</v>
      </c>
      <c r="B4" s="67" t="s">
        <v>303</v>
      </c>
      <c r="C4" s="282" t="s">
        <v>304</v>
      </c>
      <c r="D4" s="282"/>
      <c r="E4" s="282"/>
      <c r="F4" s="67"/>
      <c r="G4" s="283" t="s">
        <v>305</v>
      </c>
      <c r="H4" s="283"/>
      <c r="I4" s="283"/>
      <c r="J4" s="284" t="s">
        <v>306</v>
      </c>
      <c r="K4" s="284"/>
      <c r="L4" s="284"/>
    </row>
    <row r="5" spans="1:12" x14ac:dyDescent="0.35">
      <c r="A5" s="65"/>
      <c r="B5" s="67"/>
      <c r="C5" s="67" t="s">
        <v>307</v>
      </c>
      <c r="D5" s="67" t="s">
        <v>308</v>
      </c>
      <c r="E5" s="67" t="s">
        <v>309</v>
      </c>
      <c r="F5" s="67"/>
      <c r="G5" s="67" t="s">
        <v>307</v>
      </c>
      <c r="H5" s="67" t="s">
        <v>308</v>
      </c>
      <c r="I5" s="67" t="s">
        <v>309</v>
      </c>
      <c r="J5" s="67" t="s">
        <v>307</v>
      </c>
      <c r="K5" s="67" t="s">
        <v>308</v>
      </c>
      <c r="L5" s="67" t="s">
        <v>309</v>
      </c>
    </row>
    <row r="6" spans="1:12" x14ac:dyDescent="0.35">
      <c r="B6" s="51" t="s">
        <v>310</v>
      </c>
      <c r="C6" s="51"/>
      <c r="D6" s="51"/>
      <c r="E6" s="51">
        <f>C6*D6</f>
        <v>0</v>
      </c>
      <c r="F6" s="51" t="s">
        <v>327</v>
      </c>
      <c r="G6" s="51"/>
      <c r="H6" s="51"/>
      <c r="I6" s="51">
        <f>G6*H6</f>
        <v>0</v>
      </c>
      <c r="J6" s="51"/>
      <c r="K6" s="51"/>
      <c r="L6" s="51">
        <f>J6*K6</f>
        <v>0</v>
      </c>
    </row>
    <row r="7" spans="1:12" x14ac:dyDescent="0.35">
      <c r="B7" s="51"/>
      <c r="C7" s="51"/>
      <c r="D7" s="51"/>
      <c r="E7" s="51">
        <f t="shared" ref="E7:E41" si="0">C7*D7</f>
        <v>0</v>
      </c>
      <c r="F7" s="51" t="s">
        <v>327</v>
      </c>
      <c r="G7" s="51"/>
      <c r="H7" s="51"/>
      <c r="I7" s="51">
        <f t="shared" ref="I7:I35" si="1">G7*H7</f>
        <v>0</v>
      </c>
      <c r="J7" s="51"/>
      <c r="K7" s="51"/>
      <c r="L7" s="51">
        <f t="shared" ref="L7:L35" si="2">J7*K7</f>
        <v>0</v>
      </c>
    </row>
    <row r="8" spans="1:12" x14ac:dyDescent="0.35">
      <c r="B8" s="51"/>
      <c r="C8" s="51"/>
      <c r="D8" s="51"/>
      <c r="E8" s="51">
        <f t="shared" si="0"/>
        <v>0</v>
      </c>
      <c r="F8" s="51"/>
      <c r="G8" s="51"/>
      <c r="H8" s="51"/>
      <c r="I8" s="51">
        <f t="shared" si="1"/>
        <v>0</v>
      </c>
      <c r="J8" s="51"/>
      <c r="K8" s="51"/>
      <c r="L8" s="51">
        <f t="shared" si="2"/>
        <v>0</v>
      </c>
    </row>
    <row r="9" spans="1:12" x14ac:dyDescent="0.35">
      <c r="B9" s="51"/>
      <c r="C9" s="51"/>
      <c r="D9" s="51"/>
      <c r="E9" s="51">
        <f t="shared" si="0"/>
        <v>0</v>
      </c>
      <c r="F9" s="51" t="s">
        <v>311</v>
      </c>
      <c r="G9" s="51"/>
      <c r="H9" s="51"/>
      <c r="I9" s="51">
        <f t="shared" si="1"/>
        <v>0</v>
      </c>
      <c r="J9" s="51"/>
      <c r="K9" s="51"/>
      <c r="L9" s="51">
        <f t="shared" si="2"/>
        <v>0</v>
      </c>
    </row>
    <row r="10" spans="1:12" x14ac:dyDescent="0.35">
      <c r="B10" s="51" t="s">
        <v>312</v>
      </c>
      <c r="C10" s="51"/>
      <c r="D10" s="51"/>
      <c r="E10" s="51">
        <f t="shared" si="0"/>
        <v>0</v>
      </c>
      <c r="F10" s="51" t="s">
        <v>311</v>
      </c>
      <c r="G10" s="51"/>
      <c r="H10" s="51"/>
      <c r="I10" s="51">
        <f t="shared" si="1"/>
        <v>0</v>
      </c>
      <c r="J10" s="51"/>
      <c r="K10" s="51"/>
      <c r="L10" s="51">
        <f t="shared" si="2"/>
        <v>0</v>
      </c>
    </row>
    <row r="11" spans="1:12" x14ac:dyDescent="0.35">
      <c r="B11" s="51"/>
      <c r="C11" s="51"/>
      <c r="D11" s="51"/>
      <c r="E11" s="51">
        <f t="shared" si="0"/>
        <v>0</v>
      </c>
      <c r="F11" s="51" t="s">
        <v>313</v>
      </c>
      <c r="G11" s="51"/>
      <c r="H11" s="51"/>
      <c r="I11" s="51">
        <f t="shared" si="1"/>
        <v>0</v>
      </c>
      <c r="J11" s="51"/>
      <c r="K11" s="51"/>
      <c r="L11" s="51">
        <f t="shared" si="2"/>
        <v>0</v>
      </c>
    </row>
    <row r="12" spans="1:12" x14ac:dyDescent="0.35">
      <c r="B12" s="51"/>
      <c r="C12" s="51"/>
      <c r="D12" s="51"/>
      <c r="E12" s="51">
        <f t="shared" si="0"/>
        <v>0</v>
      </c>
      <c r="F12" s="51"/>
      <c r="G12" s="51"/>
      <c r="H12" s="51"/>
      <c r="I12" s="51">
        <f t="shared" si="1"/>
        <v>0</v>
      </c>
      <c r="J12" s="51"/>
      <c r="K12" s="51"/>
      <c r="L12" s="51">
        <f t="shared" si="2"/>
        <v>0</v>
      </c>
    </row>
    <row r="13" spans="1:12" x14ac:dyDescent="0.35">
      <c r="B13" s="51"/>
      <c r="C13" s="51"/>
      <c r="D13" s="51"/>
      <c r="E13" s="51">
        <f t="shared" si="0"/>
        <v>0</v>
      </c>
      <c r="F13" s="51"/>
      <c r="G13" s="51"/>
      <c r="H13" s="51"/>
      <c r="I13" s="51">
        <f t="shared" si="1"/>
        <v>0</v>
      </c>
      <c r="J13" s="51"/>
      <c r="K13" s="51"/>
      <c r="L13" s="51">
        <f t="shared" si="2"/>
        <v>0</v>
      </c>
    </row>
    <row r="14" spans="1:12" x14ac:dyDescent="0.35">
      <c r="B14" s="51" t="s">
        <v>314</v>
      </c>
      <c r="C14" s="51"/>
      <c r="D14" s="51"/>
      <c r="E14" s="51">
        <f t="shared" si="0"/>
        <v>0</v>
      </c>
      <c r="F14" s="51" t="s">
        <v>311</v>
      </c>
      <c r="G14" s="51"/>
      <c r="H14" s="51"/>
      <c r="I14" s="51">
        <f t="shared" si="1"/>
        <v>0</v>
      </c>
      <c r="J14" s="51"/>
      <c r="K14" s="51"/>
      <c r="L14" s="51">
        <f t="shared" si="2"/>
        <v>0</v>
      </c>
    </row>
    <row r="15" spans="1:12" x14ac:dyDescent="0.35">
      <c r="B15" s="51"/>
      <c r="C15" s="51"/>
      <c r="D15" s="51"/>
      <c r="E15" s="51">
        <f t="shared" si="0"/>
        <v>0</v>
      </c>
      <c r="F15" s="51" t="s">
        <v>313</v>
      </c>
      <c r="G15" s="51"/>
      <c r="H15" s="51"/>
      <c r="I15" s="51">
        <f t="shared" si="1"/>
        <v>0</v>
      </c>
      <c r="J15" s="51"/>
      <c r="K15" s="51"/>
      <c r="L15" s="51">
        <f t="shared" si="2"/>
        <v>0</v>
      </c>
    </row>
    <row r="16" spans="1:12" x14ac:dyDescent="0.35">
      <c r="B16" s="51"/>
      <c r="C16" s="51"/>
      <c r="D16" s="51"/>
      <c r="E16" s="51">
        <f t="shared" si="0"/>
        <v>0</v>
      </c>
      <c r="F16" s="51"/>
      <c r="G16" s="51"/>
      <c r="H16" s="51"/>
      <c r="I16" s="51">
        <f t="shared" si="1"/>
        <v>0</v>
      </c>
      <c r="J16" s="51"/>
      <c r="K16" s="51"/>
      <c r="L16" s="51">
        <f t="shared" si="2"/>
        <v>0</v>
      </c>
    </row>
    <row r="17" spans="2:12" x14ac:dyDescent="0.35">
      <c r="B17" s="51"/>
      <c r="C17" s="51"/>
      <c r="D17" s="51"/>
      <c r="E17" s="51">
        <f t="shared" si="0"/>
        <v>0</v>
      </c>
      <c r="F17" s="51"/>
      <c r="G17" s="51"/>
      <c r="H17" s="51"/>
      <c r="I17" s="51">
        <f t="shared" si="1"/>
        <v>0</v>
      </c>
      <c r="J17" s="51"/>
      <c r="K17" s="51"/>
      <c r="L17" s="51">
        <f t="shared" si="2"/>
        <v>0</v>
      </c>
    </row>
    <row r="18" spans="2:12" x14ac:dyDescent="0.35">
      <c r="B18" s="51" t="s">
        <v>315</v>
      </c>
      <c r="C18" s="51"/>
      <c r="D18" s="51"/>
      <c r="E18" s="51">
        <f t="shared" si="0"/>
        <v>0</v>
      </c>
      <c r="F18" s="51" t="s">
        <v>311</v>
      </c>
      <c r="G18" s="51"/>
      <c r="H18" s="51"/>
      <c r="I18" s="51">
        <f t="shared" si="1"/>
        <v>0</v>
      </c>
      <c r="J18" s="51"/>
      <c r="K18" s="51"/>
      <c r="L18" s="51">
        <f t="shared" si="2"/>
        <v>0</v>
      </c>
    </row>
    <row r="19" spans="2:12" x14ac:dyDescent="0.35">
      <c r="B19" s="51"/>
      <c r="C19" s="51"/>
      <c r="D19" s="51"/>
      <c r="E19" s="51">
        <f t="shared" si="0"/>
        <v>0</v>
      </c>
      <c r="F19" s="51" t="s">
        <v>313</v>
      </c>
      <c r="G19" s="51"/>
      <c r="H19" s="51"/>
      <c r="I19" s="51">
        <f t="shared" si="1"/>
        <v>0</v>
      </c>
      <c r="J19" s="51"/>
      <c r="K19" s="51"/>
      <c r="L19" s="51">
        <f t="shared" si="2"/>
        <v>0</v>
      </c>
    </row>
    <row r="20" spans="2:12" x14ac:dyDescent="0.35">
      <c r="B20" s="51"/>
      <c r="C20" s="51"/>
      <c r="D20" s="51"/>
      <c r="E20" s="51">
        <f t="shared" si="0"/>
        <v>0</v>
      </c>
      <c r="F20" s="51"/>
      <c r="G20" s="51"/>
      <c r="H20" s="51"/>
      <c r="I20" s="51">
        <f t="shared" si="1"/>
        <v>0</v>
      </c>
      <c r="J20" s="51"/>
      <c r="K20" s="51"/>
      <c r="L20" s="51">
        <f t="shared" si="2"/>
        <v>0</v>
      </c>
    </row>
    <row r="21" spans="2:12" x14ac:dyDescent="0.35">
      <c r="B21" s="51" t="s">
        <v>316</v>
      </c>
      <c r="C21" s="51"/>
      <c r="D21" s="51"/>
      <c r="E21" s="51">
        <f t="shared" si="0"/>
        <v>0</v>
      </c>
      <c r="F21" s="51" t="s">
        <v>311</v>
      </c>
      <c r="G21" s="51"/>
      <c r="H21" s="51"/>
      <c r="I21" s="51">
        <f t="shared" si="1"/>
        <v>0</v>
      </c>
      <c r="J21" s="51"/>
      <c r="K21" s="51"/>
      <c r="L21" s="51">
        <f t="shared" si="2"/>
        <v>0</v>
      </c>
    </row>
    <row r="22" spans="2:12" x14ac:dyDescent="0.35">
      <c r="B22" s="51"/>
      <c r="C22" s="51"/>
      <c r="D22" s="51"/>
      <c r="E22" s="51">
        <f t="shared" si="0"/>
        <v>0</v>
      </c>
      <c r="F22" s="51" t="s">
        <v>313</v>
      </c>
      <c r="G22" s="51"/>
      <c r="H22" s="51"/>
      <c r="I22" s="51">
        <f t="shared" si="1"/>
        <v>0</v>
      </c>
      <c r="J22" s="51"/>
      <c r="K22" s="51"/>
      <c r="L22" s="51">
        <f t="shared" si="2"/>
        <v>0</v>
      </c>
    </row>
    <row r="23" spans="2:12" x14ac:dyDescent="0.35">
      <c r="B23" s="51"/>
      <c r="C23" s="51"/>
      <c r="D23" s="51"/>
      <c r="E23" s="51">
        <f t="shared" si="0"/>
        <v>0</v>
      </c>
      <c r="F23" s="51"/>
      <c r="G23" s="51"/>
      <c r="H23" s="51"/>
      <c r="I23" s="51">
        <f t="shared" si="1"/>
        <v>0</v>
      </c>
      <c r="J23" s="51"/>
      <c r="K23" s="51"/>
      <c r="L23" s="51">
        <f t="shared" si="2"/>
        <v>0</v>
      </c>
    </row>
    <row r="24" spans="2:12" x14ac:dyDescent="0.35">
      <c r="B24" s="51" t="s">
        <v>317</v>
      </c>
      <c r="C24" s="51"/>
      <c r="D24" s="51"/>
      <c r="E24" s="51">
        <f t="shared" si="0"/>
        <v>0</v>
      </c>
      <c r="F24" s="51" t="s">
        <v>318</v>
      </c>
      <c r="G24" s="51"/>
      <c r="H24" s="51"/>
      <c r="I24" s="51">
        <f t="shared" si="1"/>
        <v>0</v>
      </c>
      <c r="J24" s="51"/>
      <c r="K24" s="51"/>
      <c r="L24" s="51">
        <f t="shared" si="2"/>
        <v>0</v>
      </c>
    </row>
    <row r="25" spans="2:12" x14ac:dyDescent="0.35">
      <c r="B25" s="51"/>
      <c r="C25" s="51"/>
      <c r="D25" s="51"/>
      <c r="E25" s="51">
        <f>C25*D25</f>
        <v>0</v>
      </c>
      <c r="F25" s="51" t="s">
        <v>318</v>
      </c>
      <c r="G25" s="51"/>
      <c r="H25" s="51"/>
      <c r="I25" s="51">
        <f>G25*H25</f>
        <v>0</v>
      </c>
      <c r="J25" s="51"/>
      <c r="K25" s="51"/>
      <c r="L25" s="51">
        <f>J25*K25</f>
        <v>0</v>
      </c>
    </row>
    <row r="26" spans="2:12" x14ac:dyDescent="0.35">
      <c r="B26" s="51"/>
      <c r="C26" s="51"/>
      <c r="D26" s="51"/>
      <c r="E26" s="51">
        <f>C26*D26</f>
        <v>0</v>
      </c>
      <c r="F26" s="51" t="s">
        <v>318</v>
      </c>
      <c r="G26" s="51"/>
      <c r="H26" s="51"/>
      <c r="I26" s="51">
        <f>G26*H26</f>
        <v>0</v>
      </c>
      <c r="J26" s="51"/>
      <c r="K26" s="51"/>
      <c r="L26" s="51">
        <f>J26*K26</f>
        <v>0</v>
      </c>
    </row>
    <row r="27" spans="2:12" x14ac:dyDescent="0.35">
      <c r="B27" s="51"/>
      <c r="C27" s="51"/>
      <c r="D27" s="51"/>
      <c r="E27" s="51">
        <f>C27*D27</f>
        <v>0</v>
      </c>
      <c r="F27" s="51" t="s">
        <v>318</v>
      </c>
      <c r="G27" s="51"/>
      <c r="H27" s="51"/>
      <c r="I27" s="51">
        <f>G27*H27</f>
        <v>0</v>
      </c>
      <c r="J27" s="51"/>
      <c r="K27" s="51"/>
      <c r="L27" s="51">
        <f>J27*K27</f>
        <v>0</v>
      </c>
    </row>
    <row r="28" spans="2:12" x14ac:dyDescent="0.35">
      <c r="B28" s="51" t="s">
        <v>319</v>
      </c>
      <c r="C28" s="51"/>
      <c r="D28" s="51"/>
      <c r="E28" s="51">
        <f t="shared" si="0"/>
        <v>0</v>
      </c>
      <c r="F28" s="51" t="s">
        <v>318</v>
      </c>
      <c r="G28" s="51"/>
      <c r="H28" s="51"/>
      <c r="I28" s="51">
        <f t="shared" si="1"/>
        <v>0</v>
      </c>
      <c r="J28" s="51"/>
      <c r="K28" s="51"/>
      <c r="L28" s="51">
        <f t="shared" si="2"/>
        <v>0</v>
      </c>
    </row>
    <row r="29" spans="2:12" x14ac:dyDescent="0.35">
      <c r="B29" s="51" t="s">
        <v>320</v>
      </c>
      <c r="C29" s="51"/>
      <c r="D29" s="51"/>
      <c r="E29" s="51">
        <f t="shared" si="0"/>
        <v>0</v>
      </c>
      <c r="F29" s="51" t="s">
        <v>318</v>
      </c>
      <c r="G29" s="51"/>
      <c r="H29" s="51"/>
      <c r="I29" s="51">
        <f t="shared" si="1"/>
        <v>0</v>
      </c>
      <c r="J29" s="51"/>
      <c r="K29" s="51"/>
      <c r="L29" s="51">
        <f t="shared" si="2"/>
        <v>0</v>
      </c>
    </row>
    <row r="30" spans="2:12" x14ac:dyDescent="0.35">
      <c r="B30" s="51" t="s">
        <v>324</v>
      </c>
      <c r="C30" s="51"/>
      <c r="D30" s="51"/>
      <c r="E30" s="51">
        <f t="shared" si="0"/>
        <v>0</v>
      </c>
      <c r="F30" s="51"/>
      <c r="G30" s="51"/>
      <c r="H30" s="51"/>
      <c r="I30" s="51">
        <f t="shared" si="1"/>
        <v>0</v>
      </c>
      <c r="J30" s="51"/>
      <c r="K30" s="51"/>
      <c r="L30" s="51">
        <f t="shared" si="2"/>
        <v>0</v>
      </c>
    </row>
    <row r="31" spans="2:12" x14ac:dyDescent="0.35">
      <c r="B31" s="51"/>
      <c r="C31" s="51"/>
      <c r="D31" s="51"/>
      <c r="E31" s="51">
        <f>C31*D31</f>
        <v>0</v>
      </c>
      <c r="F31" s="51"/>
      <c r="G31" s="51"/>
      <c r="H31" s="51"/>
      <c r="I31" s="51">
        <f>G31*H31</f>
        <v>0</v>
      </c>
      <c r="J31" s="51"/>
      <c r="K31" s="51"/>
      <c r="L31" s="51">
        <f>J31*K31</f>
        <v>0</v>
      </c>
    </row>
    <row r="32" spans="2:12" x14ac:dyDescent="0.35">
      <c r="B32" s="51"/>
      <c r="C32" s="51"/>
      <c r="D32" s="51"/>
      <c r="E32" s="51">
        <f>C32*D32</f>
        <v>0</v>
      </c>
      <c r="F32" s="51"/>
      <c r="G32" s="51"/>
      <c r="H32" s="51"/>
      <c r="I32" s="51">
        <f>G32*H32</f>
        <v>0</v>
      </c>
      <c r="J32" s="51"/>
      <c r="K32" s="51"/>
      <c r="L32" s="51">
        <f>J32*K32</f>
        <v>0</v>
      </c>
    </row>
    <row r="33" spans="2:12" x14ac:dyDescent="0.35">
      <c r="B33" s="51" t="s">
        <v>321</v>
      </c>
      <c r="C33" s="51"/>
      <c r="D33" s="51"/>
      <c r="E33" s="51">
        <f t="shared" si="0"/>
        <v>0</v>
      </c>
      <c r="F33" s="51"/>
      <c r="G33" s="51"/>
      <c r="H33" s="51"/>
      <c r="I33" s="51">
        <f t="shared" si="1"/>
        <v>0</v>
      </c>
      <c r="J33" s="51"/>
      <c r="K33" s="51"/>
      <c r="L33" s="51">
        <f t="shared" si="2"/>
        <v>0</v>
      </c>
    </row>
    <row r="34" spans="2:12" x14ac:dyDescent="0.35">
      <c r="B34" s="51" t="s">
        <v>325</v>
      </c>
      <c r="C34" s="51"/>
      <c r="D34" s="51"/>
      <c r="E34" s="51">
        <f t="shared" si="0"/>
        <v>0</v>
      </c>
      <c r="F34" s="51"/>
      <c r="G34" s="51"/>
      <c r="H34" s="51"/>
      <c r="I34" s="51">
        <f t="shared" si="1"/>
        <v>0</v>
      </c>
      <c r="J34" s="51"/>
      <c r="K34" s="51"/>
      <c r="L34" s="51">
        <f t="shared" si="2"/>
        <v>0</v>
      </c>
    </row>
    <row r="35" spans="2:12" x14ac:dyDescent="0.35">
      <c r="B35" s="51" t="s">
        <v>322</v>
      </c>
      <c r="C35" s="51"/>
      <c r="D35" s="51"/>
      <c r="E35" s="51">
        <f t="shared" si="0"/>
        <v>0</v>
      </c>
      <c r="F35" s="51"/>
      <c r="G35" s="51"/>
      <c r="H35" s="51"/>
      <c r="I35" s="51">
        <f t="shared" si="1"/>
        <v>0</v>
      </c>
      <c r="J35" s="51"/>
      <c r="K35" s="51"/>
      <c r="L35" s="51">
        <f t="shared" si="2"/>
        <v>0</v>
      </c>
    </row>
    <row r="36" spans="2:12" x14ac:dyDescent="0.35">
      <c r="B36" s="51" t="s">
        <v>323</v>
      </c>
      <c r="C36" s="51"/>
      <c r="D36" s="51"/>
      <c r="E36" s="51">
        <f t="shared" si="0"/>
        <v>0</v>
      </c>
      <c r="F36" s="51"/>
      <c r="G36" s="51"/>
      <c r="H36" s="51"/>
      <c r="I36" s="51">
        <f t="shared" ref="I36:I41" si="3">G36*H36</f>
        <v>0</v>
      </c>
      <c r="J36" s="51"/>
      <c r="K36" s="51"/>
      <c r="L36" s="51">
        <f t="shared" ref="L36:L41" si="4">J36*K36</f>
        <v>0</v>
      </c>
    </row>
    <row r="37" spans="2:12" x14ac:dyDescent="0.35">
      <c r="B37" s="51"/>
      <c r="C37" s="51"/>
      <c r="D37" s="51"/>
      <c r="E37" s="51">
        <f>C37*D37</f>
        <v>0</v>
      </c>
      <c r="F37" s="51"/>
      <c r="G37" s="51"/>
      <c r="H37" s="51"/>
      <c r="I37" s="51">
        <f t="shared" si="3"/>
        <v>0</v>
      </c>
      <c r="J37" s="51"/>
      <c r="K37" s="51"/>
      <c r="L37" s="51">
        <f t="shared" si="4"/>
        <v>0</v>
      </c>
    </row>
    <row r="38" spans="2:12" x14ac:dyDescent="0.35">
      <c r="B38" s="51" t="s">
        <v>326</v>
      </c>
      <c r="C38" s="51"/>
      <c r="D38" s="51"/>
      <c r="E38" s="51">
        <f>C38*D38</f>
        <v>0</v>
      </c>
      <c r="F38" s="51"/>
      <c r="G38" s="51"/>
      <c r="H38" s="51"/>
      <c r="I38" s="51">
        <f t="shared" si="3"/>
        <v>0</v>
      </c>
      <c r="J38" s="51"/>
      <c r="K38" s="51"/>
      <c r="L38" s="51">
        <f t="shared" si="4"/>
        <v>0</v>
      </c>
    </row>
    <row r="39" spans="2:12" x14ac:dyDescent="0.35">
      <c r="B39" s="51"/>
      <c r="C39" s="51"/>
      <c r="D39" s="51"/>
      <c r="E39" s="51">
        <f t="shared" si="0"/>
        <v>0</v>
      </c>
      <c r="F39" s="51"/>
      <c r="G39" s="51"/>
      <c r="H39" s="51"/>
      <c r="I39" s="51">
        <f t="shared" si="3"/>
        <v>0</v>
      </c>
      <c r="J39" s="51"/>
      <c r="K39" s="51"/>
      <c r="L39" s="51">
        <f t="shared" si="4"/>
        <v>0</v>
      </c>
    </row>
    <row r="40" spans="2:12" x14ac:dyDescent="0.35">
      <c r="B40" s="51"/>
      <c r="C40" s="51"/>
      <c r="D40" s="51"/>
      <c r="E40" s="51">
        <f t="shared" si="0"/>
        <v>0</v>
      </c>
      <c r="F40" s="51"/>
      <c r="G40" s="51"/>
      <c r="H40" s="51"/>
      <c r="I40" s="51">
        <f t="shared" si="3"/>
        <v>0</v>
      </c>
      <c r="J40" s="51"/>
      <c r="K40" s="51"/>
      <c r="L40" s="51">
        <f t="shared" si="4"/>
        <v>0</v>
      </c>
    </row>
    <row r="41" spans="2:12" x14ac:dyDescent="0.35">
      <c r="B41" s="51"/>
      <c r="C41" s="51"/>
      <c r="D41" s="51"/>
      <c r="E41" s="51">
        <f t="shared" si="0"/>
        <v>0</v>
      </c>
      <c r="F41" s="51"/>
      <c r="G41" s="51"/>
      <c r="H41" s="51"/>
      <c r="I41" s="51">
        <f t="shared" si="3"/>
        <v>0</v>
      </c>
      <c r="J41" s="51"/>
      <c r="K41" s="51"/>
      <c r="L41" s="51">
        <f t="shared" si="4"/>
        <v>0</v>
      </c>
    </row>
    <row r="42" spans="2:12" x14ac:dyDescent="0.35">
      <c r="B42" s="51" t="s">
        <v>151</v>
      </c>
      <c r="C42" s="51"/>
      <c r="D42" s="51">
        <f>E42*10.764</f>
        <v>0</v>
      </c>
      <c r="E42" s="70">
        <f>SUM(E6:E41)</f>
        <v>0</v>
      </c>
      <c r="F42" s="51"/>
      <c r="G42" s="51"/>
      <c r="H42" s="51">
        <f>I42*10.764</f>
        <v>0</v>
      </c>
      <c r="I42" s="69">
        <f>SUM(I6:I41)</f>
        <v>0</v>
      </c>
      <c r="J42" s="51"/>
      <c r="K42" s="51">
        <f>L42*10.764</f>
        <v>0</v>
      </c>
      <c r="L42" s="68">
        <f>SUM(L6:L41)</f>
        <v>0</v>
      </c>
    </row>
    <row r="44" spans="2:12" x14ac:dyDescent="0.35">
      <c r="D44" s="50">
        <f>D42+H42</f>
        <v>0</v>
      </c>
      <c r="E44" s="50">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2025-08-25T06:04:36Z</cp:lastPrinted>
  <dcterms:created xsi:type="dcterms:W3CDTF">2019-07-16T09:29:46Z</dcterms:created>
  <dcterms:modified xsi:type="dcterms:W3CDTF">2025-08-25T06:04:48Z</dcterms:modified>
</cp:coreProperties>
</file>