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18825 - Sai City - P\"/>
    </mc:Choice>
  </mc:AlternateContent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C100" i="1"/>
  <c r="G95" i="1"/>
  <c r="E95" i="1"/>
  <c r="C9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I109" i="1"/>
  <c r="G49" i="1" l="1"/>
  <c r="F112" i="1" l="1"/>
  <c r="H112" i="1" s="1"/>
  <c r="D123" i="1"/>
  <c r="D122" i="1"/>
  <c r="D121" i="1"/>
  <c r="D120" i="1"/>
  <c r="D119" i="1"/>
  <c r="D118" i="1"/>
  <c r="D117" i="1"/>
  <c r="D116" i="1"/>
  <c r="D115" i="1"/>
  <c r="F115" i="1" s="1"/>
  <c r="H115" i="1" s="1"/>
  <c r="D114" i="1"/>
  <c r="D113" i="1"/>
  <c r="D112" i="1"/>
  <c r="D111" i="1"/>
  <c r="D110" i="1"/>
  <c r="F110" i="1" s="1"/>
  <c r="H110" i="1" s="1"/>
  <c r="D109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F114" i="1" l="1"/>
  <c r="H114" i="1" s="1"/>
  <c r="F122" i="1"/>
  <c r="H122" i="1" s="1"/>
  <c r="F117" i="1"/>
  <c r="H117" i="1" s="1"/>
  <c r="F109" i="1"/>
  <c r="H109" i="1" s="1"/>
  <c r="F118" i="1"/>
  <c r="H118" i="1" s="1"/>
  <c r="F120" i="1"/>
  <c r="H120" i="1" s="1"/>
  <c r="F121" i="1"/>
  <c r="H121" i="1" s="1"/>
  <c r="F123" i="1"/>
  <c r="H123" i="1" s="1"/>
  <c r="F119" i="1"/>
  <c r="H119" i="1" s="1"/>
  <c r="F116" i="1"/>
  <c r="H116" i="1" s="1"/>
  <c r="F113" i="1"/>
  <c r="H113" i="1" s="1"/>
  <c r="F111" i="1"/>
  <c r="H111" i="1" s="1"/>
  <c r="J177" i="1"/>
  <c r="I177" i="1"/>
  <c r="E187" i="1"/>
  <c r="E186" i="1"/>
  <c r="E185" i="1"/>
  <c r="E184" i="1"/>
  <c r="E183" i="1"/>
  <c r="E182" i="1"/>
  <c r="E181" i="1"/>
  <c r="E180" i="1"/>
  <c r="E179" i="1"/>
  <c r="E178" i="1"/>
  <c r="E177" i="1"/>
  <c r="E175" i="1"/>
  <c r="E174" i="1"/>
  <c r="E173" i="1"/>
  <c r="E172" i="1"/>
  <c r="E171" i="1"/>
  <c r="E170" i="1"/>
  <c r="E169" i="1"/>
  <c r="E168" i="1"/>
  <c r="E167" i="1"/>
  <c r="E166" i="1"/>
  <c r="D177" i="1"/>
  <c r="D187" i="1"/>
  <c r="F187" i="1" s="1"/>
  <c r="H187" i="1" s="1"/>
  <c r="D186" i="1"/>
  <c r="F186" i="1" s="1"/>
  <c r="H186" i="1" s="1"/>
  <c r="D185" i="1"/>
  <c r="F185" i="1" s="1"/>
  <c r="H185" i="1" s="1"/>
  <c r="D184" i="1"/>
  <c r="F184" i="1" s="1"/>
  <c r="H184" i="1" s="1"/>
  <c r="D183" i="1"/>
  <c r="F183" i="1" s="1"/>
  <c r="H183" i="1" s="1"/>
  <c r="D182" i="1"/>
  <c r="D181" i="1"/>
  <c r="F181" i="1" s="1"/>
  <c r="H181" i="1" s="1"/>
  <c r="D180" i="1"/>
  <c r="F180" i="1" s="1"/>
  <c r="H180" i="1" s="1"/>
  <c r="D179" i="1"/>
  <c r="F179" i="1" s="1"/>
  <c r="H179" i="1" s="1"/>
  <c r="D178" i="1"/>
  <c r="F178" i="1" s="1"/>
  <c r="H178" i="1" s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D175" i="1"/>
  <c r="D174" i="1"/>
  <c r="D173" i="1"/>
  <c r="D172" i="1"/>
  <c r="I171" i="1"/>
  <c r="D171" i="1"/>
  <c r="D170" i="1"/>
  <c r="D169" i="1"/>
  <c r="D168" i="1"/>
  <c r="D167" i="1"/>
  <c r="D166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F169" i="1" l="1"/>
  <c r="H169" i="1" s="1"/>
  <c r="F171" i="1"/>
  <c r="F172" i="1"/>
  <c r="H172" i="1" s="1"/>
  <c r="F182" i="1"/>
  <c r="H182" i="1" s="1"/>
  <c r="F168" i="1"/>
  <c r="H168" i="1" s="1"/>
  <c r="F175" i="1"/>
  <c r="H175" i="1" s="1"/>
  <c r="F177" i="1"/>
  <c r="H177" i="1" s="1"/>
  <c r="F174" i="1"/>
  <c r="H174" i="1" s="1"/>
  <c r="F173" i="1"/>
  <c r="H173" i="1" s="1"/>
  <c r="H171" i="1"/>
  <c r="F170" i="1"/>
  <c r="H170" i="1" s="1"/>
  <c r="F167" i="1"/>
  <c r="H167" i="1" s="1"/>
  <c r="F166" i="1"/>
  <c r="J128" i="1"/>
  <c r="E7" i="1"/>
  <c r="H166" i="1" l="1"/>
  <c r="G100" i="1" s="1"/>
  <c r="E100" i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G216" i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D216" i="1"/>
  <c r="F216" i="1" s="1"/>
  <c r="D204" i="1"/>
  <c r="F204" i="1" s="1"/>
  <c r="D214" i="1"/>
  <c r="F214" i="1" s="1"/>
  <c r="D213" i="1"/>
  <c r="F213" i="1" s="1"/>
  <c r="L96" i="1" s="1"/>
  <c r="D212" i="1"/>
  <c r="F212" i="1" s="1"/>
  <c r="L97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G204" i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D202" i="1"/>
  <c r="F202" i="1" s="1"/>
  <c r="D201" i="1"/>
  <c r="F201" i="1" s="1"/>
  <c r="K201" i="1" s="1"/>
  <c r="D200" i="1"/>
  <c r="F200" i="1" s="1"/>
  <c r="D199" i="1"/>
  <c r="F199" i="1" s="1"/>
  <c r="K199" i="1" s="1"/>
  <c r="D198" i="1"/>
  <c r="F198" i="1" s="1"/>
  <c r="K198" i="1" s="1"/>
  <c r="D197" i="1"/>
  <c r="F197" i="1" s="1"/>
  <c r="K197" i="1" s="1"/>
  <c r="D196" i="1"/>
  <c r="F196" i="1" s="1"/>
  <c r="K196" i="1" s="1"/>
  <c r="D195" i="1"/>
  <c r="D194" i="1"/>
  <c r="D193" i="1"/>
  <c r="I197" i="1"/>
  <c r="I193" i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M93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I145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I144" i="1"/>
  <c r="G144" i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J93" i="1" s="1"/>
  <c r="D135" i="1"/>
  <c r="F135" i="1" s="1"/>
  <c r="D134" i="1"/>
  <c r="F134" i="1" s="1"/>
  <c r="D133" i="1"/>
  <c r="F133" i="1" s="1"/>
  <c r="D132" i="1"/>
  <c r="F132" i="1" s="1"/>
  <c r="D131" i="1"/>
  <c r="D130" i="1"/>
  <c r="D129" i="1"/>
  <c r="D128" i="1"/>
  <c r="I129" i="1"/>
  <c r="I128" i="1"/>
  <c r="C65" i="1"/>
  <c r="E101" i="1" l="1"/>
  <c r="K200" i="1"/>
  <c r="J200" i="1"/>
  <c r="C96" i="1"/>
  <c r="E96" i="1"/>
  <c r="C101" i="1"/>
  <c r="K202" i="1"/>
  <c r="L95" i="1"/>
  <c r="G96" i="1"/>
  <c r="E97" i="1" l="1"/>
  <c r="E102" i="1" s="1"/>
  <c r="C97" i="1"/>
  <c r="C102" i="1" s="1"/>
  <c r="E42" i="1"/>
  <c r="E43" i="1" s="1"/>
  <c r="C14" i="1" l="1"/>
  <c r="E29" i="1" l="1"/>
  <c r="F193" i="1" l="1"/>
  <c r="F194" i="1"/>
  <c r="F195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G192" i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K195" i="1" l="1"/>
  <c r="L94" i="1"/>
  <c r="K194" i="1"/>
  <c r="L93" i="1"/>
  <c r="K193" i="1"/>
  <c r="J193" i="1"/>
  <c r="G101" i="1"/>
  <c r="F92" i="1"/>
  <c r="L98" i="1" l="1"/>
  <c r="F129" i="1"/>
  <c r="F130" i="1"/>
  <c r="F131" i="1"/>
  <c r="F128" i="1"/>
  <c r="G97" i="1" l="1"/>
  <c r="G102" i="1" s="1"/>
  <c r="B229" i="1"/>
  <c r="B23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6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G128" i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B66" i="1"/>
  <c r="E26" i="1"/>
  <c r="E24" i="1"/>
  <c r="E3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l="1"/>
  <c r="J73" i="1"/>
  <c r="J74" i="1" s="1"/>
  <c r="J75" i="1" s="1"/>
  <c r="J76" i="1" s="1"/>
  <c r="D71" i="1"/>
  <c r="J67" i="1"/>
  <c r="D69" i="1"/>
  <c r="J78" i="1" l="1"/>
  <c r="C70" i="1" l="1"/>
  <c r="G69" i="1" s="1"/>
  <c r="D63" i="1" s="1"/>
  <c r="F64" i="1" s="1"/>
  <c r="E69" i="1" l="1"/>
  <c r="J66" i="1"/>
  <c r="D70" i="1"/>
  <c r="I66" i="1" s="1"/>
  <c r="I67" i="1" s="1"/>
  <c r="I65" i="1" s="1"/>
  <c r="C67" i="1" s="1"/>
  <c r="D64" i="1"/>
</calcChain>
</file>

<file path=xl/comments1.xml><?xml version="1.0" encoding="utf-8"?>
<comments xmlns="http://schemas.openxmlformats.org/spreadsheetml/2006/main">
  <authors>
    <author>SACHIN</author>
  </authors>
  <commentList>
    <comment ref="H16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<sst xmlns="http://schemas.openxmlformats.org/spreadsheetml/2006/main" count="409" uniqueCount="255">
  <si>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</si>
  <si>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</si>
  <si>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</si>
  <si>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</si>
  <si>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</si>
  <si>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</si>
  <si>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</si>
  <si>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</si>
  <si>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</si>
  <si>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</si>
  <si>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</si>
  <si>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</si>
  <si>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</si>
  <si>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</si>
  <si>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</si>
  <si>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</si>
  <si>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</si>
  <si>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</si>
  <si>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</si>
  <si>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</si>
  <si>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</si>
  <si>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</si>
  <si>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</si>
  <si>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</si>
  <si>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</si>
  <si>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</si>
  <si>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</si>
  <si>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</si>
  <si>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</si>
  <si>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</si>
  <si>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</si>
  <si>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</si>
  <si>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</si>
  <si>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</si>
  <si>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</si>
  <si>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</si>
  <si>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</si>
  <si>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</si>
  <si>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</si>
  <si>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</si>
  <si>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</si>
  <si>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</si>
  <si>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</si>
  <si>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</si>
  <si>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</si>
  <si>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</si>
  <si>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</si>
  <si>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</si>
  <si>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</si>
  <si>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</si>
  <si>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</si>
  <si>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</si>
  <si>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</si>
  <si>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</si>
  <si>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</si>
  <si>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</si>
  <si>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</si>
  <si>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</si>
  <si>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</si>
  <si>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</si>
  <si>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</si>
  <si>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</si>
  <si>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</si>
  <si>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</si>
  <si>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</si>
  <si>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</si>
  <si>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</si>
  <si>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</si>
  <si>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</si>
  <si>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</si>
  <si>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</si>
  <si>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</si>
  <si>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</si>
  <si>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</si>
  <si>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</si>
  <si>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</si>
  <si>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</si>
  <si>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</si>
  <si>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</si>
  <si>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</si>
  <si>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</si>
  <si>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</si>
  <si>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</si>
  <si>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</si>
  <si>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</si>
  <si>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</si>
  <si>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</si>
  <si>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</si>
  <si>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</si>
  <si>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</si>
  <si>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</si>
  <si>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</si>
  <si>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</si>
  <si>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</si>
  <si>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</si>
  <si>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</si>
  <si>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</si>
  <si>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</si>
  <si>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</si>
  <si>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</si>
  <si>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</si>
  <si>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</si>
  <si>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</si>
  <si>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</si>
  <si>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</si>
  <si>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</si>
  <si>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</si>
  <si>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</si>
  <si>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</si>
  <si>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</si>
  <si>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</si>
  <si>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</si>
  <si>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</si>
  <si>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</si>
  <si>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</si>
  <si>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</si>
  <si>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</si>
  <si>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</si>
  <si>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</si>
  <si>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</si>
  <si>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</si>
  <si>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</si>
  <si>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</si>
  <si>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</si>
  <si>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</si>
  <si>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</si>
  <si>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</si>
  <si>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</si>
  <si>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</si>
  <si>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</si>
  <si>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</si>
  <si>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</si>
  <si>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</si>
  <si>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</si>
  <si>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</si>
  <si>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</si>
  <si>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</si>
  <si>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</si>
  <si>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</si>
  <si>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</si>
  <si>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</si>
  <si>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</si>
  <si>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</si>
  <si>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</si>
  <si>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</si>
  <si>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</si>
  <si>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</si>
  <si>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</si>
  <si>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</si>
  <si>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</si>
  <si>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</si>
  <si>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</si>
  <si>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</si>
  <si>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</si>
  <si>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</si>
  <si>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</si>
  <si>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</si>
  <si>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</si>
  <si>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</si>
  <si>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</si>
  <si>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</si>
  <si>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</si>
  <si>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</si>
  <si>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</si>
  <si>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</si>
  <si>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</si>
  <si>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</si>
  <si>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</si>
  <si>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</si>
  <si>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</si>
  <si>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</si>
  <si>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</si>
  <si>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</si>
  <si>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</si>
  <si>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</si>
  <si>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</si>
  <si>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Sai City</t>
  </si>
  <si>
    <t>Approved Plans, CC.</t>
  </si>
  <si>
    <t>Survey No</t>
  </si>
  <si>
    <t>Kalyan</t>
  </si>
  <si>
    <t>Thane</t>
  </si>
  <si>
    <t>https://goo.gl/maps/a8Bcb3WD9Ehnv9VB6</t>
  </si>
  <si>
    <t>Kalyan-Shilphata Road</t>
  </si>
  <si>
    <t>Nilje</t>
  </si>
  <si>
    <t>Sarvoday School Nilje</t>
  </si>
  <si>
    <t>2.3KM from Nilje Railway Station</t>
  </si>
  <si>
    <t>Sales Office/Building</t>
  </si>
  <si>
    <t>Open Plot/Railway Track</t>
  </si>
  <si>
    <t>As per RERA - 31/12/2031</t>
  </si>
  <si>
    <t>Wing A</t>
  </si>
  <si>
    <t>Shop</t>
  </si>
  <si>
    <t>Ground Floor For Entrance Lobby, Commercial, Fire Room, Driver Room, Meter Room &amp; Parking</t>
  </si>
  <si>
    <t>1st Floor For Commercial &amp; Parking</t>
  </si>
  <si>
    <t>Office</t>
  </si>
  <si>
    <t>1BHK</t>
  </si>
  <si>
    <t>2BHK</t>
  </si>
  <si>
    <t>3rd to 6th, 8th to 11th, 13th to 16th &amp; 18th Floor</t>
  </si>
  <si>
    <t>2nd Floor For Residential, Entrance Lobby &amp; Society Office</t>
  </si>
  <si>
    <t xml:space="preserve">Entrance Lobby &amp; Society Office </t>
  </si>
  <si>
    <t>7th, 12th &amp; 17th Floor (Part Refuge Area)</t>
  </si>
  <si>
    <t>Refuge Area</t>
  </si>
  <si>
    <t>We considered Gross carpet area = Net carpet + Balcony.</t>
  </si>
  <si>
    <t xml:space="preserve">Office   </t>
  </si>
  <si>
    <t>Flats</t>
  </si>
  <si>
    <t>Garden, Swimming Pool, Club House</t>
  </si>
  <si>
    <t>Om Sai Builders &amp; Developers</t>
  </si>
  <si>
    <t>Sarvoday School</t>
  </si>
  <si>
    <t>Mumbai Metropolitan Region Development Authority (MMRDA)</t>
  </si>
  <si>
    <t>1st Podium Floor for Parking</t>
  </si>
  <si>
    <t>Two Podium Floors are provided for parking below flat No. 1 to 4, 10 &amp; 11</t>
  </si>
  <si>
    <t>Office and shop height is 4.20m, and flat height is 2.90m.</t>
  </si>
  <si>
    <t>Sheet</t>
  </si>
  <si>
    <t>Shops</t>
  </si>
  <si>
    <t>Dombivli (East)</t>
  </si>
  <si>
    <t xml:space="preserve">Commencement-CC No
Valid Up to: </t>
  </si>
  <si>
    <t>Mr. Manish Sharma - 8652115907</t>
  </si>
  <si>
    <t>19.166437,73.077781</t>
  </si>
  <si>
    <t xml:space="preserve">5800 to 6000 + OC  + Park </t>
  </si>
  <si>
    <t xml:space="preserve">Sanjay </t>
  </si>
  <si>
    <t>Verbal</t>
  </si>
  <si>
    <t>Recommended Rates of the Property have been revised on 27/12/2024.</t>
  </si>
  <si>
    <t>Mr. Santosh Dixit 9892115901</t>
  </si>
  <si>
    <t>P51700049444</t>
  </si>
  <si>
    <t>Construction work is in process at the time of Visit. Internal visit was not allowed.</t>
  </si>
  <si>
    <t>Miss. Komal : 9892115901</t>
  </si>
  <si>
    <t>2/5/A, 3/1/B, 3/1/C, 3/1/D, 3/1/E, 3/8/KH &amp; 4/1, Part Of 5/2</t>
  </si>
  <si>
    <t>SROT/Growth Centre/2401/BP/Nilje-08/24/2025</t>
  </si>
  <si>
    <t>Flat No. (Sale Plan)</t>
  </si>
  <si>
    <t>Carpet area</t>
  </si>
  <si>
    <t>3rd to 7th, 9th to 12th, 14th to 17th, 19th to 22nd Floor</t>
  </si>
  <si>
    <t>Entrance Lobby &amp; Society Office</t>
  </si>
  <si>
    <t>Balcony Area</t>
  </si>
  <si>
    <r>
      <t xml:space="preserve">Flat No.
</t>
    </r>
    <r>
      <rPr>
        <b/>
        <sz val="11"/>
        <rFont val="Times New Roman"/>
        <family val="1"/>
      </rPr>
      <t>(Approved Plan)</t>
    </r>
  </si>
  <si>
    <t>Pooja Kawale</t>
  </si>
  <si>
    <t>Gangaram parshuram Lambore</t>
  </si>
  <si>
    <t>Shop No. (Sale Plan)</t>
  </si>
  <si>
    <t>Ground Floor for Meter Room, Society Office &amp; Commercial</t>
  </si>
  <si>
    <t>Attached Otla area</t>
  </si>
  <si>
    <r>
      <t xml:space="preserve">Shop No.
</t>
    </r>
    <r>
      <rPr>
        <b/>
        <sz val="11"/>
        <rFont val="Times New Roman"/>
        <family val="1"/>
      </rPr>
      <t>(Approved Plan)</t>
    </r>
  </si>
  <si>
    <t>We have updated latest CC &amp; approved floor plans for Wing A (On 26/08/2025).</t>
  </si>
  <si>
    <t>Ground + 2nd to 7th, 9th to 12th, 14th to 17th &amp; 19th to 22nd Floor</t>
  </si>
  <si>
    <t>Flats - 183, Shops - 15</t>
  </si>
  <si>
    <t>SROT/KGC/2401/BP/Nilje-08/24/2025</t>
  </si>
  <si>
    <t>Wing A = Gr/St + 2P + 22 Floors (69.90M Height)</t>
  </si>
  <si>
    <t>Approved area of building (Sq.Mt)
Wing A</t>
  </si>
  <si>
    <t>1st Podium Floor For Parking</t>
  </si>
  <si>
    <t>We have updated Ground + 2nd to 7th, 9th to 12th, 14th to 17th &amp; 19th to 22nd Floor.
Please provide legible approved floor plans for 1P, 2P, 8th, 13th &amp; 18th Floor.</t>
  </si>
  <si>
    <t>Please Check for EC &amp; Fire NOC.</t>
  </si>
  <si>
    <t>As per approved plans dtd. 06/01/2025, S.No. 3/1/B &amp; 3/1/KH, And in CC dtd. 06/01/2025 3/E &amp; 3/8/B is newly added in project. Please check legal title report from yourend.</t>
  </si>
  <si>
    <t>As per Layout</t>
  </si>
  <si>
    <t>Wing B/Public Office Reservation</t>
  </si>
  <si>
    <t>06M Wide Rd</t>
  </si>
  <si>
    <t>Wing C</t>
  </si>
  <si>
    <t>60M DP Road</t>
  </si>
  <si>
    <t>Wing A = Gr/St + 2P +2nd to 22nd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</si>
</sst>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0" xfId="2" applyFont="1" applyAlignment="1">
      <alignment horizontal="right"/>
    </xf>
    <xf numFmtId="167" fontId="6" fillId="0" borderId="0" xfId="9" applyNumberFormat="1" applyFont="1" applyAlignment="1">
      <alignment horizontal="right"/>
    </xf>
    <xf numFmtId="167" fontId="7" fillId="0" borderId="0" xfId="9" applyNumberFormat="1" applyFont="1" applyAlignment="1">
      <alignment horizontal="right" vertical="center"/>
    </xf>
    <xf numFmtId="167" fontId="7" fillId="0" borderId="0" xfId="9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7" fontId="7" fillId="0" borderId="0" xfId="9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2" xfId="0" applyFont="1" applyFill="1" applyBorder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2" borderId="2" xfId="1" applyNumberFormat="1" applyFont="1" applyFill="1" applyBorder="1" applyAlignment="1" applyProtection="1">
      <alignment horizontal="center" vertical="top" wrapText="1"/>
      <protection locked="0"/>
    </xf>
    <xf numFmtId="9" fontId="8" fillId="2" borderId="13" xfId="8" applyFont="1" applyFill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13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5" fillId="0" borderId="0" xfId="0" applyFont="1" applyAlignment="1">
      <alignment horizontal="left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3" xfId="1" applyNumberFormat="1" applyFont="1" applyBorder="1" applyAlignment="1" applyProtection="1">
      <alignment horizontal="center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3" xfId="1" applyNumberFormat="1" applyFont="1" applyBorder="1" applyAlignment="1" applyProtection="1">
      <alignment horizontal="center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8" fillId="2" borderId="14" xfId="1" applyNumberFormat="1" applyFont="1" applyFill="1" applyBorder="1" applyAlignment="1" applyProtection="1">
      <alignment horizontal="center" vertical="top" wrapText="1"/>
      <protection locked="0"/>
    </xf>
    <xf numFmtId="1" fontId="8" fillId="2" borderId="16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3" fillId="0" borderId="2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8" fillId="2" borderId="2" xfId="1" applyNumberFormat="1" applyFont="1" applyFill="1" applyBorder="1" applyAlignment="1" applyProtection="1">
      <alignment horizontal="center" vertical="top" wrapText="1"/>
      <protection locked="0"/>
    </xf>
    <xf numFmtId="1" fontId="8" fillId="2" borderId="1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4" fillId="2" borderId="2" xfId="1" applyNumberFormat="1" applyFont="1" applyFill="1" applyBorder="1" applyAlignment="1" applyProtection="1">
      <alignment horizontal="center" vertical="top" wrapText="1"/>
      <protection locked="0"/>
    </xf>
    <xf numFmtId="1" fontId="4" fillId="2" borderId="13" xfId="1" applyNumberFormat="1" applyFont="1" applyFill="1" applyBorder="1" applyAlignment="1" applyProtection="1">
      <alignment horizontal="center" vertical="top" wrapText="1"/>
      <protection locked="0"/>
    </xf>
    <xf numFmtId="1" fontId="8" fillId="2" borderId="15" xfId="1" applyNumberFormat="1" applyFont="1" applyFill="1" applyBorder="1" applyAlignment="1" applyProtection="1">
      <alignment horizontal="center" vertical="top" wrapText="1"/>
      <protection locked="0"/>
    </xf>
    <xf numFmtId="1" fontId="8" fillId="2" borderId="17" xfId="1" applyNumberFormat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13" fillId="0" borderId="26" xfId="0" applyNumberFormat="1" applyFont="1" applyBorder="1" applyAlignment="1" applyProtection="1">
      <alignment horizontal="center" vertical="center" wrapText="1"/>
      <protection locked="0"/>
    </xf>
    <xf numFmtId="1" fontId="13" fillId="0" borderId="27" xfId="0" applyNumberFormat="1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1" fontId="13" fillId="0" borderId="27" xfId="0" applyNumberFormat="1" applyFont="1" applyBorder="1" applyAlignment="1" applyProtection="1">
      <alignment horizontal="center" vertical="top" wrapText="1"/>
      <protection locked="0"/>
    </xf>
    <xf numFmtId="1" fontId="13" fillId="0" borderId="28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4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2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582703</xdr:colOff>
      <xdr:row>300</xdr:row>
      <xdr:rowOff>0</xdr:rowOff>
    </xdr:from>
    <xdr:to>
      <xdr:col>7</xdr:col>
      <xdr:colOff>230463</xdr:colOff>
      <xdr:row>323</xdr:row>
      <xdr:rowOff>40764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927" t="20754" r="43602" b="10849"/>
        <a:stretch/>
      </xdr:blipFill>
      <xdr:spPr>
        <a:xfrm>
          <a:off x="582703" y="53396029"/>
          <a:ext cx="5777378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851647</xdr:colOff>
      <xdr:row>305</xdr:row>
      <xdr:rowOff>56029</xdr:rowOff>
    </xdr:from>
    <xdr:to>
      <xdr:col>3</xdr:col>
      <xdr:colOff>291353</xdr:colOff>
      <xdr:row>310</xdr:row>
      <xdr:rowOff>123265</xdr:rowOff>
    </xdr:to>
    <xdr:sp macro="" textlink="">
      <xdr:nvSpPr>
        <xdr:cNvPr id="9" name="Rectangle 8"/>
        <xdr:cNvSpPr/>
      </xdr:nvSpPr>
      <xdr:spPr>
        <a:xfrm>
          <a:off x="1669676" y="54460588"/>
          <a:ext cx="1221442" cy="1075765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156883</xdr:colOff>
      <xdr:row>307</xdr:row>
      <xdr:rowOff>56028</xdr:rowOff>
    </xdr:from>
    <xdr:to>
      <xdr:col>3</xdr:col>
      <xdr:colOff>762000</xdr:colOff>
      <xdr:row>311</xdr:row>
      <xdr:rowOff>89646</xdr:rowOff>
    </xdr:to>
    <xdr:sp macro="" textlink="">
      <xdr:nvSpPr>
        <xdr:cNvPr id="10" name="Rectangle 9"/>
        <xdr:cNvSpPr/>
      </xdr:nvSpPr>
      <xdr:spPr>
        <a:xfrm>
          <a:off x="1837765" y="54863999"/>
          <a:ext cx="1524000" cy="8404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 editAs="oneCell">
    <xdr:from>
      <xdr:col>0</xdr:col>
      <xdr:colOff>235326</xdr:colOff>
      <xdr:row>344</xdr:row>
      <xdr:rowOff>0</xdr:rowOff>
    </xdr:from>
    <xdr:to>
      <xdr:col>7</xdr:col>
      <xdr:colOff>654938</xdr:colOff>
      <xdr:row>363</xdr:row>
      <xdr:rowOff>127589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326" y="62271088"/>
          <a:ext cx="654923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471963</xdr:colOff>
      <xdr:row>364</xdr:row>
      <xdr:rowOff>4559</xdr:rowOff>
    </xdr:from>
    <xdr:to>
      <xdr:col>5</xdr:col>
      <xdr:colOff>731518</xdr:colOff>
      <xdr:row>383</xdr:row>
      <xdr:rowOff>184151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2063" y="61751959"/>
          <a:ext cx="3796505" cy="39197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358588</xdr:colOff>
      <xdr:row>351</xdr:row>
      <xdr:rowOff>112059</xdr:rowOff>
    </xdr:from>
    <xdr:to>
      <xdr:col>4</xdr:col>
      <xdr:colOff>504265</xdr:colOff>
      <xdr:row>360</xdr:row>
      <xdr:rowOff>67236</xdr:rowOff>
    </xdr:to>
    <xdr:sp macro="" textlink="">
      <xdr:nvSpPr>
        <xdr:cNvPr id="13" name="Freeform 12"/>
        <xdr:cNvSpPr/>
      </xdr:nvSpPr>
      <xdr:spPr>
        <a:xfrm>
          <a:off x="2958353" y="63795088"/>
          <a:ext cx="1154206" cy="1770530"/>
        </a:xfrm>
        <a:custGeom>
          <a:avLst/>
          <a:gdLst>
            <a:gd name="connsiteX0" fmla="*/ 705971 w 1154206"/>
            <a:gd name="connsiteY0" fmla="*/ 0 h 1770530"/>
            <a:gd name="connsiteX1" fmla="*/ 1154206 w 1154206"/>
            <a:gd name="connsiteY1" fmla="*/ 324971 h 1770530"/>
            <a:gd name="connsiteX2" fmla="*/ 986118 w 1154206"/>
            <a:gd name="connsiteY2" fmla="*/ 683559 h 1770530"/>
            <a:gd name="connsiteX3" fmla="*/ 1131794 w 1154206"/>
            <a:gd name="connsiteY3" fmla="*/ 1344706 h 1770530"/>
            <a:gd name="connsiteX4" fmla="*/ 425824 w 1154206"/>
            <a:gd name="connsiteY4" fmla="*/ 1770530 h 1770530"/>
            <a:gd name="connsiteX5" fmla="*/ 112059 w 1154206"/>
            <a:gd name="connsiteY5" fmla="*/ 1580030 h 1770530"/>
            <a:gd name="connsiteX6" fmla="*/ 582706 w 1154206"/>
            <a:gd name="connsiteY6" fmla="*/ 1411941 h 1770530"/>
            <a:gd name="connsiteX7" fmla="*/ 414618 w 1154206"/>
            <a:gd name="connsiteY7" fmla="*/ 907677 h 1770530"/>
            <a:gd name="connsiteX8" fmla="*/ 0 w 1154206"/>
            <a:gd name="connsiteY8" fmla="*/ 784412 h 1770530"/>
            <a:gd name="connsiteX9" fmla="*/ 705971 w 1154206"/>
            <a:gd name="connsiteY9" fmla="*/ 0 h 17705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154206" h="1770530">
              <a:moveTo>
                <a:pt x="705971" y="0"/>
              </a:moveTo>
              <a:lnTo>
                <a:pt x="1154206" y="324971"/>
              </a:lnTo>
              <a:lnTo>
                <a:pt x="986118" y="683559"/>
              </a:lnTo>
              <a:lnTo>
                <a:pt x="1131794" y="1344706"/>
              </a:lnTo>
              <a:lnTo>
                <a:pt x="425824" y="1770530"/>
              </a:lnTo>
              <a:lnTo>
                <a:pt x="112059" y="1580030"/>
              </a:lnTo>
              <a:lnTo>
                <a:pt x="582706" y="1411941"/>
              </a:lnTo>
              <a:lnTo>
                <a:pt x="414618" y="907677"/>
              </a:lnTo>
              <a:lnTo>
                <a:pt x="0" y="784412"/>
              </a:lnTo>
              <a:lnTo>
                <a:pt x="705971" y="0"/>
              </a:lnTo>
              <a:close/>
            </a:path>
          </a:pathLst>
        </a:cu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120650</xdr:colOff>
      <xdr:row>8</xdr:row>
      <xdr:rowOff>127000</xdr:rowOff>
    </xdr:from>
    <xdr:to>
      <xdr:col>17</xdr:col>
      <xdr:colOff>64529</xdr:colOff>
      <xdr:row>14</xdr:row>
      <xdr:rowOff>127223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4800" y="2117725"/>
          <a:ext cx="7040004" cy="16194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228600</xdr:colOff>
      <xdr:row>256</xdr:row>
      <xdr:rowOff>101600</xdr:rowOff>
    </xdr:from>
    <xdr:to>
      <xdr:col>7</xdr:col>
      <xdr:colOff>656034</xdr:colOff>
      <xdr:row>297</xdr:row>
      <xdr:rowOff>25400</xdr:rowOff>
    </xdr:to>
    <xdr:grpSp>
      <xdr:nvGrpSpPr>
        <xdr:cNvPr id="2" name="Group 1"/>
        <xdr:cNvGrpSpPr/>
      </xdr:nvGrpSpPr>
      <xdr:grpSpPr>
        <a:xfrm>
          <a:off x="228600" y="38277800"/>
          <a:ext cx="6123384" cy="8115300"/>
          <a:chOff x="228600" y="48888650"/>
          <a:chExt cx="6402784" cy="7988300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7460" y="55247272"/>
            <a:ext cx="1618313" cy="16296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00" y="5296796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7760" y="52967961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2868" y="48888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6321" y="52967961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344" y="48888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182393</xdr:colOff>
      <xdr:row>34</xdr:row>
      <xdr:rowOff>18571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6580952" cy="38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313765</xdr:colOff>
      <xdr:row>13</xdr:row>
      <xdr:rowOff>179294</xdr:rowOff>
    </xdr:from>
    <xdr:to>
      <xdr:col>15</xdr:col>
      <xdr:colOff>441243</xdr:colOff>
      <xdr:row>36</xdr:row>
      <xdr:rowOff>169223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5030" y="2667000"/>
          <a:ext cx="6638095" cy="4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89647</xdr:rowOff>
    </xdr:from>
    <xdr:to>
      <xdr:col>7</xdr:col>
      <xdr:colOff>506060</xdr:colOff>
      <xdr:row>47</xdr:row>
      <xdr:rowOff>70361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206" y="7149353"/>
          <a:ext cx="8047619" cy="1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8Bcb3WD9Ehnv9V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343"/>
  <sheetViews>
    <sheetView tabSelected="1" view="pageBreakPreview" topLeftCell="A109" zoomScaleNormal="100" zoomScaleSheetLayoutView="100" zoomScalePageLayoutView="85" workbookViewId="0">
      <selection activeCell="K118" sqref="K118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5703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10" ht="46.5" customHeight="1" x14ac:dyDescent="0.25">
      <c r="A1" s="181" t="s">
        <v>170</v>
      </c>
      <c r="B1" s="181"/>
      <c r="C1" s="181"/>
      <c r="D1" s="181"/>
      <c r="E1" s="181"/>
      <c r="F1" s="181"/>
      <c r="G1" s="181"/>
      <c r="H1" s="181"/>
    </row>
    <row r="2" spans="1:10" ht="16.5" customHeight="1" x14ac:dyDescent="0.25">
      <c r="A2" s="182" t="s">
        <v>0</v>
      </c>
      <c r="B2" s="182"/>
      <c r="C2" s="182"/>
      <c r="D2" s="182"/>
      <c r="E2" s="182"/>
      <c r="F2" s="182"/>
      <c r="G2" s="182"/>
      <c r="H2" s="182"/>
    </row>
    <row r="3" spans="1:10" x14ac:dyDescent="0.25">
      <c r="A3" s="143" t="s">
        <v>1</v>
      </c>
      <c r="B3" s="143"/>
      <c r="C3" s="143"/>
      <c r="D3" s="143"/>
      <c r="E3" s="143" t="str">
        <f ca="1">TEXT(TODAY(),"DD/MM/YYYY")</f>
        <v>28/08/2025</v>
      </c>
      <c r="F3" s="143"/>
      <c r="G3" s="143"/>
      <c r="H3" s="143"/>
    </row>
    <row r="4" spans="1:10" ht="15" customHeight="1" x14ac:dyDescent="0.25">
      <c r="A4" s="143" t="s">
        <v>2</v>
      </c>
      <c r="B4" s="143"/>
      <c r="C4" s="143"/>
      <c r="D4" s="143"/>
      <c r="E4" s="143" t="s">
        <v>175</v>
      </c>
      <c r="F4" s="143"/>
      <c r="G4" s="143"/>
      <c r="H4" s="143"/>
    </row>
    <row r="5" spans="1:10" x14ac:dyDescent="0.25">
      <c r="A5" s="143" t="s">
        <v>3</v>
      </c>
      <c r="B5" s="143"/>
      <c r="C5" s="143"/>
      <c r="D5" s="143"/>
      <c r="E5" s="183">
        <v>45894</v>
      </c>
      <c r="F5" s="143"/>
      <c r="G5" s="143"/>
      <c r="H5" s="143"/>
    </row>
    <row r="6" spans="1:10" ht="16.5" customHeight="1" x14ac:dyDescent="0.25">
      <c r="A6" s="143" t="s">
        <v>4</v>
      </c>
      <c r="B6" s="143"/>
      <c r="C6" s="143"/>
      <c r="D6" s="143"/>
      <c r="E6" s="143" t="s">
        <v>205</v>
      </c>
      <c r="F6" s="143"/>
      <c r="G6" s="143"/>
      <c r="H6" s="143"/>
    </row>
    <row r="7" spans="1:10" ht="15" customHeight="1" x14ac:dyDescent="0.25">
      <c r="A7" s="143" t="s">
        <v>5</v>
      </c>
      <c r="B7" s="143"/>
      <c r="C7" s="143"/>
      <c r="D7" s="143"/>
      <c r="E7" s="143" t="str">
        <f>E6</f>
        <v>Om Sai Builders &amp; Developers</v>
      </c>
      <c r="F7" s="143"/>
      <c r="G7" s="143"/>
      <c r="H7" s="143"/>
    </row>
    <row r="8" spans="1:10" x14ac:dyDescent="0.25">
      <c r="A8" s="143" t="s">
        <v>6</v>
      </c>
      <c r="B8" s="143"/>
      <c r="C8" s="143"/>
      <c r="D8" s="143"/>
      <c r="E8" s="147" t="s">
        <v>176</v>
      </c>
      <c r="F8" s="147"/>
      <c r="G8" s="147"/>
      <c r="H8" s="147"/>
    </row>
    <row r="9" spans="1:10" x14ac:dyDescent="0.25">
      <c r="A9" s="143" t="s">
        <v>173</v>
      </c>
      <c r="B9" s="143"/>
      <c r="C9" s="143"/>
      <c r="D9" s="143"/>
      <c r="E9" s="143" t="s">
        <v>221</v>
      </c>
      <c r="F9" s="143"/>
      <c r="G9" s="143"/>
      <c r="H9" s="143"/>
    </row>
    <row r="10" spans="1:10" x14ac:dyDescent="0.25">
      <c r="A10" s="143" t="s">
        <v>174</v>
      </c>
      <c r="B10" s="143"/>
      <c r="C10" s="143"/>
      <c r="D10" s="143"/>
      <c r="E10" s="163" t="s">
        <v>224</v>
      </c>
      <c r="F10" s="143"/>
      <c r="G10" s="143"/>
      <c r="H10" s="143"/>
      <c r="J10" s="18" t="s">
        <v>215</v>
      </c>
    </row>
    <row r="11" spans="1:10" x14ac:dyDescent="0.25">
      <c r="A11" s="143" t="s">
        <v>7</v>
      </c>
      <c r="B11" s="143"/>
      <c r="C11" s="143"/>
      <c r="D11" s="143"/>
      <c r="E11" s="143" t="s">
        <v>189</v>
      </c>
      <c r="F11" s="143"/>
      <c r="G11" s="143"/>
      <c r="H11" s="143"/>
    </row>
    <row r="12" spans="1:10" x14ac:dyDescent="0.25">
      <c r="A12" s="106" t="s">
        <v>8</v>
      </c>
      <c r="B12" s="106"/>
      <c r="C12" s="106"/>
      <c r="D12" s="106"/>
      <c r="E12" s="163" t="s">
        <v>177</v>
      </c>
      <c r="F12" s="163"/>
      <c r="G12" s="163"/>
      <c r="H12" s="163"/>
    </row>
    <row r="13" spans="1:10" x14ac:dyDescent="0.25">
      <c r="A13" s="106" t="s">
        <v>9</v>
      </c>
      <c r="B13" s="106"/>
      <c r="C13" s="106"/>
      <c r="D13" s="106"/>
      <c r="E13" s="163" t="s">
        <v>222</v>
      </c>
      <c r="F13" s="143"/>
      <c r="G13" s="143"/>
      <c r="H13" s="143"/>
    </row>
    <row r="14" spans="1:10" ht="48.75" customHeight="1" x14ac:dyDescent="0.25">
      <c r="A14" s="163" t="s">
        <v>10</v>
      </c>
      <c r="B14" s="163"/>
      <c r="C14" s="16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 City, Survey No.2/5/A, 3/1/B, 3/1/C, 3/1/D, 3/1/E, 3/8/KH &amp; 4/1, Part Of 5/2, near Sarvoday School Nilje, Kalyan-Shilphata Road, Nilje, Nilje, Dombivli (East), Kalyan, Thane - 421204.</v>
      </c>
      <c r="D14" s="163"/>
      <c r="E14" s="163"/>
      <c r="F14" s="163"/>
      <c r="G14" s="163"/>
      <c r="H14" s="163"/>
    </row>
    <row r="15" spans="1:10" x14ac:dyDescent="0.25">
      <c r="A15" s="163" t="s">
        <v>178</v>
      </c>
      <c r="B15" s="163"/>
      <c r="C15" s="163" t="s">
        <v>225</v>
      </c>
      <c r="D15" s="163"/>
      <c r="E15" s="163"/>
      <c r="F15" s="163"/>
      <c r="G15" s="163"/>
      <c r="H15" s="163"/>
    </row>
    <row r="16" spans="1:10" ht="15.75" customHeight="1" x14ac:dyDescent="0.25">
      <c r="A16" s="163" t="s">
        <v>168</v>
      </c>
      <c r="B16" s="163"/>
      <c r="C16" s="163" t="s">
        <v>183</v>
      </c>
      <c r="D16" s="163"/>
      <c r="E16" s="163"/>
      <c r="F16" s="163"/>
      <c r="G16" s="163"/>
      <c r="H16" s="163"/>
    </row>
    <row r="17" spans="1:8" ht="15.75" customHeight="1" x14ac:dyDescent="0.25">
      <c r="A17" s="163" t="s">
        <v>11</v>
      </c>
      <c r="B17" s="163"/>
      <c r="C17" s="143" t="s">
        <v>182</v>
      </c>
      <c r="D17" s="143"/>
      <c r="E17" s="163" t="s">
        <v>74</v>
      </c>
      <c r="F17" s="163"/>
      <c r="G17" s="163" t="s">
        <v>183</v>
      </c>
      <c r="H17" s="163"/>
    </row>
    <row r="18" spans="1:8" x14ac:dyDescent="0.25">
      <c r="A18" s="143" t="s">
        <v>13</v>
      </c>
      <c r="B18" s="143"/>
      <c r="C18" s="163" t="s">
        <v>213</v>
      </c>
      <c r="D18" s="163"/>
      <c r="E18" s="163" t="s">
        <v>12</v>
      </c>
      <c r="F18" s="163"/>
      <c r="G18" s="180" t="s">
        <v>180</v>
      </c>
      <c r="H18" s="180"/>
    </row>
    <row r="19" spans="1:8" x14ac:dyDescent="0.25">
      <c r="A19" s="143" t="s">
        <v>75</v>
      </c>
      <c r="B19" s="143"/>
      <c r="C19" s="163" t="s">
        <v>179</v>
      </c>
      <c r="D19" s="163"/>
      <c r="E19" s="163" t="s">
        <v>14</v>
      </c>
      <c r="F19" s="163"/>
      <c r="G19" s="163">
        <v>421204</v>
      </c>
      <c r="H19" s="163"/>
    </row>
    <row r="20" spans="1:8" ht="32.25" customHeight="1" x14ac:dyDescent="0.25">
      <c r="A20" s="143" t="s">
        <v>126</v>
      </c>
      <c r="B20" s="143"/>
      <c r="C20" s="163" t="s">
        <v>184</v>
      </c>
      <c r="D20" s="163"/>
      <c r="E20" s="163" t="s">
        <v>15</v>
      </c>
      <c r="F20" s="163"/>
      <c r="G20" s="163" t="s">
        <v>185</v>
      </c>
      <c r="H20" s="163"/>
    </row>
    <row r="21" spans="1:8" ht="15" customHeight="1" x14ac:dyDescent="0.25">
      <c r="A21" s="127" t="s">
        <v>78</v>
      </c>
      <c r="B21" s="127"/>
      <c r="C21" s="127"/>
      <c r="D21" s="127"/>
      <c r="E21" s="143" t="s">
        <v>16</v>
      </c>
      <c r="F21" s="143"/>
      <c r="G21" s="143"/>
      <c r="H21" s="143"/>
    </row>
    <row r="22" spans="1:8" ht="18.75" customHeight="1" x14ac:dyDescent="0.25">
      <c r="A22" s="127"/>
      <c r="B22" s="127"/>
      <c r="C22" s="127"/>
      <c r="D22" s="127"/>
      <c r="E22" s="143"/>
      <c r="F22" s="143"/>
      <c r="G22" s="143"/>
      <c r="H22" s="143"/>
    </row>
    <row r="23" spans="1:8" ht="15" customHeight="1" x14ac:dyDescent="0.25">
      <c r="A23" s="127" t="s">
        <v>17</v>
      </c>
      <c r="B23" s="127"/>
      <c r="C23" s="127"/>
      <c r="D23" s="127"/>
      <c r="E23" s="163" t="s">
        <v>18</v>
      </c>
      <c r="F23" s="163"/>
      <c r="G23" s="163"/>
      <c r="H23" s="163"/>
    </row>
    <row r="24" spans="1:8" ht="15" customHeight="1" x14ac:dyDescent="0.25">
      <c r="A24" s="106" t="s">
        <v>19</v>
      </c>
      <c r="B24" s="106"/>
      <c r="C24" s="106"/>
      <c r="D24" s="106"/>
      <c r="E24" s="163" t="str">
        <f>IF(AND(G18="Mumbai"),"Upper Class","Middle Class")</f>
        <v>Middle Class</v>
      </c>
      <c r="F24" s="163"/>
      <c r="G24" s="163"/>
      <c r="H24" s="163"/>
    </row>
    <row r="25" spans="1:8" x14ac:dyDescent="0.25">
      <c r="A25" s="106" t="s">
        <v>20</v>
      </c>
      <c r="B25" s="106"/>
      <c r="C25" s="106"/>
      <c r="D25" s="106"/>
      <c r="E25" s="163" t="s">
        <v>21</v>
      </c>
      <c r="F25" s="163"/>
      <c r="G25" s="163"/>
      <c r="H25" s="163"/>
    </row>
    <row r="26" spans="1:8" ht="15.75" customHeight="1" x14ac:dyDescent="0.25">
      <c r="A26" s="106" t="s">
        <v>22</v>
      </c>
      <c r="B26" s="106"/>
      <c r="C26" s="106"/>
      <c r="D26" s="106"/>
      <c r="E26" s="163" t="str">
        <f>IF(AND(G18="Mumbai"),"Developed","Developing")</f>
        <v>Developing</v>
      </c>
      <c r="F26" s="163"/>
      <c r="G26" s="163"/>
      <c r="H26" s="163"/>
    </row>
    <row r="27" spans="1:8" x14ac:dyDescent="0.25">
      <c r="A27" s="106" t="s">
        <v>23</v>
      </c>
      <c r="B27" s="106"/>
      <c r="C27" s="106"/>
      <c r="D27" s="106"/>
      <c r="E27" s="163" t="s">
        <v>24</v>
      </c>
      <c r="F27" s="163"/>
      <c r="G27" s="163"/>
      <c r="H27" s="163"/>
    </row>
    <row r="28" spans="1:8" ht="15.75" customHeight="1" x14ac:dyDescent="0.25">
      <c r="A28" s="106" t="s">
        <v>83</v>
      </c>
      <c r="B28" s="106"/>
      <c r="C28" s="106"/>
      <c r="D28" s="106"/>
      <c r="E28" s="163" t="s">
        <v>84</v>
      </c>
      <c r="F28" s="163"/>
      <c r="G28" s="163"/>
      <c r="H28" s="163"/>
    </row>
    <row r="29" spans="1:8" ht="15" customHeight="1" x14ac:dyDescent="0.25">
      <c r="A29" s="106" t="s">
        <v>32</v>
      </c>
      <c r="B29" s="106"/>
      <c r="C29" s="106"/>
      <c r="D29" s="106"/>
      <c r="E29" s="16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63"/>
      <c r="G29" s="163"/>
      <c r="H29" s="163"/>
    </row>
    <row r="30" spans="1:8" ht="15.75" customHeight="1" x14ac:dyDescent="0.25">
      <c r="A30" s="106" t="s">
        <v>94</v>
      </c>
      <c r="B30" s="106"/>
      <c r="C30" s="106"/>
      <c r="D30" s="106"/>
      <c r="E30" s="163" t="s">
        <v>33</v>
      </c>
      <c r="F30" s="163"/>
      <c r="G30" s="163"/>
      <c r="H30" s="163"/>
    </row>
    <row r="31" spans="1:8" s="19" customFormat="1" x14ac:dyDescent="0.25">
      <c r="A31" s="179" t="s">
        <v>95</v>
      </c>
      <c r="B31" s="179"/>
      <c r="C31" s="124" t="s">
        <v>249</v>
      </c>
      <c r="D31" s="124"/>
      <c r="E31" s="124"/>
      <c r="F31" s="124" t="s">
        <v>30</v>
      </c>
      <c r="G31" s="124"/>
      <c r="H31" s="124"/>
    </row>
    <row r="32" spans="1:8" s="19" customFormat="1" x14ac:dyDescent="0.25">
      <c r="A32" s="158" t="s">
        <v>25</v>
      </c>
      <c r="B32" s="158" t="s">
        <v>29</v>
      </c>
      <c r="C32" s="159" t="s">
        <v>250</v>
      </c>
      <c r="D32" s="159"/>
      <c r="E32" s="159"/>
      <c r="F32" s="159" t="s">
        <v>186</v>
      </c>
      <c r="G32" s="159"/>
      <c r="H32" s="159"/>
    </row>
    <row r="33" spans="1:8" x14ac:dyDescent="0.25">
      <c r="A33" s="158" t="s">
        <v>26</v>
      </c>
      <c r="B33" s="158" t="s">
        <v>29</v>
      </c>
      <c r="C33" s="159" t="s">
        <v>251</v>
      </c>
      <c r="D33" s="159"/>
      <c r="E33" s="159"/>
      <c r="F33" s="159" t="s">
        <v>187</v>
      </c>
      <c r="G33" s="159"/>
      <c r="H33" s="159"/>
    </row>
    <row r="34" spans="1:8" s="19" customFormat="1" x14ac:dyDescent="0.25">
      <c r="A34" s="158" t="s">
        <v>28</v>
      </c>
      <c r="B34" s="158" t="s">
        <v>29</v>
      </c>
      <c r="C34" s="159" t="s">
        <v>253</v>
      </c>
      <c r="D34" s="159"/>
      <c r="E34" s="159"/>
      <c r="F34" s="159" t="s">
        <v>182</v>
      </c>
      <c r="G34" s="159"/>
      <c r="H34" s="159"/>
    </row>
    <row r="35" spans="1:8" x14ac:dyDescent="0.25">
      <c r="A35" s="158" t="s">
        <v>27</v>
      </c>
      <c r="B35" s="158" t="s">
        <v>29</v>
      </c>
      <c r="C35" s="159" t="s">
        <v>252</v>
      </c>
      <c r="D35" s="159"/>
      <c r="E35" s="159"/>
      <c r="F35" s="159" t="s">
        <v>206</v>
      </c>
      <c r="G35" s="159"/>
      <c r="H35" s="159"/>
    </row>
    <row r="36" spans="1:8" x14ac:dyDescent="0.25">
      <c r="A36" s="106" t="s">
        <v>31</v>
      </c>
      <c r="B36" s="106"/>
      <c r="C36" s="106"/>
      <c r="D36" s="106"/>
      <c r="E36" s="106"/>
      <c r="F36" s="106"/>
      <c r="G36" s="106"/>
      <c r="H36" s="106"/>
    </row>
    <row r="37" spans="1:8" ht="15.75" customHeight="1" x14ac:dyDescent="0.25">
      <c r="A37" s="106" t="s">
        <v>171</v>
      </c>
      <c r="B37" s="106"/>
      <c r="C37" s="161" t="s">
        <v>216</v>
      </c>
      <c r="D37" s="161"/>
      <c r="E37" s="161"/>
      <c r="F37" s="161"/>
      <c r="G37" s="161"/>
      <c r="H37" s="161"/>
    </row>
    <row r="38" spans="1:8" x14ac:dyDescent="0.25">
      <c r="A38" s="106" t="s">
        <v>167</v>
      </c>
      <c r="B38" s="106"/>
      <c r="C38" s="162" t="s">
        <v>181</v>
      </c>
      <c r="D38" s="163"/>
      <c r="E38" s="163"/>
      <c r="F38" s="163"/>
      <c r="G38" s="163"/>
      <c r="H38" s="163"/>
    </row>
    <row r="39" spans="1:8" x14ac:dyDescent="0.25">
      <c r="A39" s="147" t="s">
        <v>34</v>
      </c>
      <c r="B39" s="147"/>
      <c r="C39" s="147"/>
      <c r="D39" s="147"/>
      <c r="E39" s="147"/>
      <c r="F39" s="147"/>
      <c r="G39" s="147"/>
      <c r="H39" s="147"/>
    </row>
    <row r="40" spans="1:8" x14ac:dyDescent="0.25">
      <c r="A40" s="143" t="s">
        <v>35</v>
      </c>
      <c r="B40" s="143"/>
      <c r="C40" s="143"/>
      <c r="D40" s="143"/>
      <c r="E40" s="160">
        <v>7135.98</v>
      </c>
      <c r="F40" s="160"/>
      <c r="G40" s="160"/>
      <c r="H40" s="160"/>
    </row>
    <row r="41" spans="1:8" x14ac:dyDescent="0.25">
      <c r="A41" s="143" t="s">
        <v>36</v>
      </c>
      <c r="B41" s="143"/>
      <c r="C41" s="143"/>
      <c r="D41" s="143"/>
      <c r="E41" s="144">
        <v>1.1000000000000001</v>
      </c>
      <c r="F41" s="144"/>
      <c r="G41" s="144"/>
      <c r="H41" s="144"/>
    </row>
    <row r="42" spans="1:8" x14ac:dyDescent="0.25">
      <c r="A42" s="143" t="s">
        <v>37</v>
      </c>
      <c r="B42" s="143"/>
      <c r="C42" s="143"/>
      <c r="D42" s="143"/>
      <c r="E42" s="144">
        <f>E44/E40-E41</f>
        <v>2.5994862653763042</v>
      </c>
      <c r="F42" s="144"/>
      <c r="G42" s="144"/>
      <c r="H42" s="144"/>
    </row>
    <row r="43" spans="1:8" x14ac:dyDescent="0.25">
      <c r="A43" s="143" t="s">
        <v>38</v>
      </c>
      <c r="B43" s="143"/>
      <c r="C43" s="143"/>
      <c r="D43" s="143"/>
      <c r="E43" s="144">
        <f>E41+E42</f>
        <v>3.6994862653763043</v>
      </c>
      <c r="F43" s="144"/>
      <c r="G43" s="144"/>
      <c r="H43" s="144"/>
    </row>
    <row r="44" spans="1:8" x14ac:dyDescent="0.25">
      <c r="A44" s="143" t="s">
        <v>93</v>
      </c>
      <c r="B44" s="143"/>
      <c r="C44" s="143"/>
      <c r="D44" s="143"/>
      <c r="E44" s="145">
        <v>26399.46</v>
      </c>
      <c r="F44" s="145"/>
      <c r="G44" s="145"/>
      <c r="H44" s="145"/>
    </row>
    <row r="45" spans="1:8" x14ac:dyDescent="0.25">
      <c r="A45" s="143" t="s">
        <v>39</v>
      </c>
      <c r="B45" s="143"/>
      <c r="C45" s="143"/>
      <c r="D45" s="143"/>
      <c r="E45" s="143" t="s">
        <v>125</v>
      </c>
      <c r="F45" s="143"/>
      <c r="G45" s="143"/>
      <c r="H45" s="143"/>
    </row>
    <row r="46" spans="1:8" x14ac:dyDescent="0.25">
      <c r="A46" s="161" t="s">
        <v>40</v>
      </c>
      <c r="B46" s="161"/>
      <c r="C46" s="161"/>
      <c r="D46" s="161"/>
      <c r="E46" s="161"/>
      <c r="F46" s="161"/>
      <c r="G46" s="161"/>
      <c r="H46" s="161"/>
    </row>
    <row r="47" spans="1:8" ht="33.75" customHeight="1" x14ac:dyDescent="0.25">
      <c r="A47" s="153" t="s">
        <v>155</v>
      </c>
      <c r="B47" s="154"/>
      <c r="C47" s="155" t="s">
        <v>207</v>
      </c>
      <c r="D47" s="156"/>
      <c r="E47" s="156"/>
      <c r="F47" s="156"/>
      <c r="G47" s="156"/>
      <c r="H47" s="157"/>
    </row>
    <row r="48" spans="1:8" x14ac:dyDescent="0.25">
      <c r="A48" s="177" t="s">
        <v>41</v>
      </c>
      <c r="B48" s="178"/>
      <c r="C48" s="177" t="s">
        <v>242</v>
      </c>
      <c r="D48" s="210"/>
      <c r="E48" s="178"/>
      <c r="F48" s="85" t="s">
        <v>42</v>
      </c>
      <c r="G48" s="168">
        <v>45663</v>
      </c>
      <c r="H48" s="178"/>
    </row>
    <row r="49" spans="1:14" x14ac:dyDescent="0.25">
      <c r="A49" s="177" t="s">
        <v>43</v>
      </c>
      <c r="B49" s="178"/>
      <c r="C49" s="177" t="s">
        <v>242</v>
      </c>
      <c r="D49" s="210"/>
      <c r="E49" s="178"/>
      <c r="F49" s="85" t="s">
        <v>42</v>
      </c>
      <c r="G49" s="168">
        <f>G48</f>
        <v>45663</v>
      </c>
      <c r="H49" s="169"/>
    </row>
    <row r="50" spans="1:14" s="20" customFormat="1" ht="32.25" customHeight="1" x14ac:dyDescent="0.25">
      <c r="A50" s="170" t="s">
        <v>214</v>
      </c>
      <c r="B50" s="171"/>
      <c r="C50" s="153" t="s">
        <v>226</v>
      </c>
      <c r="D50" s="199"/>
      <c r="E50" s="154"/>
      <c r="F50" s="17" t="s">
        <v>42</v>
      </c>
      <c r="G50" s="211">
        <v>45663</v>
      </c>
      <c r="H50" s="212"/>
    </row>
    <row r="51" spans="1:14" s="20" customFormat="1" ht="17.100000000000001" customHeight="1" x14ac:dyDescent="0.25">
      <c r="A51" s="172"/>
      <c r="B51" s="173"/>
      <c r="C51" s="153" t="s">
        <v>243</v>
      </c>
      <c r="D51" s="199"/>
      <c r="E51" s="199"/>
      <c r="F51" s="199"/>
      <c r="G51" s="199"/>
      <c r="H51" s="154"/>
    </row>
    <row r="52" spans="1:14" x14ac:dyDescent="0.25">
      <c r="A52" s="174" t="s">
        <v>44</v>
      </c>
      <c r="B52" s="175"/>
      <c r="C52" s="174" t="s">
        <v>107</v>
      </c>
      <c r="D52" s="176"/>
      <c r="E52" s="175"/>
      <c r="F52" s="39" t="s">
        <v>42</v>
      </c>
      <c r="G52" s="197" t="s">
        <v>29</v>
      </c>
      <c r="H52" s="198"/>
    </row>
    <row r="53" spans="1:14" x14ac:dyDescent="0.25">
      <c r="A53" s="188" t="s">
        <v>46</v>
      </c>
      <c r="B53" s="188"/>
      <c r="C53" s="188"/>
      <c r="D53" s="188"/>
      <c r="E53" s="188"/>
      <c r="F53" s="188"/>
      <c r="G53" s="188"/>
      <c r="H53" s="188"/>
    </row>
    <row r="54" spans="1:14" ht="31.5" customHeight="1" x14ac:dyDescent="0.25">
      <c r="A54" s="127" t="s">
        <v>244</v>
      </c>
      <c r="B54" s="127"/>
      <c r="C54" s="127"/>
      <c r="D54" s="213">
        <v>16560.900000000001</v>
      </c>
      <c r="E54" s="106"/>
      <c r="F54" s="106"/>
      <c r="G54" s="106"/>
      <c r="H54" s="106"/>
    </row>
    <row r="55" spans="1:14" x14ac:dyDescent="0.25">
      <c r="A55" s="163" t="s">
        <v>47</v>
      </c>
      <c r="B55" s="143"/>
      <c r="C55" s="143"/>
      <c r="D55" s="223" t="s">
        <v>241</v>
      </c>
      <c r="E55" s="223"/>
      <c r="F55" s="223"/>
      <c r="G55" s="223"/>
      <c r="H55" s="223"/>
      <c r="I55" s="21"/>
    </row>
    <row r="56" spans="1:14" x14ac:dyDescent="0.25">
      <c r="A56" s="165" t="s">
        <v>48</v>
      </c>
      <c r="B56" s="166"/>
      <c r="C56" s="167"/>
      <c r="D56" s="150" t="s">
        <v>254</v>
      </c>
      <c r="E56" s="164"/>
      <c r="F56" s="164"/>
      <c r="G56" s="164"/>
      <c r="H56" s="164"/>
    </row>
    <row r="57" spans="1:14" ht="15.75" customHeight="1" x14ac:dyDescent="0.25">
      <c r="A57" s="165" t="s">
        <v>91</v>
      </c>
      <c r="B57" s="166"/>
      <c r="C57" s="166"/>
      <c r="D57" s="150" t="s">
        <v>254</v>
      </c>
      <c r="E57" s="164"/>
      <c r="F57" s="164"/>
      <c r="G57" s="164"/>
      <c r="H57" s="164"/>
    </row>
    <row r="58" spans="1:14" ht="15.75" customHeight="1" x14ac:dyDescent="0.25">
      <c r="A58" s="106" t="s">
        <v>45</v>
      </c>
      <c r="B58" s="106"/>
      <c r="C58" s="106"/>
      <c r="D58" s="127" t="s">
        <v>188</v>
      </c>
      <c r="E58" s="127"/>
      <c r="F58" s="127"/>
      <c r="G58" s="127"/>
      <c r="H58" s="127"/>
      <c r="J58" s="22"/>
      <c r="K58" s="21"/>
      <c r="N58" s="21"/>
    </row>
    <row r="59" spans="1:14" ht="15.75" customHeight="1" x14ac:dyDescent="0.25">
      <c r="A59" s="106" t="s">
        <v>89</v>
      </c>
      <c r="B59" s="106"/>
      <c r="C59" s="106"/>
      <c r="D59" s="141" t="str">
        <f>(IF(G52="NA","60 Years After Completion",IF(G52&lt;&gt;"NA",""&amp;60-ROUNDDOWN((E3-G52)/360,0)&amp;" Years"," ")))</f>
        <v>60 Years After Completion</v>
      </c>
      <c r="E59" s="141"/>
      <c r="F59" s="141"/>
      <c r="G59" s="141"/>
      <c r="H59" s="141"/>
      <c r="N59" s="21"/>
    </row>
    <row r="60" spans="1:14" ht="15.75" customHeight="1" x14ac:dyDescent="0.25">
      <c r="A60" s="106" t="s">
        <v>90</v>
      </c>
      <c r="B60" s="106"/>
      <c r="C60" s="106"/>
      <c r="D60" s="127" t="s">
        <v>24</v>
      </c>
      <c r="E60" s="127"/>
      <c r="F60" s="127"/>
      <c r="G60" s="127"/>
      <c r="H60" s="127"/>
      <c r="J60" s="23"/>
      <c r="K60" s="23"/>
    </row>
    <row r="61" spans="1:14" x14ac:dyDescent="0.25">
      <c r="A61" s="106" t="s">
        <v>76</v>
      </c>
      <c r="B61" s="106"/>
      <c r="C61" s="106"/>
      <c r="D61" s="163" t="s">
        <v>204</v>
      </c>
      <c r="E61" s="127"/>
      <c r="F61" s="127"/>
      <c r="G61" s="127"/>
      <c r="H61" s="127"/>
    </row>
    <row r="62" spans="1:14" x14ac:dyDescent="0.25">
      <c r="A62" s="127" t="s">
        <v>152</v>
      </c>
      <c r="B62" s="127"/>
      <c r="C62" s="127"/>
      <c r="D62" s="127" t="s">
        <v>29</v>
      </c>
      <c r="E62" s="127"/>
      <c r="F62" s="127"/>
      <c r="G62" s="127"/>
      <c r="H62" s="127"/>
      <c r="I62" s="24"/>
      <c r="J62" s="24"/>
      <c r="K62" s="24"/>
      <c r="L62" s="24"/>
      <c r="M62" s="24"/>
      <c r="N62" s="24"/>
    </row>
    <row r="63" spans="1:14" ht="15.75" customHeight="1" x14ac:dyDescent="0.25">
      <c r="A63" s="152" t="s">
        <v>88</v>
      </c>
      <c r="B63" s="152"/>
      <c r="C63" s="152"/>
      <c r="D63" s="150" t="str">
        <f>(IF(G69&gt;95%,"Nothing",IF(G69&gt;0%,"Cement, Aggregate, Steel, etc",IF(G69=0%,"Work not yet Started"))))</f>
        <v>Cement, Aggregate, Steel, etc</v>
      </c>
      <c r="E63" s="150"/>
      <c r="F63" s="150"/>
      <c r="G63" s="150"/>
      <c r="H63" s="150"/>
      <c r="J63" s="23"/>
    </row>
    <row r="64" spans="1:14" ht="33.75" customHeight="1" thickBot="1" x14ac:dyDescent="0.3">
      <c r="A64" s="127" t="s">
        <v>120</v>
      </c>
      <c r="B64" s="127"/>
      <c r="C64" s="127"/>
      <c r="D64" s="163" t="str">
        <f>(IF(D63="Nothing","Yes",IF(D63="Cement, Aggregate, Steel, etc","Under Construction",IF(D63="Work not yet Started","Work not yet Started"))))</f>
        <v>Under Construction</v>
      </c>
      <c r="E64" s="163"/>
      <c r="F64" s="163" t="str">
        <f>(IF(D63="Nothing","Yes",IF(D63="Cement, Aggregate, Steel, etc","Under Construction",IF(D63="Work not yet Started","Work not yet Started"))))</f>
        <v>Under Construction</v>
      </c>
      <c r="G64" s="163"/>
      <c r="H64" s="163"/>
    </row>
    <row r="65" spans="1:13" x14ac:dyDescent="0.25">
      <c r="A65" s="148" t="s">
        <v>144</v>
      </c>
      <c r="B65" s="148"/>
      <c r="C65" s="148" t="str">
        <f>D57</f>
        <v>Wing A = Gr/St + 2P +2nd to 22nd Floor</v>
      </c>
      <c r="D65" s="148"/>
      <c r="E65" s="148"/>
      <c r="F65" s="148"/>
      <c r="G65" s="148"/>
      <c r="H65" s="148"/>
      <c r="I65" s="68" t="str">
        <f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20 Floor, Flooring upto 15 Floor, Painting upto 5 Floor Completed</v>
      </c>
      <c r="J65" s="41" t="str">
        <f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20 Floor, Flooring upto 15 Floor, Painting upto 5 Floor</v>
      </c>
    </row>
    <row r="66" spans="1:13" x14ac:dyDescent="0.25">
      <c r="A66" s="15" t="s">
        <v>146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73</v>
      </c>
      <c r="D66" s="48">
        <v>1</v>
      </c>
      <c r="E66" s="48" t="s">
        <v>72</v>
      </c>
      <c r="F66" s="48">
        <v>1</v>
      </c>
      <c r="G66" s="48" t="s">
        <v>82</v>
      </c>
      <c r="H66" s="16">
        <v>22</v>
      </c>
      <c r="I66" s="42" t="str">
        <f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3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3" customHeight="1" x14ac:dyDescent="0.25">
      <c r="A67" s="146" t="s">
        <v>92</v>
      </c>
      <c r="B67" s="147"/>
      <c r="C67" s="148" t="str">
        <f>I65</f>
        <v>Excavation, Plinth, RCC Slab, Brickwork, Internal Plaster Completed, External Plaster upto 20 Floor, Flooring upto 15 Floor, Painting upto 5 Floor Completed</v>
      </c>
      <c r="D67" s="148"/>
      <c r="E67" s="148"/>
      <c r="F67" s="148"/>
      <c r="G67" s="148"/>
      <c r="H67" s="149"/>
      <c r="I67" s="42" t="str">
        <f>IF(I66&lt;&gt;""," Completed","")</f>
        <v xml:space="preserve"> Completed</v>
      </c>
      <c r="J67" s="43" t="str">
        <f>IF(J65&lt;&gt;"","Completed","")</f>
        <v>Completed</v>
      </c>
    </row>
    <row r="68" spans="1:13" ht="15.75" customHeight="1" x14ac:dyDescent="0.25">
      <c r="A68" s="137" t="s">
        <v>49</v>
      </c>
      <c r="B68" s="138"/>
      <c r="C68" s="51" t="s">
        <v>143</v>
      </c>
      <c r="D68" s="51" t="s">
        <v>85</v>
      </c>
      <c r="E68" s="138" t="s">
        <v>87</v>
      </c>
      <c r="F68" s="138"/>
      <c r="G68" s="138" t="s">
        <v>86</v>
      </c>
      <c r="H68" s="151"/>
      <c r="I68" s="13" t="s">
        <v>145</v>
      </c>
      <c r="J68" s="25">
        <f>H66*25%</f>
        <v>5.5</v>
      </c>
    </row>
    <row r="69" spans="1:13" x14ac:dyDescent="0.25">
      <c r="A69" s="137" t="s">
        <v>132</v>
      </c>
      <c r="B69" s="138"/>
      <c r="C69" s="51">
        <f>J70</f>
        <v>22</v>
      </c>
      <c r="D69" s="52">
        <f>((100/H66)*C69)/100</f>
        <v>1.0000000000000002</v>
      </c>
      <c r="E69" s="128">
        <f>(((C70/H66*10)+(40/(D66+F66+H66)*C71)+(7.5/(H66)*C72)+(7.5/(H66)*C73)+(10/H66*C74)+(10/H66*C75)+(5/H66*C76)+(5/H66*C77)+(5/H66*C78))/100)</f>
        <v>0.82045454545454544</v>
      </c>
      <c r="F69" s="129"/>
      <c r="G69" s="128">
        <f>((((C69/H66)*20)+((C70/H66)*25)+(30/(H66+F66+D66)*C71)+(5/H66*C72)+(5/H66*C73)+(5/H66*C74)+(5/H66*C75)+(0/H66*C76)+(0/H66*C77)+(5/H66*C78))/100)</f>
        <v>0.92954545454545456</v>
      </c>
      <c r="H69" s="134"/>
      <c r="I69" s="13" t="s">
        <v>102</v>
      </c>
      <c r="J69" s="26">
        <f>H66*50%</f>
        <v>11</v>
      </c>
    </row>
    <row r="70" spans="1:13" x14ac:dyDescent="0.25">
      <c r="A70" s="137" t="s">
        <v>50</v>
      </c>
      <c r="B70" s="138"/>
      <c r="C70" s="53">
        <f>J78</f>
        <v>22</v>
      </c>
      <c r="D70" s="52">
        <f>((100/H66)*C70)/100</f>
        <v>1.0000000000000002</v>
      </c>
      <c r="E70" s="130"/>
      <c r="F70" s="131"/>
      <c r="G70" s="130"/>
      <c r="H70" s="135"/>
      <c r="I70" s="13" t="s">
        <v>103</v>
      </c>
      <c r="J70" s="26">
        <f>H66</f>
        <v>22</v>
      </c>
    </row>
    <row r="71" spans="1:13" ht="15.75" customHeight="1" x14ac:dyDescent="0.25">
      <c r="A71" s="137" t="s">
        <v>133</v>
      </c>
      <c r="B71" s="138"/>
      <c r="C71" s="51">
        <v>24</v>
      </c>
      <c r="D71" s="52">
        <f>((100/(D66+F66+H66))*C71)/100</f>
        <v>1</v>
      </c>
      <c r="E71" s="130"/>
      <c r="F71" s="131"/>
      <c r="G71" s="130"/>
      <c r="H71" s="135"/>
      <c r="I71" s="13" t="s">
        <v>104</v>
      </c>
      <c r="J71" s="27">
        <f>(IF(B66&gt;1,(H66/(B66+2)),H66/4))</f>
        <v>5.5</v>
      </c>
    </row>
    <row r="72" spans="1:13" ht="15.75" customHeight="1" x14ac:dyDescent="0.25">
      <c r="A72" s="137" t="s">
        <v>140</v>
      </c>
      <c r="B72" s="138" t="s">
        <v>134</v>
      </c>
      <c r="C72" s="51">
        <v>22</v>
      </c>
      <c r="D72" s="52">
        <f>((100/H66)*C72)/100</f>
        <v>1.0000000000000002</v>
      </c>
      <c r="E72" s="130"/>
      <c r="F72" s="131"/>
      <c r="G72" s="130"/>
      <c r="H72" s="135"/>
      <c r="I72" s="13" t="s">
        <v>105</v>
      </c>
      <c r="J72" s="27">
        <f>(IF(B66&gt;1,(H66/(B66+2)+J71),H66/4+J71))</f>
        <v>11</v>
      </c>
    </row>
    <row r="73" spans="1:13" ht="15.75" customHeight="1" x14ac:dyDescent="0.25">
      <c r="A73" s="137" t="s">
        <v>141</v>
      </c>
      <c r="B73" s="138" t="s">
        <v>134</v>
      </c>
      <c r="C73" s="51">
        <v>22</v>
      </c>
      <c r="D73" s="52">
        <f>((100/H66)*C73)/100</f>
        <v>1.0000000000000002</v>
      </c>
      <c r="E73" s="130"/>
      <c r="F73" s="131"/>
      <c r="G73" s="130"/>
      <c r="H73" s="135"/>
      <c r="I73" s="13" t="s">
        <v>150</v>
      </c>
      <c r="J73" s="27">
        <f>(IF(B66&gt;1,(H66/(B66+2)+J72),0))</f>
        <v>0</v>
      </c>
      <c r="L73" s="18">
        <f>2+21</f>
        <v>23</v>
      </c>
    </row>
    <row r="74" spans="1:13" ht="15" customHeight="1" x14ac:dyDescent="0.25">
      <c r="A74" s="137" t="s">
        <v>139</v>
      </c>
      <c r="B74" s="138" t="s">
        <v>136</v>
      </c>
      <c r="C74" s="51">
        <v>20</v>
      </c>
      <c r="D74" s="52">
        <f>((100/(H66))*C74)/100</f>
        <v>0.90909090909090917</v>
      </c>
      <c r="E74" s="130"/>
      <c r="F74" s="131"/>
      <c r="G74" s="130"/>
      <c r="H74" s="135"/>
      <c r="I74" s="13" t="s">
        <v>147</v>
      </c>
      <c r="J74" s="27">
        <f>(IF(B66&gt;2,(H66/(B66+2)+J73),0))</f>
        <v>0</v>
      </c>
    </row>
    <row r="75" spans="1:13" ht="15.75" customHeight="1" x14ac:dyDescent="0.25">
      <c r="A75" s="137" t="s">
        <v>135</v>
      </c>
      <c r="B75" s="138" t="s">
        <v>135</v>
      </c>
      <c r="C75" s="51">
        <v>15</v>
      </c>
      <c r="D75" s="52">
        <f>((100/H66)*C75)/100</f>
        <v>0.68181818181818188</v>
      </c>
      <c r="E75" s="130"/>
      <c r="F75" s="131"/>
      <c r="G75" s="130"/>
      <c r="H75" s="135"/>
      <c r="I75" s="13" t="s">
        <v>148</v>
      </c>
      <c r="J75" s="28">
        <f>(IF(B66&gt;3,(H66/(B66+2)+J74),0))</f>
        <v>0</v>
      </c>
    </row>
    <row r="76" spans="1:13" ht="15.75" customHeight="1" x14ac:dyDescent="0.25">
      <c r="A76" s="137" t="s">
        <v>142</v>
      </c>
      <c r="B76" s="138"/>
      <c r="C76" s="51">
        <v>5</v>
      </c>
      <c r="D76" s="52">
        <f>((100/H66)*C76)/100</f>
        <v>0.22727272727272729</v>
      </c>
      <c r="E76" s="130"/>
      <c r="F76" s="131"/>
      <c r="G76" s="130"/>
      <c r="H76" s="135"/>
      <c r="I76" s="13" t="s">
        <v>149</v>
      </c>
      <c r="J76" s="27">
        <f>(IF(B66&gt;4,(H66/(B66+2)+J75),0))</f>
        <v>0</v>
      </c>
    </row>
    <row r="77" spans="1:13" ht="15.75" customHeight="1" x14ac:dyDescent="0.25">
      <c r="A77" s="137" t="s">
        <v>137</v>
      </c>
      <c r="B77" s="138" t="s">
        <v>137</v>
      </c>
      <c r="C77" s="51">
        <v>0</v>
      </c>
      <c r="D77" s="52">
        <f>((100/(H66))*C77)/100</f>
        <v>0</v>
      </c>
      <c r="E77" s="130"/>
      <c r="F77" s="131"/>
      <c r="G77" s="130"/>
      <c r="H77" s="135"/>
      <c r="I77" s="13" t="s">
        <v>151</v>
      </c>
      <c r="J77" s="27">
        <f>(IF(B66=1,(H66/(B66+3)+J72),IF(B66=0,(H66/4+J72),IF(B66&gt;1,0))))</f>
        <v>16.5</v>
      </c>
    </row>
    <row r="78" spans="1:13" ht="16.5" thickBot="1" x14ac:dyDescent="0.3">
      <c r="A78" s="139" t="s">
        <v>138</v>
      </c>
      <c r="B78" s="140"/>
      <c r="C78" s="54">
        <v>0</v>
      </c>
      <c r="D78" s="55">
        <f>((100/(H66))*C78)/100</f>
        <v>0</v>
      </c>
      <c r="E78" s="132"/>
      <c r="F78" s="133"/>
      <c r="G78" s="132"/>
      <c r="H78" s="136"/>
      <c r="I78" s="14" t="s">
        <v>106</v>
      </c>
      <c r="J78" s="29">
        <f>(IF(B66&gt;1.5,(H66/(B66+2)+J72+MAX(0,J73-J72)+MAX(0,J74-J73)+MAX(0,J75-J74)+MAX(0,J76-J75)+MAX(0,J77-J76)),IF(B66=1,(H66/(B66+3)+J77),IF(B66=0,H66/4+J77))))</f>
        <v>22</v>
      </c>
    </row>
    <row r="79" spans="1:13" x14ac:dyDescent="0.25">
      <c r="A79" s="142" t="s">
        <v>160</v>
      </c>
      <c r="B79" s="142"/>
      <c r="C79" s="142"/>
      <c r="D79" s="142"/>
      <c r="E79" s="142"/>
      <c r="F79" s="126" t="s">
        <v>165</v>
      </c>
      <c r="G79" s="126"/>
      <c r="H79" s="126"/>
    </row>
    <row r="80" spans="1:13" x14ac:dyDescent="0.25">
      <c r="A80" s="106" t="s">
        <v>163</v>
      </c>
      <c r="B80" s="106"/>
      <c r="C80" s="106"/>
      <c r="D80" s="106"/>
      <c r="E80" s="106"/>
      <c r="F80" s="209">
        <v>6000</v>
      </c>
      <c r="G80" s="209"/>
      <c r="H80" s="209"/>
      <c r="I80" s="66" t="s">
        <v>217</v>
      </c>
      <c r="J80" s="66"/>
      <c r="K80" s="66" t="s">
        <v>218</v>
      </c>
      <c r="L80" s="67">
        <v>45653</v>
      </c>
      <c r="M80" s="66" t="s">
        <v>219</v>
      </c>
    </row>
    <row r="81" spans="1:13" x14ac:dyDescent="0.25">
      <c r="A81" s="106" t="s">
        <v>162</v>
      </c>
      <c r="B81" s="106"/>
      <c r="C81" s="106"/>
      <c r="D81" s="106"/>
      <c r="E81" s="106"/>
      <c r="F81" s="123">
        <v>14000</v>
      </c>
      <c r="G81" s="123"/>
      <c r="H81" s="123"/>
    </row>
    <row r="82" spans="1:13" ht="18" customHeight="1" x14ac:dyDescent="0.25">
      <c r="A82" s="106" t="s">
        <v>164</v>
      </c>
      <c r="B82" s="106"/>
      <c r="C82" s="106"/>
      <c r="D82" s="106"/>
      <c r="E82" s="106"/>
      <c r="F82" s="123">
        <v>12000</v>
      </c>
      <c r="G82" s="123"/>
      <c r="H82" s="123"/>
    </row>
    <row r="83" spans="1:13" s="30" customFormat="1" hidden="1" x14ac:dyDescent="0.25">
      <c r="A83" s="106" t="s">
        <v>161</v>
      </c>
      <c r="B83" s="106"/>
      <c r="C83" s="106"/>
      <c r="D83" s="106"/>
      <c r="E83" s="106"/>
      <c r="F83" s="123"/>
      <c r="G83" s="123"/>
      <c r="H83" s="123"/>
    </row>
    <row r="84" spans="1:13" s="30" customFormat="1" x14ac:dyDescent="0.25">
      <c r="A84" s="106" t="s">
        <v>96</v>
      </c>
      <c r="B84" s="106"/>
      <c r="C84" s="106"/>
      <c r="D84" s="106"/>
      <c r="E84" s="106"/>
      <c r="F84" s="123">
        <v>250000</v>
      </c>
      <c r="G84" s="123"/>
      <c r="H84" s="123"/>
    </row>
    <row r="85" spans="1:13" s="30" customFormat="1" hidden="1" x14ac:dyDescent="0.25">
      <c r="A85" s="106" t="s">
        <v>97</v>
      </c>
      <c r="B85" s="106"/>
      <c r="C85" s="106"/>
      <c r="D85" s="106"/>
      <c r="E85" s="106"/>
      <c r="F85" s="123"/>
      <c r="G85" s="123"/>
      <c r="H85" s="123"/>
    </row>
    <row r="86" spans="1:13" s="30" customFormat="1" hidden="1" x14ac:dyDescent="0.25">
      <c r="A86" s="106" t="s">
        <v>166</v>
      </c>
      <c r="B86" s="106"/>
      <c r="C86" s="106"/>
      <c r="D86" s="106"/>
      <c r="E86" s="106"/>
      <c r="F86" s="123"/>
      <c r="G86" s="123"/>
      <c r="H86" s="123"/>
    </row>
    <row r="87" spans="1:13" s="30" customFormat="1" hidden="1" x14ac:dyDescent="0.25">
      <c r="A87" s="106" t="s">
        <v>98</v>
      </c>
      <c r="B87" s="106"/>
      <c r="C87" s="106"/>
      <c r="D87" s="106"/>
      <c r="E87" s="106"/>
      <c r="F87" s="123"/>
      <c r="G87" s="123"/>
      <c r="H87" s="123"/>
    </row>
    <row r="88" spans="1:13" s="30" customFormat="1" hidden="1" x14ac:dyDescent="0.25">
      <c r="A88" s="106" t="s">
        <v>99</v>
      </c>
      <c r="B88" s="106"/>
      <c r="C88" s="106"/>
      <c r="D88" s="106"/>
      <c r="E88" s="106"/>
      <c r="F88" s="123"/>
      <c r="G88" s="123"/>
      <c r="H88" s="123"/>
    </row>
    <row r="89" spans="1:13" s="30" customFormat="1" hidden="1" x14ac:dyDescent="0.25">
      <c r="A89" s="106" t="s">
        <v>100</v>
      </c>
      <c r="B89" s="106"/>
      <c r="C89" s="106"/>
      <c r="D89" s="106"/>
      <c r="E89" s="106"/>
      <c r="F89" s="123"/>
      <c r="G89" s="123"/>
      <c r="H89" s="123"/>
    </row>
    <row r="90" spans="1:13" s="30" customFormat="1" hidden="1" x14ac:dyDescent="0.25">
      <c r="A90" s="106" t="s">
        <v>101</v>
      </c>
      <c r="B90" s="106"/>
      <c r="C90" s="106"/>
      <c r="D90" s="106"/>
      <c r="E90" s="106"/>
      <c r="F90" s="123"/>
      <c r="G90" s="123"/>
      <c r="H90" s="123"/>
    </row>
    <row r="91" spans="1:13" x14ac:dyDescent="0.25">
      <c r="A91" s="106" t="s">
        <v>51</v>
      </c>
      <c r="B91" s="106"/>
      <c r="C91" s="106"/>
      <c r="D91" s="106"/>
      <c r="E91" s="106"/>
      <c r="F91" s="123">
        <v>300000</v>
      </c>
      <c r="G91" s="123"/>
      <c r="H91" s="123"/>
    </row>
    <row r="92" spans="1:13" s="31" customFormat="1" x14ac:dyDescent="0.25">
      <c r="A92" s="161" t="s">
        <v>52</v>
      </c>
      <c r="B92" s="161"/>
      <c r="C92" s="161"/>
      <c r="D92" s="161"/>
      <c r="E92" s="161"/>
      <c r="F92" s="123">
        <f>F80*0.8</f>
        <v>4800</v>
      </c>
      <c r="G92" s="123"/>
      <c r="H92" s="123"/>
      <c r="J92" s="56" t="s">
        <v>212</v>
      </c>
      <c r="K92" s="57" t="s">
        <v>211</v>
      </c>
      <c r="L92" s="34" t="s">
        <v>114</v>
      </c>
      <c r="M92" s="63" t="s">
        <v>193</v>
      </c>
    </row>
    <row r="93" spans="1:13" s="32" customFormat="1" ht="15.75" customHeight="1" x14ac:dyDescent="0.25">
      <c r="A93" s="186" t="s">
        <v>77</v>
      </c>
      <c r="B93" s="186"/>
      <c r="C93" s="186"/>
      <c r="D93" s="186"/>
      <c r="E93" s="186"/>
      <c r="F93" s="186"/>
      <c r="G93" s="186"/>
      <c r="H93" s="186"/>
      <c r="J93" s="61">
        <f>7000000/F136</f>
        <v>16550.63606813443</v>
      </c>
      <c r="K93" s="58"/>
      <c r="L93" s="59">
        <f>3200000/F194</f>
        <v>5778.1779165985026</v>
      </c>
      <c r="M93" s="59">
        <f>3000000/F151</f>
        <v>8012.9607396334559</v>
      </c>
    </row>
    <row r="94" spans="1:13" s="32" customFormat="1" ht="15.75" customHeight="1" x14ac:dyDescent="0.25">
      <c r="A94" s="125" t="s">
        <v>53</v>
      </c>
      <c r="B94" s="125"/>
      <c r="C94" s="122" t="s">
        <v>80</v>
      </c>
      <c r="D94" s="122"/>
      <c r="E94" s="205" t="s">
        <v>54</v>
      </c>
      <c r="F94" s="205"/>
      <c r="G94" s="125" t="s">
        <v>55</v>
      </c>
      <c r="H94" s="125"/>
      <c r="K94" s="58"/>
      <c r="L94" s="59">
        <f>3900000/F195</f>
        <v>5581.0049380731698</v>
      </c>
    </row>
    <row r="95" spans="1:13" s="32" customFormat="1" x14ac:dyDescent="0.25">
      <c r="A95" s="187" t="s">
        <v>190</v>
      </c>
      <c r="B95" s="187"/>
      <c r="C95" s="108">
        <f>COUNT(D109:D123)</f>
        <v>15</v>
      </c>
      <c r="D95" s="109"/>
      <c r="E95" s="110">
        <f>SUM(F109:F123)</f>
        <v>3749.854679999999</v>
      </c>
      <c r="F95" s="111"/>
      <c r="G95" s="110">
        <f>SUM(H109:H123)</f>
        <v>5812.2747539999991</v>
      </c>
      <c r="H95" s="111"/>
      <c r="K95" s="58"/>
      <c r="L95" s="59">
        <f>3400000/F202</f>
        <v>5593.0536905189028</v>
      </c>
    </row>
    <row r="96" spans="1:13" s="32" customFormat="1" hidden="1" x14ac:dyDescent="0.25">
      <c r="A96" s="187" t="s">
        <v>202</v>
      </c>
      <c r="B96" s="187"/>
      <c r="C96" s="108">
        <f>COUNT(D144:D158)</f>
        <v>15</v>
      </c>
      <c r="D96" s="109"/>
      <c r="E96" s="110">
        <f>SUM(D144:D158)</f>
        <v>2716.2953999999991</v>
      </c>
      <c r="F96" s="111"/>
      <c r="G96" s="110">
        <f>SUM(F144:F158)</f>
        <v>4210.2578700000004</v>
      </c>
      <c r="H96" s="111"/>
      <c r="K96" s="33"/>
      <c r="L96" s="59">
        <f>4900000/F213</f>
        <v>5656.6773208452378</v>
      </c>
    </row>
    <row r="97" spans="1:20" s="32" customFormat="1" x14ac:dyDescent="0.25">
      <c r="A97" s="112" t="s">
        <v>154</v>
      </c>
      <c r="B97" s="112"/>
      <c r="C97" s="113">
        <f>SUM(C95:C96)</f>
        <v>30</v>
      </c>
      <c r="D97" s="114"/>
      <c r="E97" s="115">
        <f>SUM(E95:E96)</f>
        <v>6466.1500799999976</v>
      </c>
      <c r="F97" s="116"/>
      <c r="G97" s="115">
        <f>SUM(G95:G96)</f>
        <v>10022.532623999999</v>
      </c>
      <c r="H97" s="115"/>
      <c r="L97" s="59">
        <f>6500000/F212</f>
        <v>5753.558518408051</v>
      </c>
    </row>
    <row r="98" spans="1:20" s="32" customFormat="1" x14ac:dyDescent="0.25">
      <c r="A98" s="112" t="s">
        <v>71</v>
      </c>
      <c r="B98" s="112"/>
      <c r="C98" s="112"/>
      <c r="D98" s="112"/>
      <c r="E98" s="112"/>
      <c r="F98" s="112"/>
      <c r="G98" s="112"/>
      <c r="H98" s="112"/>
      <c r="L98" s="60">
        <f>AVERAGE(L93:L97)</f>
        <v>5672.4944768887735</v>
      </c>
    </row>
    <row r="99" spans="1:20" s="32" customFormat="1" ht="15.75" customHeight="1" x14ac:dyDescent="0.25">
      <c r="A99" s="115" t="s">
        <v>53</v>
      </c>
      <c r="B99" s="115"/>
      <c r="C99" s="114" t="s">
        <v>80</v>
      </c>
      <c r="D99" s="114"/>
      <c r="E99" s="116" t="s">
        <v>54</v>
      </c>
      <c r="F99" s="116"/>
      <c r="G99" s="115" t="s">
        <v>55</v>
      </c>
      <c r="H99" s="115"/>
    </row>
    <row r="100" spans="1:20" s="32" customFormat="1" x14ac:dyDescent="0.25">
      <c r="A100" s="187" t="s">
        <v>203</v>
      </c>
      <c r="B100" s="187"/>
      <c r="C100" s="110">
        <f>COUNT(F166:F175)+COUNT(F177:F187)*17</f>
        <v>197</v>
      </c>
      <c r="D100" s="110"/>
      <c r="E100" s="110">
        <f>SUM(F166:F175)+SUM(F177:F187)*17</f>
        <v>111485.97719999998</v>
      </c>
      <c r="F100" s="110"/>
      <c r="G100" s="110">
        <f>SUM(H166:H175)+SUM(H177:H187)*17</f>
        <v>167228.96579999995</v>
      </c>
      <c r="H100" s="110"/>
    </row>
    <row r="101" spans="1:20" s="32" customFormat="1" ht="16.5" thickBot="1" x14ac:dyDescent="0.3">
      <c r="A101" s="120" t="s">
        <v>154</v>
      </c>
      <c r="B101" s="120"/>
      <c r="C101" s="206">
        <f>SUM(C100)</f>
        <v>197</v>
      </c>
      <c r="D101" s="207"/>
      <c r="E101" s="107">
        <f>SUM(E100)</f>
        <v>111485.97719999998</v>
      </c>
      <c r="F101" s="121"/>
      <c r="G101" s="107">
        <f>SUM(G100)</f>
        <v>167228.96579999995</v>
      </c>
      <c r="H101" s="107"/>
    </row>
    <row r="102" spans="1:20" s="32" customFormat="1" ht="16.5" thickBot="1" x14ac:dyDescent="0.3">
      <c r="A102" s="200" t="s">
        <v>172</v>
      </c>
      <c r="B102" s="201"/>
      <c r="C102" s="202">
        <f>C97+C101</f>
        <v>227</v>
      </c>
      <c r="D102" s="202"/>
      <c r="E102" s="203">
        <f>E97+E101</f>
        <v>117952.12727999997</v>
      </c>
      <c r="F102" s="203"/>
      <c r="G102" s="203">
        <f>G97+G101</f>
        <v>177251.49842399993</v>
      </c>
      <c r="H102" s="204"/>
    </row>
    <row r="103" spans="1:20" s="31" customFormat="1" x14ac:dyDescent="0.25">
      <c r="A103" s="126" t="s">
        <v>56</v>
      </c>
      <c r="B103" s="126"/>
      <c r="C103" s="126"/>
      <c r="D103" s="126"/>
      <c r="E103" s="126"/>
      <c r="F103" s="126"/>
      <c r="G103" s="126"/>
      <c r="H103" s="126"/>
    </row>
    <row r="104" spans="1:20" x14ac:dyDescent="0.25">
      <c r="A104" s="124" t="s">
        <v>57</v>
      </c>
      <c r="B104" s="124"/>
      <c r="C104" s="124"/>
      <c r="D104" s="124"/>
      <c r="E104" s="124"/>
      <c r="F104" s="124"/>
      <c r="G104" s="124"/>
      <c r="H104" s="124"/>
    </row>
    <row r="105" spans="1:20" ht="47.25" customHeight="1" x14ac:dyDescent="0.25">
      <c r="A105" s="94" t="s">
        <v>238</v>
      </c>
      <c r="B105" s="94" t="s">
        <v>235</v>
      </c>
      <c r="C105" s="94" t="s">
        <v>58</v>
      </c>
      <c r="D105" s="94" t="s">
        <v>228</v>
      </c>
      <c r="E105" s="96" t="s">
        <v>237</v>
      </c>
      <c r="F105" s="94" t="s">
        <v>59</v>
      </c>
      <c r="G105" s="96" t="s">
        <v>60</v>
      </c>
      <c r="H105" s="76" t="s">
        <v>153</v>
      </c>
      <c r="T105" s="32"/>
    </row>
    <row r="106" spans="1:20" s="73" customFormat="1" x14ac:dyDescent="0.25">
      <c r="A106" s="95"/>
      <c r="B106" s="95"/>
      <c r="C106" s="95"/>
      <c r="D106" s="95"/>
      <c r="E106" s="97"/>
      <c r="F106" s="95"/>
      <c r="G106" s="97"/>
      <c r="H106" s="77">
        <v>0.55000000000000004</v>
      </c>
      <c r="T106" s="32"/>
    </row>
    <row r="107" spans="1:20" s="81" customFormat="1" x14ac:dyDescent="0.25">
      <c r="A107" s="90" t="s">
        <v>189</v>
      </c>
      <c r="B107" s="90"/>
      <c r="C107" s="90"/>
      <c r="D107" s="90"/>
      <c r="E107" s="90"/>
      <c r="F107" s="90"/>
      <c r="G107" s="90"/>
      <c r="H107" s="90"/>
      <c r="J107" s="33"/>
    </row>
    <row r="108" spans="1:20" s="73" customFormat="1" x14ac:dyDescent="0.25">
      <c r="A108" s="98" t="s">
        <v>236</v>
      </c>
      <c r="B108" s="99"/>
      <c r="C108" s="99"/>
      <c r="D108" s="99"/>
      <c r="E108" s="99"/>
      <c r="F108" s="99"/>
      <c r="G108" s="99"/>
      <c r="H108" s="100"/>
      <c r="J108" s="33"/>
      <c r="T108" s="32"/>
    </row>
    <row r="109" spans="1:20" s="73" customFormat="1" ht="15.75" customHeight="1" x14ac:dyDescent="0.25">
      <c r="A109" s="101">
        <v>1</v>
      </c>
      <c r="B109" s="102"/>
      <c r="C109" s="78" t="s">
        <v>190</v>
      </c>
      <c r="D109" s="79">
        <f>(24.92)*10.764</f>
        <v>268.23887999999999</v>
      </c>
      <c r="E109" s="47">
        <f>(0.7*2.95)*10.764</f>
        <v>22.227659999999997</v>
      </c>
      <c r="F109" s="78">
        <f t="shared" ref="F109:F123" si="0">D109+(IF(E109&lt;201,E109,IF(E109&lt;301,E109/2,E109/3)))</f>
        <v>290.46654000000001</v>
      </c>
      <c r="G109" s="80">
        <v>0</v>
      </c>
      <c r="H109" s="78">
        <f>(F109+(IF(G109&lt;101,G109,IF(G109&lt;201,G109/2,IF(G109&lt;=301,G109/3,G109/4)))))*(($H$106)+1)</f>
        <v>450.22313700000001</v>
      </c>
      <c r="I109" s="222">
        <f>2.95*7.45+2.95</f>
        <v>24.927500000000002</v>
      </c>
      <c r="L109" s="89"/>
      <c r="M109" s="89"/>
      <c r="N109" s="33"/>
      <c r="T109" s="32"/>
    </row>
    <row r="110" spans="1:20" s="73" customFormat="1" ht="15.75" customHeight="1" x14ac:dyDescent="0.25">
      <c r="A110" s="87">
        <f t="shared" ref="A110:A123" si="1">A109+1</f>
        <v>2</v>
      </c>
      <c r="B110" s="88"/>
      <c r="C110" s="72" t="s">
        <v>190</v>
      </c>
      <c r="D110" s="47">
        <f>(21.54)*10.764</f>
        <v>231.85655999999997</v>
      </c>
      <c r="E110" s="47">
        <f>(0.7*2.55)*10.764</f>
        <v>19.213739999999994</v>
      </c>
      <c r="F110" s="72">
        <f t="shared" si="0"/>
        <v>251.07029999999997</v>
      </c>
      <c r="G110" s="72">
        <v>0</v>
      </c>
      <c r="H110" s="72">
        <f t="shared" ref="H110:H112" si="2">(F110+(IF(G110&lt;101,G110,IF(G110&lt;201,G110/2,IF(G110&lt;=301,G110/3,G110/4)))))*(($H$106)+1)</f>
        <v>389.15896499999997</v>
      </c>
      <c r="I110" s="33"/>
      <c r="L110" s="89"/>
      <c r="M110" s="89"/>
      <c r="N110" s="33"/>
      <c r="T110" s="31"/>
    </row>
    <row r="111" spans="1:20" s="73" customFormat="1" ht="15.75" customHeight="1" x14ac:dyDescent="0.25">
      <c r="A111" s="87">
        <f t="shared" si="1"/>
        <v>3</v>
      </c>
      <c r="B111" s="88"/>
      <c r="C111" s="72" t="s">
        <v>190</v>
      </c>
      <c r="D111" s="47">
        <f>(21.54)*10.764</f>
        <v>231.85655999999997</v>
      </c>
      <c r="E111" s="47">
        <f>(0.7*2.55)*10.764</f>
        <v>19.213739999999994</v>
      </c>
      <c r="F111" s="72">
        <f t="shared" si="0"/>
        <v>251.07029999999997</v>
      </c>
      <c r="G111" s="72">
        <v>0</v>
      </c>
      <c r="H111" s="72">
        <f t="shared" si="2"/>
        <v>389.15896499999997</v>
      </c>
      <c r="I111" s="33"/>
      <c r="L111" s="89"/>
      <c r="M111" s="89"/>
      <c r="N111" s="33"/>
      <c r="T111" s="18"/>
    </row>
    <row r="112" spans="1:20" s="73" customFormat="1" ht="15.75" customHeight="1" x14ac:dyDescent="0.25">
      <c r="A112" s="87">
        <f t="shared" si="1"/>
        <v>4</v>
      </c>
      <c r="B112" s="88"/>
      <c r="C112" s="72" t="s">
        <v>190</v>
      </c>
      <c r="D112" s="47">
        <f>(21.54)*10.764</f>
        <v>231.85655999999997</v>
      </c>
      <c r="E112" s="47">
        <f>(0.7*2.55)*10.764</f>
        <v>19.213739999999994</v>
      </c>
      <c r="F112" s="72">
        <f t="shared" si="0"/>
        <v>251.07029999999997</v>
      </c>
      <c r="G112" s="72">
        <v>0</v>
      </c>
      <c r="H112" s="72">
        <f t="shared" si="2"/>
        <v>389.15896499999997</v>
      </c>
      <c r="I112" s="33"/>
      <c r="L112" s="89"/>
      <c r="M112" s="89"/>
      <c r="N112" s="33"/>
      <c r="T112" s="18"/>
    </row>
    <row r="113" spans="1:20" s="73" customFormat="1" ht="15.75" customHeight="1" x14ac:dyDescent="0.25">
      <c r="A113" s="87">
        <f t="shared" si="1"/>
        <v>5</v>
      </c>
      <c r="B113" s="88"/>
      <c r="C113" s="72" t="s">
        <v>190</v>
      </c>
      <c r="D113" s="47">
        <f>(19.02)*10.764</f>
        <v>204.73127999999997</v>
      </c>
      <c r="E113" s="47">
        <f>(0.7*2.55)*10.764</f>
        <v>19.213739999999994</v>
      </c>
      <c r="F113" s="72">
        <f t="shared" si="0"/>
        <v>223.94501999999997</v>
      </c>
      <c r="G113" s="72">
        <v>0</v>
      </c>
      <c r="H113" s="72">
        <f t="shared" ref="H113:H118" si="3">(F113+(IF(G113&lt;101,G113,IF(G113&lt;201,G113/2,IF(G113&lt;=301,G113/3,G113/4)))))*(($H$106)+1)</f>
        <v>347.11478099999999</v>
      </c>
      <c r="I113" s="33"/>
      <c r="L113" s="89"/>
      <c r="M113" s="89"/>
      <c r="N113" s="33"/>
      <c r="T113" s="31"/>
    </row>
    <row r="114" spans="1:20" s="73" customFormat="1" ht="15.75" customHeight="1" x14ac:dyDescent="0.25">
      <c r="A114" s="87">
        <f t="shared" si="1"/>
        <v>6</v>
      </c>
      <c r="B114" s="88"/>
      <c r="C114" s="72" t="s">
        <v>190</v>
      </c>
      <c r="D114" s="47">
        <f>(17)*10.764</f>
        <v>182.988</v>
      </c>
      <c r="E114" s="47">
        <f>(0.7*3)*10.764</f>
        <v>22.604399999999995</v>
      </c>
      <c r="F114" s="72">
        <f t="shared" si="0"/>
        <v>205.5924</v>
      </c>
      <c r="G114" s="72">
        <v>0</v>
      </c>
      <c r="H114" s="72">
        <f t="shared" si="3"/>
        <v>318.66822000000002</v>
      </c>
      <c r="I114" s="33"/>
      <c r="L114" s="89"/>
      <c r="M114" s="89"/>
      <c r="N114" s="33"/>
      <c r="T114" s="18"/>
    </row>
    <row r="115" spans="1:20" s="73" customFormat="1" ht="15.75" customHeight="1" x14ac:dyDescent="0.25">
      <c r="A115" s="87">
        <f t="shared" si="1"/>
        <v>7</v>
      </c>
      <c r="B115" s="88"/>
      <c r="C115" s="72" t="s">
        <v>190</v>
      </c>
      <c r="D115" s="47">
        <f>(21.94)*10.764</f>
        <v>236.16216</v>
      </c>
      <c r="E115" s="47">
        <f>(0.7*3.3)*10.764</f>
        <v>24.864839999999994</v>
      </c>
      <c r="F115" s="72">
        <f t="shared" si="0"/>
        <v>261.02699999999999</v>
      </c>
      <c r="G115" s="72">
        <v>0</v>
      </c>
      <c r="H115" s="72">
        <f t="shared" si="3"/>
        <v>404.59184999999997</v>
      </c>
      <c r="I115" s="33"/>
      <c r="L115" s="89"/>
      <c r="M115" s="89"/>
      <c r="N115" s="33"/>
      <c r="T115" s="18"/>
    </row>
    <row r="116" spans="1:20" s="73" customFormat="1" ht="15.75" customHeight="1" x14ac:dyDescent="0.25">
      <c r="A116" s="87">
        <f t="shared" si="1"/>
        <v>8</v>
      </c>
      <c r="B116" s="88"/>
      <c r="C116" s="72" t="s">
        <v>190</v>
      </c>
      <c r="D116" s="47">
        <f>(27.88)*10.764</f>
        <v>300.10031999999995</v>
      </c>
      <c r="E116" s="47">
        <f>(0.7*3.3)*10.764</f>
        <v>24.864839999999994</v>
      </c>
      <c r="F116" s="72">
        <f t="shared" si="0"/>
        <v>324.96515999999997</v>
      </c>
      <c r="G116" s="72">
        <v>0</v>
      </c>
      <c r="H116" s="72">
        <f t="shared" si="3"/>
        <v>503.69599799999997</v>
      </c>
      <c r="I116" s="33"/>
      <c r="L116" s="89"/>
      <c r="M116" s="89"/>
      <c r="N116" s="33"/>
      <c r="T116" s="31"/>
    </row>
    <row r="117" spans="1:20" s="73" customFormat="1" ht="15.75" customHeight="1" x14ac:dyDescent="0.25">
      <c r="A117" s="87">
        <f t="shared" si="1"/>
        <v>9</v>
      </c>
      <c r="B117" s="88"/>
      <c r="C117" s="72" t="s">
        <v>190</v>
      </c>
      <c r="D117" s="47">
        <f>(25.35)*10.764</f>
        <v>272.86739999999998</v>
      </c>
      <c r="E117" s="47">
        <f>(0.7*3)*10.764</f>
        <v>22.604399999999995</v>
      </c>
      <c r="F117" s="72">
        <f t="shared" si="0"/>
        <v>295.47179999999997</v>
      </c>
      <c r="G117" s="72">
        <v>0</v>
      </c>
      <c r="H117" s="72">
        <f t="shared" si="3"/>
        <v>457.98128999999994</v>
      </c>
      <c r="I117" s="33"/>
      <c r="L117" s="89"/>
      <c r="M117" s="89"/>
      <c r="N117" s="33"/>
      <c r="T117" s="18"/>
    </row>
    <row r="118" spans="1:20" s="73" customFormat="1" ht="15.75" customHeight="1" x14ac:dyDescent="0.25">
      <c r="A118" s="87">
        <f t="shared" si="1"/>
        <v>10</v>
      </c>
      <c r="B118" s="88"/>
      <c r="C118" s="72" t="s">
        <v>190</v>
      </c>
      <c r="D118" s="47">
        <f>(21.54)*10.764</f>
        <v>231.85655999999997</v>
      </c>
      <c r="E118" s="47">
        <f>(0.7*2.55)*10.764</f>
        <v>19.213739999999994</v>
      </c>
      <c r="F118" s="72">
        <f t="shared" si="0"/>
        <v>251.07029999999997</v>
      </c>
      <c r="G118" s="72">
        <v>0</v>
      </c>
      <c r="H118" s="72">
        <f t="shared" si="3"/>
        <v>389.15896499999997</v>
      </c>
      <c r="I118" s="33"/>
      <c r="L118" s="89"/>
      <c r="M118" s="89"/>
      <c r="N118" s="33"/>
      <c r="T118" s="18"/>
    </row>
    <row r="119" spans="1:20" s="73" customFormat="1" ht="15.75" customHeight="1" x14ac:dyDescent="0.25">
      <c r="A119" s="87">
        <f t="shared" si="1"/>
        <v>11</v>
      </c>
      <c r="B119" s="88"/>
      <c r="C119" s="72" t="s">
        <v>190</v>
      </c>
      <c r="D119" s="47">
        <f>(21.54)*10.764</f>
        <v>231.85655999999997</v>
      </c>
      <c r="E119" s="47">
        <f>(0.7*2.55)*10.764</f>
        <v>19.213739999999994</v>
      </c>
      <c r="F119" s="72">
        <f t="shared" si="0"/>
        <v>251.07029999999997</v>
      </c>
      <c r="G119" s="72">
        <v>0</v>
      </c>
      <c r="H119" s="72">
        <f t="shared" ref="H119:H121" si="4">(F119+(IF(G119&lt;101,G119,IF(G119&lt;201,G119/2,IF(G119&lt;=301,G119/3,G119/4)))))*(($H$106)+1)</f>
        <v>389.15896499999997</v>
      </c>
      <c r="I119" s="33"/>
      <c r="L119" s="89"/>
      <c r="M119" s="89"/>
      <c r="N119" s="33"/>
      <c r="T119" s="31"/>
    </row>
    <row r="120" spans="1:20" s="73" customFormat="1" ht="15.75" customHeight="1" x14ac:dyDescent="0.25">
      <c r="A120" s="87">
        <f t="shared" si="1"/>
        <v>12</v>
      </c>
      <c r="B120" s="88"/>
      <c r="C120" s="72" t="s">
        <v>190</v>
      </c>
      <c r="D120" s="47">
        <f>(21.54)*10.764</f>
        <v>231.85655999999997</v>
      </c>
      <c r="E120" s="47">
        <f>(0.7*2.55)*10.764</f>
        <v>19.213739999999994</v>
      </c>
      <c r="F120" s="72">
        <f t="shared" si="0"/>
        <v>251.07029999999997</v>
      </c>
      <c r="G120" s="72">
        <v>0</v>
      </c>
      <c r="H120" s="72">
        <f t="shared" si="4"/>
        <v>389.15896499999997</v>
      </c>
      <c r="I120" s="33"/>
      <c r="L120" s="89"/>
      <c r="M120" s="89"/>
      <c r="N120" s="33"/>
      <c r="T120" s="18"/>
    </row>
    <row r="121" spans="1:20" s="73" customFormat="1" ht="15.75" customHeight="1" x14ac:dyDescent="0.25">
      <c r="A121" s="87">
        <f t="shared" si="1"/>
        <v>13</v>
      </c>
      <c r="B121" s="88"/>
      <c r="C121" s="72" t="s">
        <v>190</v>
      </c>
      <c r="D121" s="47">
        <f>(21.54)*10.764</f>
        <v>231.85655999999997</v>
      </c>
      <c r="E121" s="47">
        <f>(0.7*2.55)*10.764</f>
        <v>19.213739999999994</v>
      </c>
      <c r="F121" s="72">
        <f t="shared" si="0"/>
        <v>251.07029999999997</v>
      </c>
      <c r="G121" s="72">
        <v>0</v>
      </c>
      <c r="H121" s="72">
        <f t="shared" si="4"/>
        <v>389.15896499999997</v>
      </c>
      <c r="I121" s="33"/>
      <c r="L121" s="89"/>
      <c r="M121" s="89"/>
      <c r="N121" s="33"/>
      <c r="T121" s="18"/>
    </row>
    <row r="122" spans="1:20" s="73" customFormat="1" ht="15.75" customHeight="1" x14ac:dyDescent="0.25">
      <c r="A122" s="87">
        <f t="shared" si="1"/>
        <v>14</v>
      </c>
      <c r="B122" s="88"/>
      <c r="C122" s="72" t="s">
        <v>190</v>
      </c>
      <c r="D122" s="47">
        <f>(25.35)*10.764</f>
        <v>272.86739999999998</v>
      </c>
      <c r="E122" s="47">
        <f>(0.7*3)*10.764</f>
        <v>22.604399999999995</v>
      </c>
      <c r="F122" s="72">
        <f t="shared" si="0"/>
        <v>295.47179999999997</v>
      </c>
      <c r="G122" s="72">
        <v>0</v>
      </c>
      <c r="H122" s="72">
        <f t="shared" ref="H122:H123" si="5">(F122+(IF(G122&lt;101,G122,IF(G122&lt;201,G122/2,IF(G122&lt;=301,G122/3,G122/4)))))*(($H$106)+1)</f>
        <v>457.98128999999994</v>
      </c>
      <c r="I122" s="33"/>
      <c r="L122" s="89"/>
      <c r="M122" s="89"/>
      <c r="N122" s="33"/>
      <c r="T122" s="18"/>
    </row>
    <row r="123" spans="1:20" s="73" customFormat="1" ht="15.75" customHeight="1" x14ac:dyDescent="0.25">
      <c r="A123" s="87">
        <f t="shared" si="1"/>
        <v>15</v>
      </c>
      <c r="B123" s="88"/>
      <c r="C123" s="72" t="s">
        <v>190</v>
      </c>
      <c r="D123" s="47">
        <f>(7.5)*10.764</f>
        <v>80.72999999999999</v>
      </c>
      <c r="E123" s="47">
        <f>(1.95*0.7)*10.764</f>
        <v>14.69286</v>
      </c>
      <c r="F123" s="72">
        <f t="shared" si="0"/>
        <v>95.422859999999986</v>
      </c>
      <c r="G123" s="72">
        <v>0</v>
      </c>
      <c r="H123" s="72">
        <f t="shared" si="5"/>
        <v>147.90543299999999</v>
      </c>
      <c r="I123" s="33"/>
      <c r="L123" s="89"/>
      <c r="M123" s="89"/>
      <c r="N123" s="33"/>
      <c r="T123" s="18"/>
    </row>
    <row r="124" spans="1:20" ht="47.25" hidden="1" customHeight="1" x14ac:dyDescent="0.25">
      <c r="A124" s="117" t="s">
        <v>122</v>
      </c>
      <c r="B124" s="117" t="s">
        <v>121</v>
      </c>
      <c r="C124" s="117" t="s">
        <v>58</v>
      </c>
      <c r="D124" s="117" t="s">
        <v>59</v>
      </c>
      <c r="E124" s="193" t="s">
        <v>159</v>
      </c>
      <c r="F124" s="74" t="s">
        <v>153</v>
      </c>
      <c r="G124" s="104" t="s">
        <v>61</v>
      </c>
      <c r="H124" s="195"/>
    </row>
    <row r="125" spans="1:20" s="34" customFormat="1" hidden="1" x14ac:dyDescent="0.25">
      <c r="A125" s="118"/>
      <c r="B125" s="118"/>
      <c r="C125" s="118"/>
      <c r="D125" s="118"/>
      <c r="E125" s="194"/>
      <c r="F125" s="75">
        <v>0.55000000000000004</v>
      </c>
      <c r="G125" s="105"/>
      <c r="H125" s="196"/>
    </row>
    <row r="126" spans="1:20" s="45" customFormat="1" hidden="1" x14ac:dyDescent="0.25">
      <c r="A126" s="90" t="s">
        <v>189</v>
      </c>
      <c r="B126" s="90"/>
      <c r="C126" s="90"/>
      <c r="D126" s="90"/>
      <c r="E126" s="90"/>
      <c r="F126" s="90"/>
      <c r="G126" s="90"/>
      <c r="H126" s="90"/>
      <c r="J126" s="33"/>
    </row>
    <row r="127" spans="1:20" s="34" customFormat="1" hidden="1" x14ac:dyDescent="0.25">
      <c r="A127" s="90" t="s">
        <v>191</v>
      </c>
      <c r="B127" s="90"/>
      <c r="C127" s="90"/>
      <c r="D127" s="90"/>
      <c r="E127" s="90"/>
      <c r="F127" s="90"/>
      <c r="G127" s="90"/>
      <c r="H127" s="90"/>
      <c r="J127" s="33"/>
    </row>
    <row r="128" spans="1:20" s="34" customFormat="1" hidden="1" x14ac:dyDescent="0.25">
      <c r="A128" s="119">
        <v>1</v>
      </c>
      <c r="B128" s="119"/>
      <c r="C128" s="44" t="s">
        <v>190</v>
      </c>
      <c r="D128" s="47">
        <f>(24.92)*10.764</f>
        <v>268.23887999999999</v>
      </c>
      <c r="E128" s="44">
        <v>0</v>
      </c>
      <c r="F128" s="44">
        <f>(D128+E128)*(($F$125)+1)</f>
        <v>415.770264</v>
      </c>
      <c r="G128" s="119" t="str">
        <f>A127</f>
        <v>Ground Floor For Entrance Lobby, Commercial, Fire Room, Driver Room, Meter Room &amp; Parking</v>
      </c>
      <c r="H128" s="119"/>
      <c r="I128" s="33">
        <f>2.95*8.6</f>
        <v>25.37</v>
      </c>
      <c r="J128" s="34">
        <f>2.95*7.45+1.65*1+1.2*0.9</f>
        <v>24.707500000000003</v>
      </c>
      <c r="K128" s="47">
        <v>10.763999999999999</v>
      </c>
      <c r="L128" s="89"/>
      <c r="M128" s="89"/>
      <c r="N128" s="33"/>
    </row>
    <row r="129" spans="1:14" s="34" customFormat="1" hidden="1" x14ac:dyDescent="0.25">
      <c r="A129" s="119">
        <f t="shared" ref="A129:A142" si="6">A128+1</f>
        <v>2</v>
      </c>
      <c r="B129" s="119"/>
      <c r="C129" s="44" t="s">
        <v>190</v>
      </c>
      <c r="D129" s="47">
        <f>(21.54)*10.764</f>
        <v>231.85655999999997</v>
      </c>
      <c r="E129" s="44">
        <v>0</v>
      </c>
      <c r="F129" s="44">
        <f t="shared" ref="F129:F131" si="7">(D129+E129)*(($F$125)+1)</f>
        <v>359.37766799999997</v>
      </c>
      <c r="G129" s="119" t="str">
        <f t="shared" ref="G129:G142" si="8">G128</f>
        <v>Ground Floor For Entrance Lobby, Commercial, Fire Room, Driver Room, Meter Room &amp; Parking</v>
      </c>
      <c r="H129" s="119"/>
      <c r="I129" s="33">
        <f>2.55*8.6</f>
        <v>21.929999999999996</v>
      </c>
      <c r="L129" s="89"/>
      <c r="M129" s="89"/>
      <c r="N129" s="33"/>
    </row>
    <row r="130" spans="1:14" s="34" customFormat="1" hidden="1" x14ac:dyDescent="0.25">
      <c r="A130" s="119">
        <f t="shared" si="6"/>
        <v>3</v>
      </c>
      <c r="B130" s="119"/>
      <c r="C130" s="44" t="s">
        <v>190</v>
      </c>
      <c r="D130" s="47">
        <f>(21.54)*10.764</f>
        <v>231.85655999999997</v>
      </c>
      <c r="E130" s="44">
        <v>0</v>
      </c>
      <c r="F130" s="44">
        <f t="shared" si="7"/>
        <v>359.37766799999997</v>
      </c>
      <c r="G130" s="119" t="str">
        <f t="shared" si="8"/>
        <v>Ground Floor For Entrance Lobby, Commercial, Fire Room, Driver Room, Meter Room &amp; Parking</v>
      </c>
      <c r="H130" s="119"/>
      <c r="I130" s="33"/>
      <c r="L130" s="89"/>
      <c r="M130" s="89"/>
      <c r="N130" s="33"/>
    </row>
    <row r="131" spans="1:14" s="34" customFormat="1" hidden="1" x14ac:dyDescent="0.25">
      <c r="A131" s="119">
        <f t="shared" si="6"/>
        <v>4</v>
      </c>
      <c r="B131" s="119"/>
      <c r="C131" s="44" t="s">
        <v>190</v>
      </c>
      <c r="D131" s="47">
        <f>(21.54)*10.764</f>
        <v>231.85655999999997</v>
      </c>
      <c r="E131" s="44">
        <v>0</v>
      </c>
      <c r="F131" s="44">
        <f t="shared" si="7"/>
        <v>359.37766799999997</v>
      </c>
      <c r="G131" s="119" t="str">
        <f t="shared" si="8"/>
        <v>Ground Floor For Entrance Lobby, Commercial, Fire Room, Driver Room, Meter Room &amp; Parking</v>
      </c>
      <c r="H131" s="119"/>
      <c r="I131" s="33"/>
      <c r="L131" s="89"/>
      <c r="M131" s="89"/>
      <c r="N131" s="33"/>
    </row>
    <row r="132" spans="1:14" s="45" customFormat="1" hidden="1" x14ac:dyDescent="0.25">
      <c r="A132" s="87">
        <f t="shared" si="6"/>
        <v>5</v>
      </c>
      <c r="B132" s="88"/>
      <c r="C132" s="44" t="s">
        <v>190</v>
      </c>
      <c r="D132" s="47">
        <f>(19.02)*10.764</f>
        <v>204.73127999999997</v>
      </c>
      <c r="E132" s="44">
        <v>0</v>
      </c>
      <c r="F132" s="44">
        <f t="shared" ref="F132:F137" si="9">(D132+E132)*(($F$125)+1)</f>
        <v>317.33348399999994</v>
      </c>
      <c r="G132" s="87" t="str">
        <f t="shared" si="8"/>
        <v>Ground Floor For Entrance Lobby, Commercial, Fire Room, Driver Room, Meter Room &amp; Parking</v>
      </c>
      <c r="H132" s="88"/>
      <c r="I132" s="33"/>
      <c r="L132" s="89"/>
      <c r="M132" s="89"/>
      <c r="N132" s="33"/>
    </row>
    <row r="133" spans="1:14" s="45" customFormat="1" hidden="1" x14ac:dyDescent="0.25">
      <c r="A133" s="87">
        <f t="shared" si="6"/>
        <v>6</v>
      </c>
      <c r="B133" s="88"/>
      <c r="C133" s="44" t="s">
        <v>190</v>
      </c>
      <c r="D133" s="47">
        <f>(17)*10.764</f>
        <v>182.988</v>
      </c>
      <c r="E133" s="44">
        <v>0</v>
      </c>
      <c r="F133" s="44">
        <f t="shared" si="9"/>
        <v>283.63139999999999</v>
      </c>
      <c r="G133" s="87" t="str">
        <f t="shared" si="8"/>
        <v>Ground Floor For Entrance Lobby, Commercial, Fire Room, Driver Room, Meter Room &amp; Parking</v>
      </c>
      <c r="H133" s="88"/>
      <c r="I133" s="33"/>
      <c r="L133" s="89"/>
      <c r="M133" s="89"/>
      <c r="N133" s="33"/>
    </row>
    <row r="134" spans="1:14" s="45" customFormat="1" hidden="1" x14ac:dyDescent="0.25">
      <c r="A134" s="87">
        <f t="shared" si="6"/>
        <v>7</v>
      </c>
      <c r="B134" s="88"/>
      <c r="C134" s="44" t="s">
        <v>190</v>
      </c>
      <c r="D134" s="47">
        <f>(21.94)*10.764</f>
        <v>236.16216</v>
      </c>
      <c r="E134" s="44">
        <v>0</v>
      </c>
      <c r="F134" s="44">
        <f t="shared" si="9"/>
        <v>366.05134800000002</v>
      </c>
      <c r="G134" s="87" t="str">
        <f t="shared" si="8"/>
        <v>Ground Floor For Entrance Lobby, Commercial, Fire Room, Driver Room, Meter Room &amp; Parking</v>
      </c>
      <c r="H134" s="88"/>
      <c r="I134" s="33"/>
      <c r="L134" s="89"/>
      <c r="M134" s="89"/>
      <c r="N134" s="33"/>
    </row>
    <row r="135" spans="1:14" s="45" customFormat="1" hidden="1" x14ac:dyDescent="0.25">
      <c r="A135" s="87">
        <f t="shared" si="6"/>
        <v>8</v>
      </c>
      <c r="B135" s="88"/>
      <c r="C135" s="44" t="s">
        <v>190</v>
      </c>
      <c r="D135" s="47">
        <f>(27.88)*10.764</f>
        <v>300.10031999999995</v>
      </c>
      <c r="E135" s="44">
        <v>0</v>
      </c>
      <c r="F135" s="44">
        <f t="shared" si="9"/>
        <v>465.15549599999991</v>
      </c>
      <c r="G135" s="87" t="str">
        <f t="shared" si="8"/>
        <v>Ground Floor For Entrance Lobby, Commercial, Fire Room, Driver Room, Meter Room &amp; Parking</v>
      </c>
      <c r="H135" s="88"/>
      <c r="I135" s="33"/>
      <c r="L135" s="89"/>
      <c r="M135" s="89"/>
      <c r="N135" s="33"/>
    </row>
    <row r="136" spans="1:14" s="45" customFormat="1" hidden="1" x14ac:dyDescent="0.25">
      <c r="A136" s="87">
        <f t="shared" si="6"/>
        <v>9</v>
      </c>
      <c r="B136" s="88"/>
      <c r="C136" s="44" t="s">
        <v>190</v>
      </c>
      <c r="D136" s="47">
        <f>(25.35)*10.764</f>
        <v>272.86739999999998</v>
      </c>
      <c r="E136" s="44">
        <v>0</v>
      </c>
      <c r="F136" s="44">
        <f t="shared" si="9"/>
        <v>422.94446999999997</v>
      </c>
      <c r="G136" s="87" t="str">
        <f t="shared" si="8"/>
        <v>Ground Floor For Entrance Lobby, Commercial, Fire Room, Driver Room, Meter Room &amp; Parking</v>
      </c>
      <c r="H136" s="88"/>
      <c r="I136" s="33"/>
      <c r="L136" s="89"/>
      <c r="M136" s="89"/>
      <c r="N136" s="33"/>
    </row>
    <row r="137" spans="1:14" s="45" customFormat="1" hidden="1" x14ac:dyDescent="0.25">
      <c r="A137" s="87">
        <f t="shared" si="6"/>
        <v>10</v>
      </c>
      <c r="B137" s="88"/>
      <c r="C137" s="44" t="s">
        <v>190</v>
      </c>
      <c r="D137" s="47">
        <f>(21.54)*10.764</f>
        <v>231.85655999999997</v>
      </c>
      <c r="E137" s="44">
        <v>0</v>
      </c>
      <c r="F137" s="44">
        <f t="shared" si="9"/>
        <v>359.37766799999997</v>
      </c>
      <c r="G137" s="87" t="str">
        <f t="shared" si="8"/>
        <v>Ground Floor For Entrance Lobby, Commercial, Fire Room, Driver Room, Meter Room &amp; Parking</v>
      </c>
      <c r="H137" s="88"/>
      <c r="I137" s="33"/>
      <c r="L137" s="89"/>
      <c r="M137" s="89"/>
      <c r="N137" s="33"/>
    </row>
    <row r="138" spans="1:14" s="45" customFormat="1" hidden="1" x14ac:dyDescent="0.25">
      <c r="A138" s="87">
        <f t="shared" si="6"/>
        <v>11</v>
      </c>
      <c r="B138" s="88"/>
      <c r="C138" s="44" t="s">
        <v>190</v>
      </c>
      <c r="D138" s="47">
        <f>(21.54)*10.764</f>
        <v>231.85655999999997</v>
      </c>
      <c r="E138" s="44">
        <v>0</v>
      </c>
      <c r="F138" s="44">
        <f t="shared" ref="F138:F140" si="10">(D138+E138)*(($F$125)+1)</f>
        <v>359.37766799999997</v>
      </c>
      <c r="G138" s="87" t="str">
        <f t="shared" si="8"/>
        <v>Ground Floor For Entrance Lobby, Commercial, Fire Room, Driver Room, Meter Room &amp; Parking</v>
      </c>
      <c r="H138" s="88"/>
      <c r="I138" s="33"/>
      <c r="L138" s="89"/>
      <c r="M138" s="89"/>
      <c r="N138" s="33"/>
    </row>
    <row r="139" spans="1:14" s="45" customFormat="1" hidden="1" x14ac:dyDescent="0.25">
      <c r="A139" s="87">
        <f t="shared" si="6"/>
        <v>12</v>
      </c>
      <c r="B139" s="88"/>
      <c r="C139" s="44" t="s">
        <v>190</v>
      </c>
      <c r="D139" s="47">
        <f>(21.54)*10.764</f>
        <v>231.85655999999997</v>
      </c>
      <c r="E139" s="44">
        <v>0</v>
      </c>
      <c r="F139" s="44">
        <f t="shared" si="10"/>
        <v>359.37766799999997</v>
      </c>
      <c r="G139" s="87" t="str">
        <f t="shared" si="8"/>
        <v>Ground Floor For Entrance Lobby, Commercial, Fire Room, Driver Room, Meter Room &amp; Parking</v>
      </c>
      <c r="H139" s="88"/>
      <c r="I139" s="33"/>
      <c r="L139" s="89"/>
      <c r="M139" s="89"/>
      <c r="N139" s="33"/>
    </row>
    <row r="140" spans="1:14" s="45" customFormat="1" hidden="1" x14ac:dyDescent="0.25">
      <c r="A140" s="87">
        <f t="shared" si="6"/>
        <v>13</v>
      </c>
      <c r="B140" s="88"/>
      <c r="C140" s="44" t="s">
        <v>190</v>
      </c>
      <c r="D140" s="47">
        <f>(21.54)*10.764</f>
        <v>231.85655999999997</v>
      </c>
      <c r="E140" s="44">
        <v>0</v>
      </c>
      <c r="F140" s="44">
        <f t="shared" si="10"/>
        <v>359.37766799999997</v>
      </c>
      <c r="G140" s="87" t="str">
        <f t="shared" si="8"/>
        <v>Ground Floor For Entrance Lobby, Commercial, Fire Room, Driver Room, Meter Room &amp; Parking</v>
      </c>
      <c r="H140" s="88"/>
      <c r="I140" s="33"/>
      <c r="L140" s="89"/>
      <c r="M140" s="89"/>
      <c r="N140" s="33"/>
    </row>
    <row r="141" spans="1:14" s="45" customFormat="1" hidden="1" x14ac:dyDescent="0.25">
      <c r="A141" s="87">
        <f t="shared" si="6"/>
        <v>14</v>
      </c>
      <c r="B141" s="88"/>
      <c r="C141" s="44" t="s">
        <v>190</v>
      </c>
      <c r="D141" s="47">
        <f>(25.35)*10.764</f>
        <v>272.86739999999998</v>
      </c>
      <c r="E141" s="44">
        <v>0</v>
      </c>
      <c r="F141" s="44">
        <f t="shared" ref="F141:F142" si="11">(D141+E141)*(($F$125)+1)</f>
        <v>422.94446999999997</v>
      </c>
      <c r="G141" s="87" t="str">
        <f t="shared" si="8"/>
        <v>Ground Floor For Entrance Lobby, Commercial, Fire Room, Driver Room, Meter Room &amp; Parking</v>
      </c>
      <c r="H141" s="88"/>
      <c r="I141" s="33"/>
      <c r="L141" s="89"/>
      <c r="M141" s="89"/>
      <c r="N141" s="33"/>
    </row>
    <row r="142" spans="1:14" s="45" customFormat="1" hidden="1" x14ac:dyDescent="0.25">
      <c r="A142" s="87">
        <f t="shared" si="6"/>
        <v>15</v>
      </c>
      <c r="B142" s="88"/>
      <c r="C142" s="44" t="s">
        <v>190</v>
      </c>
      <c r="D142" s="47">
        <f>(7.5)*10.764</f>
        <v>80.72999999999999</v>
      </c>
      <c r="E142" s="44">
        <v>0</v>
      </c>
      <c r="F142" s="44">
        <f t="shared" si="11"/>
        <v>125.13149999999999</v>
      </c>
      <c r="G142" s="87" t="str">
        <f t="shared" si="8"/>
        <v>Ground Floor For Entrance Lobby, Commercial, Fire Room, Driver Room, Meter Room &amp; Parking</v>
      </c>
      <c r="H142" s="88"/>
      <c r="I142" s="33"/>
      <c r="L142" s="89"/>
      <c r="M142" s="89"/>
      <c r="N142" s="33"/>
    </row>
    <row r="143" spans="1:14" s="45" customFormat="1" hidden="1" x14ac:dyDescent="0.25">
      <c r="A143" s="214" t="s">
        <v>192</v>
      </c>
      <c r="B143" s="215"/>
      <c r="C143" s="215"/>
      <c r="D143" s="215"/>
      <c r="E143" s="215"/>
      <c r="F143" s="215"/>
      <c r="G143" s="215"/>
      <c r="H143" s="216"/>
      <c r="J143" s="33" t="s">
        <v>208</v>
      </c>
    </row>
    <row r="144" spans="1:14" s="45" customFormat="1" hidden="1" x14ac:dyDescent="0.25">
      <c r="A144" s="87">
        <v>1</v>
      </c>
      <c r="B144" s="88"/>
      <c r="C144" s="44" t="s">
        <v>193</v>
      </c>
      <c r="D144" s="47">
        <f>(20.06)*10.764</f>
        <v>215.92583999999997</v>
      </c>
      <c r="E144" s="44">
        <v>0</v>
      </c>
      <c r="F144" s="44">
        <f>(D144+E144)*(($F$125)+1)</f>
        <v>334.68505199999993</v>
      </c>
      <c r="G144" s="87" t="str">
        <f>A143</f>
        <v>1st Floor For Commercial &amp; Parking</v>
      </c>
      <c r="H144" s="88"/>
      <c r="I144" s="33">
        <f>2.95*8.6</f>
        <v>25.37</v>
      </c>
      <c r="K144" s="47">
        <v>10.763999999999999</v>
      </c>
      <c r="L144" s="89"/>
      <c r="M144" s="89"/>
      <c r="N144" s="33"/>
    </row>
    <row r="145" spans="1:20" s="45" customFormat="1" hidden="1" x14ac:dyDescent="0.25">
      <c r="A145" s="87">
        <f t="shared" ref="A145:A158" si="12">A144+1</f>
        <v>2</v>
      </c>
      <c r="B145" s="88"/>
      <c r="C145" s="44" t="s">
        <v>193</v>
      </c>
      <c r="D145" s="47">
        <f>(17.34)*10.764</f>
        <v>186.64775999999998</v>
      </c>
      <c r="E145" s="44">
        <v>0</v>
      </c>
      <c r="F145" s="44">
        <f t="shared" ref="F145:F158" si="13">(D145+E145)*(($F$125)+1)</f>
        <v>289.30402799999996</v>
      </c>
      <c r="G145" s="87" t="str">
        <f t="shared" ref="G145:G158" si="14">G144</f>
        <v>1st Floor For Commercial &amp; Parking</v>
      </c>
      <c r="H145" s="88"/>
      <c r="I145" s="33">
        <f>2.55*8.6</f>
        <v>21.929999999999996</v>
      </c>
      <c r="L145" s="89"/>
      <c r="M145" s="89"/>
      <c r="N145" s="33"/>
    </row>
    <row r="146" spans="1:20" s="45" customFormat="1" hidden="1" x14ac:dyDescent="0.25">
      <c r="A146" s="87">
        <f t="shared" si="12"/>
        <v>3</v>
      </c>
      <c r="B146" s="88"/>
      <c r="C146" s="44" t="s">
        <v>193</v>
      </c>
      <c r="D146" s="47">
        <f>(17.34)*10.764</f>
        <v>186.64775999999998</v>
      </c>
      <c r="E146" s="44">
        <v>0</v>
      </c>
      <c r="F146" s="44">
        <f t="shared" si="13"/>
        <v>289.30402799999996</v>
      </c>
      <c r="G146" s="87" t="str">
        <f t="shared" si="14"/>
        <v>1st Floor For Commercial &amp; Parking</v>
      </c>
      <c r="H146" s="88"/>
      <c r="I146" s="33"/>
      <c r="L146" s="89"/>
      <c r="M146" s="89"/>
      <c r="N146" s="33"/>
    </row>
    <row r="147" spans="1:20" s="45" customFormat="1" hidden="1" x14ac:dyDescent="0.25">
      <c r="A147" s="87">
        <f t="shared" si="12"/>
        <v>4</v>
      </c>
      <c r="B147" s="88"/>
      <c r="C147" s="44" t="s">
        <v>193</v>
      </c>
      <c r="D147" s="47">
        <f>(17.34)*10.764</f>
        <v>186.64775999999998</v>
      </c>
      <c r="E147" s="44">
        <v>0</v>
      </c>
      <c r="F147" s="44">
        <f t="shared" si="13"/>
        <v>289.30402799999996</v>
      </c>
      <c r="G147" s="87" t="str">
        <f t="shared" si="14"/>
        <v>1st Floor For Commercial &amp; Parking</v>
      </c>
      <c r="H147" s="88"/>
      <c r="I147" s="33"/>
      <c r="L147" s="89"/>
      <c r="M147" s="89"/>
      <c r="N147" s="33"/>
    </row>
    <row r="148" spans="1:20" s="45" customFormat="1" hidden="1" x14ac:dyDescent="0.25">
      <c r="A148" s="87">
        <f t="shared" si="12"/>
        <v>5</v>
      </c>
      <c r="B148" s="88"/>
      <c r="C148" s="44" t="s">
        <v>193</v>
      </c>
      <c r="D148" s="47">
        <f>(14.82)*10.764</f>
        <v>159.52248</v>
      </c>
      <c r="E148" s="44">
        <v>0</v>
      </c>
      <c r="F148" s="44">
        <f t="shared" si="13"/>
        <v>247.25984400000002</v>
      </c>
      <c r="G148" s="87" t="str">
        <f t="shared" si="14"/>
        <v>1st Floor For Commercial &amp; Parking</v>
      </c>
      <c r="H148" s="88"/>
      <c r="I148" s="33"/>
      <c r="L148" s="89"/>
      <c r="M148" s="89"/>
      <c r="N148" s="33"/>
    </row>
    <row r="149" spans="1:20" s="45" customFormat="1" hidden="1" x14ac:dyDescent="0.25">
      <c r="A149" s="87">
        <f t="shared" si="12"/>
        <v>6</v>
      </c>
      <c r="B149" s="88"/>
      <c r="C149" s="44" t="s">
        <v>193</v>
      </c>
      <c r="D149" s="47">
        <f>(12.06)*10.764</f>
        <v>129.81384</v>
      </c>
      <c r="E149" s="44">
        <v>0</v>
      </c>
      <c r="F149" s="44">
        <f t="shared" si="13"/>
        <v>201.21145200000001</v>
      </c>
      <c r="G149" s="87" t="str">
        <f t="shared" si="14"/>
        <v>1st Floor For Commercial &amp; Parking</v>
      </c>
      <c r="H149" s="88"/>
      <c r="I149" s="33"/>
      <c r="L149" s="89"/>
      <c r="M149" s="89"/>
      <c r="N149" s="33"/>
    </row>
    <row r="150" spans="1:20" s="45" customFormat="1" hidden="1" x14ac:dyDescent="0.25">
      <c r="A150" s="87">
        <f t="shared" si="12"/>
        <v>7</v>
      </c>
      <c r="B150" s="88"/>
      <c r="C150" s="44" t="s">
        <v>193</v>
      </c>
      <c r="D150" s="47">
        <f>(16.5)*10.764</f>
        <v>177.60599999999999</v>
      </c>
      <c r="E150" s="44">
        <v>0</v>
      </c>
      <c r="F150" s="44">
        <f t="shared" si="13"/>
        <v>275.28930000000003</v>
      </c>
      <c r="G150" s="87" t="str">
        <f t="shared" si="14"/>
        <v>1st Floor For Commercial &amp; Parking</v>
      </c>
      <c r="H150" s="88"/>
      <c r="I150" s="33"/>
      <c r="L150" s="89"/>
      <c r="M150" s="89"/>
      <c r="N150" s="33"/>
    </row>
    <row r="151" spans="1:20" s="45" customFormat="1" hidden="1" x14ac:dyDescent="0.25">
      <c r="A151" s="87">
        <f t="shared" si="12"/>
        <v>8</v>
      </c>
      <c r="B151" s="88"/>
      <c r="C151" s="44" t="s">
        <v>193</v>
      </c>
      <c r="D151" s="47">
        <f>(22.44)*10.764</f>
        <v>241.54416000000001</v>
      </c>
      <c r="E151" s="44">
        <v>0</v>
      </c>
      <c r="F151" s="44">
        <f t="shared" si="13"/>
        <v>374.39344800000003</v>
      </c>
      <c r="G151" s="87" t="str">
        <f t="shared" si="14"/>
        <v>1st Floor For Commercial &amp; Parking</v>
      </c>
      <c r="H151" s="88"/>
      <c r="I151" s="33"/>
      <c r="L151" s="89"/>
      <c r="M151" s="89"/>
      <c r="N151" s="33"/>
    </row>
    <row r="152" spans="1:20" s="45" customFormat="1" hidden="1" x14ac:dyDescent="0.25">
      <c r="A152" s="87">
        <f t="shared" si="12"/>
        <v>9</v>
      </c>
      <c r="B152" s="88"/>
      <c r="C152" s="44" t="s">
        <v>193</v>
      </c>
      <c r="D152" s="47">
        <f>(20.4)*10.764</f>
        <v>219.58559999999997</v>
      </c>
      <c r="E152" s="44">
        <v>0</v>
      </c>
      <c r="F152" s="44">
        <f t="shared" si="13"/>
        <v>340.35767999999996</v>
      </c>
      <c r="G152" s="87" t="str">
        <f t="shared" si="14"/>
        <v>1st Floor For Commercial &amp; Parking</v>
      </c>
      <c r="H152" s="88"/>
      <c r="I152" s="33"/>
      <c r="L152" s="89"/>
      <c r="M152" s="89"/>
      <c r="N152" s="33"/>
    </row>
    <row r="153" spans="1:20" s="45" customFormat="1" hidden="1" x14ac:dyDescent="0.25">
      <c r="A153" s="87">
        <f t="shared" si="12"/>
        <v>10</v>
      </c>
      <c r="B153" s="88"/>
      <c r="C153" s="44" t="s">
        <v>193</v>
      </c>
      <c r="D153" s="47">
        <f>(17.34)*10.764</f>
        <v>186.64775999999998</v>
      </c>
      <c r="E153" s="44">
        <v>0</v>
      </c>
      <c r="F153" s="44">
        <f t="shared" si="13"/>
        <v>289.30402799999996</v>
      </c>
      <c r="G153" s="87" t="str">
        <f t="shared" si="14"/>
        <v>1st Floor For Commercial &amp; Parking</v>
      </c>
      <c r="H153" s="88"/>
      <c r="I153" s="33"/>
      <c r="L153" s="89"/>
      <c r="M153" s="89"/>
      <c r="N153" s="33"/>
    </row>
    <row r="154" spans="1:20" s="45" customFormat="1" hidden="1" x14ac:dyDescent="0.25">
      <c r="A154" s="87">
        <f t="shared" si="12"/>
        <v>11</v>
      </c>
      <c r="B154" s="88"/>
      <c r="C154" s="44" t="s">
        <v>193</v>
      </c>
      <c r="D154" s="47">
        <f>(17.34)*10.764</f>
        <v>186.64775999999998</v>
      </c>
      <c r="E154" s="44">
        <v>0</v>
      </c>
      <c r="F154" s="44">
        <f t="shared" si="13"/>
        <v>289.30402799999996</v>
      </c>
      <c r="G154" s="87" t="str">
        <f t="shared" si="14"/>
        <v>1st Floor For Commercial &amp; Parking</v>
      </c>
      <c r="H154" s="88"/>
      <c r="I154" s="33"/>
      <c r="L154" s="89"/>
      <c r="M154" s="89"/>
      <c r="N154" s="33"/>
    </row>
    <row r="155" spans="1:20" s="45" customFormat="1" hidden="1" x14ac:dyDescent="0.25">
      <c r="A155" s="87">
        <f t="shared" si="12"/>
        <v>12</v>
      </c>
      <c r="B155" s="88"/>
      <c r="C155" s="44" t="s">
        <v>193</v>
      </c>
      <c r="D155" s="47">
        <f>(17.34)*10.764</f>
        <v>186.64775999999998</v>
      </c>
      <c r="E155" s="44">
        <v>0</v>
      </c>
      <c r="F155" s="44">
        <f t="shared" si="13"/>
        <v>289.30402799999996</v>
      </c>
      <c r="G155" s="87" t="str">
        <f t="shared" si="14"/>
        <v>1st Floor For Commercial &amp; Parking</v>
      </c>
      <c r="H155" s="88"/>
      <c r="I155" s="33"/>
      <c r="L155" s="89"/>
      <c r="M155" s="89"/>
      <c r="N155" s="33"/>
    </row>
    <row r="156" spans="1:20" s="45" customFormat="1" hidden="1" x14ac:dyDescent="0.25">
      <c r="A156" s="87">
        <f t="shared" si="12"/>
        <v>13</v>
      </c>
      <c r="B156" s="88"/>
      <c r="C156" s="44" t="s">
        <v>193</v>
      </c>
      <c r="D156" s="47">
        <f>(17.34)*10.764</f>
        <v>186.64775999999998</v>
      </c>
      <c r="E156" s="44">
        <v>0</v>
      </c>
      <c r="F156" s="44">
        <f t="shared" si="13"/>
        <v>289.30402799999996</v>
      </c>
      <c r="G156" s="87" t="str">
        <f t="shared" si="14"/>
        <v>1st Floor For Commercial &amp; Parking</v>
      </c>
      <c r="H156" s="88"/>
      <c r="I156" s="33"/>
      <c r="L156" s="89"/>
      <c r="M156" s="89"/>
      <c r="N156" s="33"/>
    </row>
    <row r="157" spans="1:20" s="45" customFormat="1" hidden="1" x14ac:dyDescent="0.25">
      <c r="A157" s="87">
        <f t="shared" si="12"/>
        <v>14</v>
      </c>
      <c r="B157" s="88"/>
      <c r="C157" s="44" t="s">
        <v>193</v>
      </c>
      <c r="D157" s="47">
        <f>(20.4)*10.764</f>
        <v>219.58559999999997</v>
      </c>
      <c r="E157" s="44">
        <v>0</v>
      </c>
      <c r="F157" s="44">
        <f t="shared" si="13"/>
        <v>340.35767999999996</v>
      </c>
      <c r="G157" s="87" t="str">
        <f t="shared" si="14"/>
        <v>1st Floor For Commercial &amp; Parking</v>
      </c>
      <c r="H157" s="88"/>
      <c r="I157" s="33"/>
      <c r="L157" s="89"/>
      <c r="M157" s="89"/>
      <c r="N157" s="33"/>
    </row>
    <row r="158" spans="1:20" s="45" customFormat="1" hidden="1" x14ac:dyDescent="0.25">
      <c r="A158" s="87">
        <f t="shared" si="12"/>
        <v>15</v>
      </c>
      <c r="B158" s="88"/>
      <c r="C158" s="44" t="s">
        <v>193</v>
      </c>
      <c r="D158" s="47">
        <f>(4.29)*10.764</f>
        <v>46.17756</v>
      </c>
      <c r="E158" s="44">
        <v>0</v>
      </c>
      <c r="F158" s="44">
        <f t="shared" si="13"/>
        <v>71.575218000000007</v>
      </c>
      <c r="G158" s="87" t="str">
        <f t="shared" si="14"/>
        <v>1st Floor For Commercial &amp; Parking</v>
      </c>
      <c r="H158" s="88"/>
      <c r="I158" s="33"/>
      <c r="L158" s="89"/>
      <c r="M158" s="89"/>
      <c r="N158" s="33"/>
    </row>
    <row r="159" spans="1:20" s="34" customFormat="1" x14ac:dyDescent="0.25">
      <c r="A159" s="101"/>
      <c r="B159" s="103"/>
      <c r="C159" s="103"/>
      <c r="D159" s="103"/>
      <c r="E159" s="103"/>
      <c r="F159" s="103"/>
      <c r="G159" s="103"/>
      <c r="H159" s="102"/>
      <c r="I159" s="33"/>
      <c r="N159" s="33"/>
    </row>
    <row r="160" spans="1:20" ht="47.25" customHeight="1" x14ac:dyDescent="0.25">
      <c r="A160" s="218" t="s">
        <v>232</v>
      </c>
      <c r="B160" s="94" t="s">
        <v>227</v>
      </c>
      <c r="C160" s="94" t="s">
        <v>58</v>
      </c>
      <c r="D160" s="94" t="s">
        <v>228</v>
      </c>
      <c r="E160" s="94" t="s">
        <v>231</v>
      </c>
      <c r="F160" s="94" t="s">
        <v>59</v>
      </c>
      <c r="G160" s="96" t="s">
        <v>60</v>
      </c>
      <c r="H160" s="76" t="s">
        <v>153</v>
      </c>
      <c r="I160" s="33"/>
      <c r="T160" s="69"/>
    </row>
    <row r="161" spans="1:20" s="69" customFormat="1" x14ac:dyDescent="0.25">
      <c r="A161" s="219"/>
      <c r="B161" s="95"/>
      <c r="C161" s="95"/>
      <c r="D161" s="95"/>
      <c r="E161" s="95"/>
      <c r="F161" s="95"/>
      <c r="G161" s="97"/>
      <c r="H161" s="77">
        <v>0.5</v>
      </c>
      <c r="I161" s="33"/>
    </row>
    <row r="162" spans="1:20" s="81" customFormat="1" x14ac:dyDescent="0.25">
      <c r="A162" s="90" t="s">
        <v>189</v>
      </c>
      <c r="B162" s="90"/>
      <c r="C162" s="90"/>
      <c r="D162" s="90"/>
      <c r="E162" s="90"/>
      <c r="F162" s="90"/>
      <c r="G162" s="90"/>
      <c r="H162" s="90"/>
      <c r="J162" s="33"/>
    </row>
    <row r="163" spans="1:20" s="83" customFormat="1" ht="15.6" hidden="1" customHeight="1" x14ac:dyDescent="0.25">
      <c r="A163" s="220" t="s">
        <v>245</v>
      </c>
      <c r="B163" s="220"/>
      <c r="C163" s="220"/>
      <c r="D163" s="220"/>
      <c r="E163" s="220"/>
      <c r="F163" s="220"/>
      <c r="G163" s="220"/>
      <c r="H163" s="220"/>
      <c r="J163" s="47">
        <v>10.763999999999999</v>
      </c>
    </row>
    <row r="164" spans="1:20" s="69" customFormat="1" ht="15.6" customHeight="1" x14ac:dyDescent="0.25">
      <c r="A164" s="220" t="s">
        <v>197</v>
      </c>
      <c r="B164" s="220"/>
      <c r="C164" s="220"/>
      <c r="D164" s="220"/>
      <c r="E164" s="220"/>
      <c r="F164" s="220"/>
      <c r="G164" s="220"/>
      <c r="H164" s="220"/>
      <c r="J164" s="47">
        <v>10.763999999999999</v>
      </c>
    </row>
    <row r="165" spans="1:20" s="69" customFormat="1" ht="15.75" customHeight="1" x14ac:dyDescent="0.25">
      <c r="A165" s="101">
        <v>1</v>
      </c>
      <c r="B165" s="102"/>
      <c r="C165" s="101" t="s">
        <v>230</v>
      </c>
      <c r="D165" s="103"/>
      <c r="E165" s="103"/>
      <c r="F165" s="103"/>
      <c r="G165" s="103"/>
      <c r="H165" s="102"/>
      <c r="I165" s="33"/>
      <c r="L165" s="89"/>
      <c r="M165" s="89"/>
      <c r="N165" s="33"/>
    </row>
    <row r="166" spans="1:20" s="69" customFormat="1" ht="15.75" customHeight="1" x14ac:dyDescent="0.25">
      <c r="A166" s="101">
        <f t="shared" ref="A166:A175" si="15">A165+1</f>
        <v>2</v>
      </c>
      <c r="B166" s="102"/>
      <c r="C166" s="78" t="s">
        <v>194</v>
      </c>
      <c r="D166" s="79">
        <f>(31.38)*10.764</f>
        <v>337.77431999999999</v>
      </c>
      <c r="E166" s="79">
        <f>(2.92)*10.764</f>
        <v>31.430879999999998</v>
      </c>
      <c r="F166" s="78">
        <f t="shared" ref="F166:F175" si="16">D166+E166</f>
        <v>369.20519999999999</v>
      </c>
      <c r="G166" s="78">
        <v>0</v>
      </c>
      <c r="H166" s="78">
        <f t="shared" ref="H166:H168" si="17">F166*(($H$161)+1)+(IF(G166&lt;101,G166,IF(G166&lt;201,G166/2,IF(G166&lt;=301,G166/3,G166/4))))</f>
        <v>553.80780000000004</v>
      </c>
      <c r="I166" s="33"/>
      <c r="L166" s="89"/>
      <c r="M166" s="89"/>
      <c r="N166" s="33"/>
    </row>
    <row r="167" spans="1:20" s="69" customFormat="1" ht="15.75" customHeight="1" x14ac:dyDescent="0.25">
      <c r="A167" s="101">
        <f t="shared" si="15"/>
        <v>3</v>
      </c>
      <c r="B167" s="102"/>
      <c r="C167" s="78" t="s">
        <v>194</v>
      </c>
      <c r="D167" s="79">
        <f>(31.38)*10.764</f>
        <v>337.77431999999999</v>
      </c>
      <c r="E167" s="79">
        <f>(2.92)*10.764</f>
        <v>31.430879999999998</v>
      </c>
      <c r="F167" s="78">
        <f t="shared" si="16"/>
        <v>369.20519999999999</v>
      </c>
      <c r="G167" s="78">
        <v>0</v>
      </c>
      <c r="H167" s="78">
        <f t="shared" si="17"/>
        <v>553.80780000000004</v>
      </c>
      <c r="I167" s="33"/>
      <c r="L167" s="89"/>
      <c r="M167" s="89"/>
      <c r="N167" s="33"/>
    </row>
    <row r="168" spans="1:20" s="69" customFormat="1" ht="15.75" customHeight="1" x14ac:dyDescent="0.25">
      <c r="A168" s="101">
        <f t="shared" si="15"/>
        <v>4</v>
      </c>
      <c r="B168" s="102"/>
      <c r="C168" s="78" t="s">
        <v>194</v>
      </c>
      <c r="D168" s="79">
        <f>(36.5)*10.764</f>
        <v>392.88599999999997</v>
      </c>
      <c r="E168" s="79">
        <f>(6.78)*10.764</f>
        <v>72.979919999999993</v>
      </c>
      <c r="F168" s="78">
        <f t="shared" si="16"/>
        <v>465.86591999999996</v>
      </c>
      <c r="G168" s="78">
        <v>0</v>
      </c>
      <c r="H168" s="78">
        <f t="shared" si="17"/>
        <v>698.79887999999994</v>
      </c>
      <c r="I168" s="33"/>
      <c r="L168" s="89"/>
      <c r="M168" s="89"/>
      <c r="N168" s="33"/>
      <c r="T168" s="18"/>
    </row>
    <row r="169" spans="1:20" s="69" customFormat="1" ht="15.75" customHeight="1" x14ac:dyDescent="0.25">
      <c r="A169" s="87">
        <f t="shared" si="15"/>
        <v>5</v>
      </c>
      <c r="B169" s="88"/>
      <c r="C169" s="70" t="s">
        <v>194</v>
      </c>
      <c r="D169" s="47">
        <f>(36.5)*10.764</f>
        <v>392.88599999999997</v>
      </c>
      <c r="E169" s="47">
        <f>(6.78)*10.764</f>
        <v>72.979919999999993</v>
      </c>
      <c r="F169" s="70">
        <f t="shared" si="16"/>
        <v>465.86591999999996</v>
      </c>
      <c r="G169" s="70">
        <v>0</v>
      </c>
      <c r="H169" s="70">
        <f t="shared" ref="H169:H171" si="18">F169*(($H$161)+1)+(IF(G169&lt;101,G169,IF(G169&lt;201,G169/2,IF(G169&lt;=301,G169/3,G169/4))))</f>
        <v>698.79887999999994</v>
      </c>
      <c r="I169" s="33"/>
      <c r="L169" s="89"/>
      <c r="M169" s="89"/>
      <c r="N169" s="33"/>
    </row>
    <row r="170" spans="1:20" s="69" customFormat="1" ht="15.75" customHeight="1" x14ac:dyDescent="0.25">
      <c r="A170" s="87">
        <f t="shared" si="15"/>
        <v>6</v>
      </c>
      <c r="B170" s="88"/>
      <c r="C170" s="70" t="s">
        <v>195</v>
      </c>
      <c r="D170" s="47">
        <f>(60.52)*10.764</f>
        <v>651.43727999999999</v>
      </c>
      <c r="E170" s="47">
        <f>(13.86)*10.764</f>
        <v>149.18903999999998</v>
      </c>
      <c r="F170" s="70">
        <f t="shared" si="16"/>
        <v>800.62631999999996</v>
      </c>
      <c r="G170" s="70">
        <v>0</v>
      </c>
      <c r="H170" s="70">
        <f t="shared" si="18"/>
        <v>1200.93948</v>
      </c>
      <c r="I170" s="33"/>
      <c r="L170" s="89"/>
      <c r="M170" s="89"/>
      <c r="N170" s="33"/>
    </row>
    <row r="171" spans="1:20" s="69" customFormat="1" ht="15.75" customHeight="1" x14ac:dyDescent="0.25">
      <c r="A171" s="87">
        <f t="shared" si="15"/>
        <v>7</v>
      </c>
      <c r="B171" s="88"/>
      <c r="C171" s="70" t="s">
        <v>195</v>
      </c>
      <c r="D171" s="47">
        <f>(57.55)*10.764</f>
        <v>619.46819999999991</v>
      </c>
      <c r="E171" s="47">
        <f>(13.68)*10.764</f>
        <v>147.25152</v>
      </c>
      <c r="F171" s="70">
        <f t="shared" si="16"/>
        <v>766.71971999999994</v>
      </c>
      <c r="G171" s="47">
        <v>0</v>
      </c>
      <c r="H171" s="70">
        <f t="shared" si="18"/>
        <v>1150.0795799999999</v>
      </c>
      <c r="I171" s="33">
        <f>3.3*1.9+2.3*1.25+0.85*2.55</f>
        <v>11.3125</v>
      </c>
      <c r="L171" s="89"/>
      <c r="M171" s="89"/>
      <c r="N171" s="33"/>
      <c r="T171" s="18"/>
    </row>
    <row r="172" spans="1:20" s="69" customFormat="1" ht="15.75" customHeight="1" x14ac:dyDescent="0.25">
      <c r="A172" s="87">
        <f t="shared" si="15"/>
        <v>8</v>
      </c>
      <c r="B172" s="88"/>
      <c r="C172" s="70" t="s">
        <v>195</v>
      </c>
      <c r="D172" s="47">
        <f>(57.55)*10.764</f>
        <v>619.46819999999991</v>
      </c>
      <c r="E172" s="47">
        <f>(13.68)*10.764</f>
        <v>147.25152</v>
      </c>
      <c r="F172" s="70">
        <f t="shared" si="16"/>
        <v>766.71971999999994</v>
      </c>
      <c r="G172" s="47">
        <v>0</v>
      </c>
      <c r="H172" s="70">
        <f t="shared" ref="H172:H174" si="19">F172*(($H$161)+1)+(IF(G172&lt;101,G172,IF(G172&lt;201,G172/2,IF(G172&lt;=301,G172/3,G172/4))))</f>
        <v>1150.0795799999999</v>
      </c>
      <c r="I172" s="33"/>
      <c r="L172" s="89"/>
      <c r="M172" s="89"/>
      <c r="N172" s="33"/>
    </row>
    <row r="173" spans="1:20" s="69" customFormat="1" ht="15.75" customHeight="1" x14ac:dyDescent="0.25">
      <c r="A173" s="87">
        <f t="shared" si="15"/>
        <v>9</v>
      </c>
      <c r="B173" s="88"/>
      <c r="C173" s="70" t="s">
        <v>195</v>
      </c>
      <c r="D173" s="47">
        <f>(57.55)*10.764</f>
        <v>619.46819999999991</v>
      </c>
      <c r="E173" s="47">
        <f>(13.68)*10.764</f>
        <v>147.25152</v>
      </c>
      <c r="F173" s="70">
        <f t="shared" si="16"/>
        <v>766.71971999999994</v>
      </c>
      <c r="G173" s="70">
        <v>0</v>
      </c>
      <c r="H173" s="70">
        <f t="shared" si="19"/>
        <v>1150.0795799999999</v>
      </c>
      <c r="I173" s="33"/>
      <c r="L173" s="89"/>
      <c r="M173" s="89"/>
      <c r="N173" s="33"/>
    </row>
    <row r="174" spans="1:20" s="69" customFormat="1" ht="15.75" customHeight="1" x14ac:dyDescent="0.25">
      <c r="A174" s="87">
        <f t="shared" si="15"/>
        <v>10</v>
      </c>
      <c r="B174" s="88"/>
      <c r="C174" s="70" t="s">
        <v>195</v>
      </c>
      <c r="D174" s="47">
        <f>(46.3)*10.764</f>
        <v>498.37319999999994</v>
      </c>
      <c r="E174" s="47">
        <f>(7.35)*10.764</f>
        <v>79.115399999999994</v>
      </c>
      <c r="F174" s="70">
        <f t="shared" si="16"/>
        <v>577.48859999999991</v>
      </c>
      <c r="G174" s="70">
        <v>0</v>
      </c>
      <c r="H174" s="70">
        <f t="shared" si="19"/>
        <v>866.23289999999986</v>
      </c>
      <c r="I174" s="33"/>
      <c r="L174" s="89"/>
      <c r="M174" s="89"/>
      <c r="N174" s="33"/>
      <c r="T174" s="18"/>
    </row>
    <row r="175" spans="1:20" s="69" customFormat="1" ht="15.75" customHeight="1" x14ac:dyDescent="0.25">
      <c r="A175" s="87">
        <f t="shared" si="15"/>
        <v>11</v>
      </c>
      <c r="B175" s="88"/>
      <c r="C175" s="70" t="s">
        <v>194</v>
      </c>
      <c r="D175" s="47">
        <f>(31.26)*10.764</f>
        <v>336.48264</v>
      </c>
      <c r="E175" s="47">
        <f>(6.39)*10.764</f>
        <v>68.781959999999998</v>
      </c>
      <c r="F175" s="70">
        <f t="shared" si="16"/>
        <v>405.26459999999997</v>
      </c>
      <c r="G175" s="70">
        <v>0</v>
      </c>
      <c r="H175" s="70">
        <f t="shared" ref="H175" si="20">F175*(($H$161)+1)+(IF(G175&lt;101,G175,IF(G175&lt;201,G175/2,IF(G175&lt;=301,G175/3,G175/4))))</f>
        <v>607.89689999999996</v>
      </c>
      <c r="I175" s="33"/>
      <c r="L175" s="89"/>
      <c r="M175" s="89"/>
      <c r="N175" s="33"/>
      <c r="T175" s="18"/>
    </row>
    <row r="176" spans="1:20" s="69" customFormat="1" ht="15.6" customHeight="1" x14ac:dyDescent="0.25">
      <c r="A176" s="90" t="s">
        <v>229</v>
      </c>
      <c r="B176" s="90"/>
      <c r="C176" s="90"/>
      <c r="D176" s="90"/>
      <c r="E176" s="90"/>
      <c r="F176" s="90"/>
      <c r="G176" s="90"/>
      <c r="H176" s="90"/>
      <c r="J176" s="33"/>
    </row>
    <row r="177" spans="1:20" s="69" customFormat="1" ht="15.75" customHeight="1" x14ac:dyDescent="0.25">
      <c r="A177" s="87">
        <v>1</v>
      </c>
      <c r="B177" s="88"/>
      <c r="C177" s="70" t="s">
        <v>194</v>
      </c>
      <c r="D177" s="47">
        <f>(36.5)*10.764</f>
        <v>392.88599999999997</v>
      </c>
      <c r="E177" s="47">
        <f>(6.78)*10.764</f>
        <v>72.979919999999993</v>
      </c>
      <c r="F177" s="70">
        <f t="shared" ref="F177:F187" si="21">D177+E177</f>
        <v>465.86591999999996</v>
      </c>
      <c r="G177" s="70">
        <v>0</v>
      </c>
      <c r="H177" s="70">
        <f>F177*(($H$161)+1)+(IF(G177&lt;101,G177,IF(G177&lt;201,G177/2,IF(G177&lt;=301,G177/3,G177/4))))</f>
        <v>698.79887999999994</v>
      </c>
      <c r="I177" s="33">
        <f>5.05*2.9+2.15*2.1+3.15*3+1.95*1.2+1.2*1.8+0.9*2.45</f>
        <v>35.314999999999998</v>
      </c>
      <c r="J177" s="69">
        <f>1.2*2.9+1*3</f>
        <v>6.48</v>
      </c>
      <c r="L177" s="89"/>
      <c r="M177" s="89"/>
      <c r="N177" s="33"/>
    </row>
    <row r="178" spans="1:20" s="69" customFormat="1" ht="15.75" customHeight="1" x14ac:dyDescent="0.25">
      <c r="A178" s="87">
        <f t="shared" ref="A178:A187" si="22">A177+1</f>
        <v>2</v>
      </c>
      <c r="B178" s="88"/>
      <c r="C178" s="70" t="s">
        <v>194</v>
      </c>
      <c r="D178" s="47">
        <f>(31.38)*10.764</f>
        <v>337.77431999999999</v>
      </c>
      <c r="E178" s="47">
        <f>(2.92)*10.764</f>
        <v>31.430879999999998</v>
      </c>
      <c r="F178" s="70">
        <f t="shared" si="21"/>
        <v>369.20519999999999</v>
      </c>
      <c r="G178" s="70">
        <v>0</v>
      </c>
      <c r="H178" s="70">
        <f t="shared" ref="H178:H187" si="23">F178*(($H$161)+1)+(IF(G178&lt;101,G178,IF(G178&lt;201,G178/2,IF(G178&lt;=301,G178/3,G178/4))))</f>
        <v>553.80780000000004</v>
      </c>
      <c r="I178" s="33"/>
      <c r="L178" s="89"/>
      <c r="M178" s="89"/>
      <c r="N178" s="33"/>
    </row>
    <row r="179" spans="1:20" s="69" customFormat="1" ht="15.75" customHeight="1" x14ac:dyDescent="0.25">
      <c r="A179" s="87">
        <f t="shared" si="22"/>
        <v>3</v>
      </c>
      <c r="B179" s="88"/>
      <c r="C179" s="70" t="s">
        <v>194</v>
      </c>
      <c r="D179" s="47">
        <f>(31.38)*10.764</f>
        <v>337.77431999999999</v>
      </c>
      <c r="E179" s="47">
        <f>(2.92)*10.764</f>
        <v>31.430879999999998</v>
      </c>
      <c r="F179" s="70">
        <f t="shared" si="21"/>
        <v>369.20519999999999</v>
      </c>
      <c r="G179" s="70">
        <v>0</v>
      </c>
      <c r="H179" s="70">
        <f t="shared" si="23"/>
        <v>553.80780000000004</v>
      </c>
      <c r="I179" s="33"/>
      <c r="L179" s="89"/>
      <c r="M179" s="89"/>
      <c r="N179" s="33"/>
    </row>
    <row r="180" spans="1:20" s="69" customFormat="1" ht="15.75" customHeight="1" x14ac:dyDescent="0.25">
      <c r="A180" s="87">
        <f t="shared" si="22"/>
        <v>4</v>
      </c>
      <c r="B180" s="88"/>
      <c r="C180" s="70" t="s">
        <v>194</v>
      </c>
      <c r="D180" s="47">
        <f>(36.5)*10.764</f>
        <v>392.88599999999997</v>
      </c>
      <c r="E180" s="47">
        <f>(6.78)*10.764</f>
        <v>72.979919999999993</v>
      </c>
      <c r="F180" s="70">
        <f t="shared" si="21"/>
        <v>465.86591999999996</v>
      </c>
      <c r="G180" s="70">
        <v>0</v>
      </c>
      <c r="H180" s="70">
        <f t="shared" si="23"/>
        <v>698.79887999999994</v>
      </c>
      <c r="I180" s="33"/>
      <c r="L180" s="89"/>
      <c r="M180" s="89"/>
      <c r="N180" s="33"/>
      <c r="T180" s="18"/>
    </row>
    <row r="181" spans="1:20" s="69" customFormat="1" ht="15.75" customHeight="1" x14ac:dyDescent="0.25">
      <c r="A181" s="87">
        <f t="shared" si="22"/>
        <v>5</v>
      </c>
      <c r="B181" s="88"/>
      <c r="C181" s="70" t="s">
        <v>194</v>
      </c>
      <c r="D181" s="47">
        <f>(36.5)*10.764</f>
        <v>392.88599999999997</v>
      </c>
      <c r="E181" s="47">
        <f>(6.78)*10.764</f>
        <v>72.979919999999993</v>
      </c>
      <c r="F181" s="70">
        <f t="shared" si="21"/>
        <v>465.86591999999996</v>
      </c>
      <c r="G181" s="70">
        <v>0</v>
      </c>
      <c r="H181" s="70">
        <f t="shared" si="23"/>
        <v>698.79887999999994</v>
      </c>
      <c r="I181" s="33"/>
      <c r="L181" s="89"/>
      <c r="M181" s="89"/>
      <c r="N181" s="33"/>
    </row>
    <row r="182" spans="1:20" s="69" customFormat="1" ht="15.75" customHeight="1" x14ac:dyDescent="0.25">
      <c r="A182" s="87">
        <f t="shared" si="22"/>
        <v>6</v>
      </c>
      <c r="B182" s="88"/>
      <c r="C182" s="70" t="s">
        <v>195</v>
      </c>
      <c r="D182" s="47">
        <f>(60.52)*10.764</f>
        <v>651.43727999999999</v>
      </c>
      <c r="E182" s="47">
        <f>(13.86)*10.764</f>
        <v>149.18903999999998</v>
      </c>
      <c r="F182" s="70">
        <f t="shared" si="21"/>
        <v>800.62631999999996</v>
      </c>
      <c r="G182" s="70">
        <v>0</v>
      </c>
      <c r="H182" s="70">
        <f t="shared" si="23"/>
        <v>1200.93948</v>
      </c>
      <c r="I182" s="33"/>
      <c r="L182" s="89"/>
      <c r="M182" s="89"/>
      <c r="N182" s="33"/>
    </row>
    <row r="183" spans="1:20" s="69" customFormat="1" ht="15.75" customHeight="1" x14ac:dyDescent="0.25">
      <c r="A183" s="87">
        <f t="shared" si="22"/>
        <v>7</v>
      </c>
      <c r="B183" s="88"/>
      <c r="C183" s="70" t="s">
        <v>195</v>
      </c>
      <c r="D183" s="47">
        <f>(57.55)*10.764</f>
        <v>619.46819999999991</v>
      </c>
      <c r="E183" s="47">
        <f>(13.68)*10.764</f>
        <v>147.25152</v>
      </c>
      <c r="F183" s="70">
        <f t="shared" si="21"/>
        <v>766.71971999999994</v>
      </c>
      <c r="G183" s="70">
        <v>0</v>
      </c>
      <c r="H183" s="70">
        <f t="shared" si="23"/>
        <v>1150.0795799999999</v>
      </c>
      <c r="I183" s="33"/>
      <c r="L183" s="89"/>
      <c r="M183" s="89"/>
      <c r="N183" s="33"/>
      <c r="T183" s="18"/>
    </row>
    <row r="184" spans="1:20" s="69" customFormat="1" ht="15.75" customHeight="1" x14ac:dyDescent="0.25">
      <c r="A184" s="87">
        <f t="shared" si="22"/>
        <v>8</v>
      </c>
      <c r="B184" s="88"/>
      <c r="C184" s="70" t="s">
        <v>195</v>
      </c>
      <c r="D184" s="47">
        <f>(57.55)*10.764</f>
        <v>619.46819999999991</v>
      </c>
      <c r="E184" s="47">
        <f>(13.68)*10.764</f>
        <v>147.25152</v>
      </c>
      <c r="F184" s="70">
        <f t="shared" si="21"/>
        <v>766.71971999999994</v>
      </c>
      <c r="G184" s="70">
        <v>0</v>
      </c>
      <c r="H184" s="70">
        <f t="shared" si="23"/>
        <v>1150.0795799999999</v>
      </c>
      <c r="I184" s="33"/>
      <c r="L184" s="89"/>
      <c r="M184" s="89"/>
      <c r="N184" s="33"/>
    </row>
    <row r="185" spans="1:20" s="69" customFormat="1" ht="15.75" customHeight="1" x14ac:dyDescent="0.25">
      <c r="A185" s="87">
        <f t="shared" si="22"/>
        <v>9</v>
      </c>
      <c r="B185" s="88"/>
      <c r="C185" s="70" t="s">
        <v>195</v>
      </c>
      <c r="D185" s="47">
        <f>(57.55)*10.764</f>
        <v>619.46819999999991</v>
      </c>
      <c r="E185" s="47">
        <f>(13.68)*10.764</f>
        <v>147.25152</v>
      </c>
      <c r="F185" s="70">
        <f t="shared" si="21"/>
        <v>766.71971999999994</v>
      </c>
      <c r="G185" s="70">
        <v>0</v>
      </c>
      <c r="H185" s="70">
        <f t="shared" si="23"/>
        <v>1150.0795799999999</v>
      </c>
      <c r="I185" s="33"/>
      <c r="L185" s="89"/>
      <c r="M185" s="89"/>
      <c r="N185" s="33"/>
    </row>
    <row r="186" spans="1:20" s="69" customFormat="1" ht="15.75" customHeight="1" x14ac:dyDescent="0.25">
      <c r="A186" s="87">
        <f t="shared" si="22"/>
        <v>10</v>
      </c>
      <c r="B186" s="88"/>
      <c r="C186" s="70" t="s">
        <v>195</v>
      </c>
      <c r="D186" s="47">
        <f>(46.3)*10.764</f>
        <v>498.37319999999994</v>
      </c>
      <c r="E186" s="47">
        <f>(7.35)*10.764</f>
        <v>79.115399999999994</v>
      </c>
      <c r="F186" s="70">
        <f t="shared" si="21"/>
        <v>577.48859999999991</v>
      </c>
      <c r="G186" s="70">
        <v>0</v>
      </c>
      <c r="H186" s="70">
        <f t="shared" si="23"/>
        <v>866.23289999999986</v>
      </c>
      <c r="I186" s="33"/>
      <c r="L186" s="89"/>
      <c r="M186" s="89"/>
      <c r="N186" s="33"/>
      <c r="T186" s="18"/>
    </row>
    <row r="187" spans="1:20" s="69" customFormat="1" ht="15.75" customHeight="1" x14ac:dyDescent="0.25">
      <c r="A187" s="87">
        <f t="shared" si="22"/>
        <v>11</v>
      </c>
      <c r="B187" s="88"/>
      <c r="C187" s="70" t="s">
        <v>194</v>
      </c>
      <c r="D187" s="47">
        <f>(31.26)*10.764</f>
        <v>336.48264</v>
      </c>
      <c r="E187" s="47">
        <f>(6.39)*10.764</f>
        <v>68.781959999999998</v>
      </c>
      <c r="F187" s="70">
        <f t="shared" si="21"/>
        <v>405.26459999999997</v>
      </c>
      <c r="G187" s="70">
        <v>0</v>
      </c>
      <c r="H187" s="70">
        <f t="shared" si="23"/>
        <v>607.89689999999996</v>
      </c>
      <c r="I187" s="33"/>
      <c r="L187" s="89"/>
      <c r="M187" s="89"/>
      <c r="N187" s="33"/>
      <c r="T187" s="18"/>
    </row>
    <row r="188" spans="1:20" s="69" customFormat="1" x14ac:dyDescent="0.25">
      <c r="A188" s="90"/>
      <c r="B188" s="90"/>
      <c r="C188" s="90"/>
      <c r="D188" s="90"/>
      <c r="E188" s="90"/>
      <c r="F188" s="90"/>
      <c r="G188" s="90"/>
      <c r="H188" s="90"/>
      <c r="J188" s="33"/>
    </row>
    <row r="189" spans="1:20" ht="47.25" hidden="1" customHeight="1" x14ac:dyDescent="0.25">
      <c r="A189" s="104" t="s">
        <v>123</v>
      </c>
      <c r="B189" s="104" t="s">
        <v>124</v>
      </c>
      <c r="C189" s="117" t="s">
        <v>58</v>
      </c>
      <c r="D189" s="117" t="s">
        <v>59</v>
      </c>
      <c r="E189" s="193" t="s">
        <v>60</v>
      </c>
      <c r="F189" s="74" t="s">
        <v>153</v>
      </c>
      <c r="G189" s="104" t="s">
        <v>61</v>
      </c>
      <c r="H189" s="195"/>
      <c r="I189" s="33"/>
    </row>
    <row r="190" spans="1:20" s="34" customFormat="1" hidden="1" x14ac:dyDescent="0.25">
      <c r="A190" s="105"/>
      <c r="B190" s="105"/>
      <c r="C190" s="118"/>
      <c r="D190" s="118"/>
      <c r="E190" s="194"/>
      <c r="F190" s="75">
        <v>0.5</v>
      </c>
      <c r="G190" s="105"/>
      <c r="H190" s="196"/>
      <c r="I190" s="33"/>
    </row>
    <row r="191" spans="1:20" s="34" customFormat="1" hidden="1" x14ac:dyDescent="0.25">
      <c r="A191" s="90" t="s">
        <v>197</v>
      </c>
      <c r="B191" s="90"/>
      <c r="C191" s="90"/>
      <c r="D191" s="90"/>
      <c r="E191" s="90"/>
      <c r="F191" s="90"/>
      <c r="G191" s="90"/>
      <c r="H191" s="90"/>
      <c r="J191" s="33"/>
    </row>
    <row r="192" spans="1:20" s="34" customFormat="1" hidden="1" x14ac:dyDescent="0.25">
      <c r="A192" s="119">
        <v>1</v>
      </c>
      <c r="B192" s="119"/>
      <c r="C192" s="119" t="s">
        <v>198</v>
      </c>
      <c r="D192" s="119"/>
      <c r="E192" s="119"/>
      <c r="F192" s="119"/>
      <c r="G192" s="119" t="str">
        <f>A191</f>
        <v>2nd Floor For Residential, Entrance Lobby &amp; Society Office</v>
      </c>
      <c r="H192" s="119"/>
      <c r="I192" s="33"/>
      <c r="L192" s="89"/>
      <c r="M192" s="89"/>
      <c r="N192" s="33"/>
    </row>
    <row r="193" spans="1:14" s="34" customFormat="1" hidden="1" x14ac:dyDescent="0.25">
      <c r="A193" s="119">
        <f t="shared" ref="A193:A202" si="24">A192+1</f>
        <v>2</v>
      </c>
      <c r="B193" s="119"/>
      <c r="C193" s="44" t="s">
        <v>194</v>
      </c>
      <c r="D193" s="47">
        <f>(31.38+2.92)*10.764</f>
        <v>369.20519999999993</v>
      </c>
      <c r="E193" s="44">
        <v>0</v>
      </c>
      <c r="F193" s="44">
        <f t="shared" ref="F193:F202" si="25">D193*(($F$190)+1)+(IF(E193&lt;101,E193,IF(E193&lt;201,E193/2,IF(E193&lt;=301,E193/3,E193/4))))</f>
        <v>553.80779999999993</v>
      </c>
      <c r="G193" s="119" t="str">
        <f t="shared" ref="G193:G202" si="26">G192</f>
        <v>2nd Floor For Residential, Entrance Lobby &amp; Society Office</v>
      </c>
      <c r="H193" s="119"/>
      <c r="I193" s="33">
        <f>2.75*4.45+1.8*2.2+2.75*3+1*1.35+1.45*1.35+2.15*0.9</f>
        <v>29.69</v>
      </c>
      <c r="J193" s="34">
        <f>5800*F193</f>
        <v>3212085.2399999998</v>
      </c>
      <c r="K193" s="34">
        <f>6000*F193</f>
        <v>3322846.7999999993</v>
      </c>
      <c r="L193" s="89"/>
      <c r="M193" s="89"/>
      <c r="N193" s="33"/>
    </row>
    <row r="194" spans="1:14" s="34" customFormat="1" hidden="1" x14ac:dyDescent="0.25">
      <c r="A194" s="119">
        <f t="shared" si="24"/>
        <v>3</v>
      </c>
      <c r="B194" s="119"/>
      <c r="C194" s="44" t="s">
        <v>194</v>
      </c>
      <c r="D194" s="47">
        <f>(31.38+2.92)*10.764</f>
        <v>369.20519999999993</v>
      </c>
      <c r="E194" s="44">
        <v>0</v>
      </c>
      <c r="F194" s="44">
        <f t="shared" si="25"/>
        <v>553.80779999999993</v>
      </c>
      <c r="G194" s="119" t="str">
        <f t="shared" si="26"/>
        <v>2nd Floor For Residential, Entrance Lobby &amp; Society Office</v>
      </c>
      <c r="H194" s="119"/>
      <c r="I194" s="33"/>
      <c r="K194" s="62">
        <f t="shared" ref="K194:K202" si="27">6000*F194</f>
        <v>3322846.7999999993</v>
      </c>
      <c r="L194" s="89"/>
      <c r="M194" s="89"/>
      <c r="N194" s="33"/>
    </row>
    <row r="195" spans="1:14" s="34" customFormat="1" hidden="1" x14ac:dyDescent="0.25">
      <c r="A195" s="119">
        <f t="shared" si="24"/>
        <v>4</v>
      </c>
      <c r="B195" s="119"/>
      <c r="C195" s="44" t="s">
        <v>194</v>
      </c>
      <c r="D195" s="47">
        <f>(36.5+6.78)*10.764</f>
        <v>465.86591999999996</v>
      </c>
      <c r="E195" s="44">
        <v>0</v>
      </c>
      <c r="F195" s="44">
        <f t="shared" si="25"/>
        <v>698.79887999999994</v>
      </c>
      <c r="G195" s="119" t="str">
        <f t="shared" si="26"/>
        <v>2nd Floor For Residential, Entrance Lobby &amp; Society Office</v>
      </c>
      <c r="H195" s="119"/>
      <c r="I195" s="33"/>
      <c r="K195" s="62">
        <f t="shared" si="27"/>
        <v>4192793.28</v>
      </c>
      <c r="L195" s="89"/>
      <c r="M195" s="89"/>
      <c r="N195" s="33"/>
    </row>
    <row r="196" spans="1:14" s="45" customFormat="1" hidden="1" x14ac:dyDescent="0.25">
      <c r="A196" s="119">
        <f t="shared" si="24"/>
        <v>5</v>
      </c>
      <c r="B196" s="119"/>
      <c r="C196" s="44" t="s">
        <v>194</v>
      </c>
      <c r="D196" s="47">
        <f>(36.5+6.78)*10.764</f>
        <v>465.86591999999996</v>
      </c>
      <c r="E196" s="44">
        <v>0</v>
      </c>
      <c r="F196" s="44">
        <f t="shared" si="25"/>
        <v>698.79887999999994</v>
      </c>
      <c r="G196" s="119" t="str">
        <f t="shared" si="26"/>
        <v>2nd Floor For Residential, Entrance Lobby &amp; Society Office</v>
      </c>
      <c r="H196" s="119"/>
      <c r="I196" s="33"/>
      <c r="K196" s="62">
        <f t="shared" si="27"/>
        <v>4192793.28</v>
      </c>
      <c r="L196" s="89"/>
      <c r="M196" s="89"/>
      <c r="N196" s="33"/>
    </row>
    <row r="197" spans="1:14" s="45" customFormat="1" hidden="1" x14ac:dyDescent="0.25">
      <c r="A197" s="119">
        <f t="shared" si="24"/>
        <v>6</v>
      </c>
      <c r="B197" s="119"/>
      <c r="C197" s="44" t="s">
        <v>195</v>
      </c>
      <c r="D197" s="47">
        <f>(60.52+12.05)*10.764</f>
        <v>781.14348000000007</v>
      </c>
      <c r="E197" s="44">
        <v>0</v>
      </c>
      <c r="F197" s="44">
        <f t="shared" si="25"/>
        <v>1171.71522</v>
      </c>
      <c r="G197" s="119" t="str">
        <f t="shared" si="26"/>
        <v>2nd Floor For Residential, Entrance Lobby &amp; Society Office</v>
      </c>
      <c r="H197" s="119"/>
      <c r="I197" s="33">
        <f>3*6.5+0.9*3.65+2.15*2.75+3*2.75+3.3*3.75+1.4*0.9+3.15*0.9+2.1*1.2+2.1*1.2</f>
        <v>58.457500000000003</v>
      </c>
      <c r="K197" s="62">
        <f t="shared" si="27"/>
        <v>7030291.3200000003</v>
      </c>
      <c r="L197" s="89"/>
      <c r="M197" s="89"/>
      <c r="N197" s="33"/>
    </row>
    <row r="198" spans="1:14" s="45" customFormat="1" hidden="1" x14ac:dyDescent="0.25">
      <c r="A198" s="119">
        <f t="shared" si="24"/>
        <v>7</v>
      </c>
      <c r="B198" s="119"/>
      <c r="C198" s="44" t="s">
        <v>195</v>
      </c>
      <c r="D198" s="47">
        <f>(57.55+12.42)*10.764</f>
        <v>753.15707999999995</v>
      </c>
      <c r="E198" s="44">
        <v>0</v>
      </c>
      <c r="F198" s="44">
        <f t="shared" si="25"/>
        <v>1129.7356199999999</v>
      </c>
      <c r="G198" s="119" t="str">
        <f t="shared" si="26"/>
        <v>2nd Floor For Residential, Entrance Lobby &amp; Society Office</v>
      </c>
      <c r="H198" s="119"/>
      <c r="I198" s="33"/>
      <c r="K198" s="62">
        <f t="shared" si="27"/>
        <v>6778413.7199999997</v>
      </c>
      <c r="L198" s="89"/>
      <c r="M198" s="89"/>
      <c r="N198" s="33"/>
    </row>
    <row r="199" spans="1:14" s="45" customFormat="1" hidden="1" x14ac:dyDescent="0.25">
      <c r="A199" s="119">
        <f t="shared" si="24"/>
        <v>8</v>
      </c>
      <c r="B199" s="119"/>
      <c r="C199" s="44" t="s">
        <v>195</v>
      </c>
      <c r="D199" s="47">
        <f>(57.55+12.42)*10.764</f>
        <v>753.15707999999995</v>
      </c>
      <c r="E199" s="44">
        <v>0</v>
      </c>
      <c r="F199" s="44">
        <f t="shared" si="25"/>
        <v>1129.7356199999999</v>
      </c>
      <c r="G199" s="119" t="str">
        <f t="shared" si="26"/>
        <v>2nd Floor For Residential, Entrance Lobby &amp; Society Office</v>
      </c>
      <c r="H199" s="119"/>
      <c r="I199" s="33"/>
      <c r="K199" s="62">
        <f t="shared" si="27"/>
        <v>6778413.7199999997</v>
      </c>
      <c r="L199" s="89"/>
      <c r="M199" s="89"/>
      <c r="N199" s="33"/>
    </row>
    <row r="200" spans="1:14" s="45" customFormat="1" hidden="1" x14ac:dyDescent="0.25">
      <c r="A200" s="119">
        <f t="shared" si="24"/>
        <v>9</v>
      </c>
      <c r="B200" s="119"/>
      <c r="C200" s="44" t="s">
        <v>195</v>
      </c>
      <c r="D200" s="47">
        <f>(57.55+12.42)*10.764</f>
        <v>753.15707999999995</v>
      </c>
      <c r="E200" s="44">
        <v>0</v>
      </c>
      <c r="F200" s="44">
        <f t="shared" si="25"/>
        <v>1129.7356199999999</v>
      </c>
      <c r="G200" s="119" t="str">
        <f t="shared" si="26"/>
        <v>2nd Floor For Residential, Entrance Lobby &amp; Society Office</v>
      </c>
      <c r="H200" s="119"/>
      <c r="I200" s="33"/>
      <c r="J200" s="45">
        <f>6700000/F200</f>
        <v>5930.5910882052212</v>
      </c>
      <c r="K200" s="62">
        <f t="shared" si="27"/>
        <v>6778413.7199999997</v>
      </c>
      <c r="L200" s="89"/>
      <c r="M200" s="89"/>
      <c r="N200" s="33"/>
    </row>
    <row r="201" spans="1:14" s="45" customFormat="1" hidden="1" x14ac:dyDescent="0.25">
      <c r="A201" s="87">
        <f t="shared" si="24"/>
        <v>10</v>
      </c>
      <c r="B201" s="88"/>
      <c r="C201" s="44" t="s">
        <v>195</v>
      </c>
      <c r="D201" s="47">
        <f>(46.3+7.35)*10.764</f>
        <v>577.48859999999991</v>
      </c>
      <c r="E201" s="44">
        <v>0</v>
      </c>
      <c r="F201" s="44">
        <f t="shared" si="25"/>
        <v>866.23289999999986</v>
      </c>
      <c r="G201" s="87" t="str">
        <f t="shared" si="26"/>
        <v>2nd Floor For Residential, Entrance Lobby &amp; Society Office</v>
      </c>
      <c r="H201" s="88"/>
      <c r="I201" s="33"/>
      <c r="K201" s="62">
        <f t="shared" si="27"/>
        <v>5197397.3999999994</v>
      </c>
      <c r="L201" s="89"/>
      <c r="M201" s="89"/>
      <c r="N201" s="33"/>
    </row>
    <row r="202" spans="1:14" s="45" customFormat="1" hidden="1" x14ac:dyDescent="0.25">
      <c r="A202" s="87">
        <f t="shared" si="24"/>
        <v>11</v>
      </c>
      <c r="B202" s="88"/>
      <c r="C202" s="44" t="s">
        <v>194</v>
      </c>
      <c r="D202" s="47">
        <f>(31.26+6.39)*10.764</f>
        <v>405.26459999999997</v>
      </c>
      <c r="E202" s="44">
        <v>0</v>
      </c>
      <c r="F202" s="44">
        <f t="shared" si="25"/>
        <v>607.89689999999996</v>
      </c>
      <c r="G202" s="87" t="str">
        <f t="shared" si="26"/>
        <v>2nd Floor For Residential, Entrance Lobby &amp; Society Office</v>
      </c>
      <c r="H202" s="88"/>
      <c r="I202" s="33"/>
      <c r="K202" s="62">
        <f t="shared" si="27"/>
        <v>3647381.4</v>
      </c>
      <c r="L202" s="89"/>
      <c r="M202" s="89"/>
      <c r="N202" s="33"/>
    </row>
    <row r="203" spans="1:14" s="45" customFormat="1" hidden="1" x14ac:dyDescent="0.25">
      <c r="A203" s="214" t="s">
        <v>196</v>
      </c>
      <c r="B203" s="215"/>
      <c r="C203" s="215"/>
      <c r="D203" s="215"/>
      <c r="E203" s="215"/>
      <c r="F203" s="215"/>
      <c r="G203" s="215"/>
      <c r="H203" s="216"/>
      <c r="J203" s="33"/>
    </row>
    <row r="204" spans="1:14" s="45" customFormat="1" ht="15.75" hidden="1" customHeight="1" x14ac:dyDescent="0.25">
      <c r="A204" s="87">
        <v>1</v>
      </c>
      <c r="B204" s="88"/>
      <c r="C204" s="44" t="s">
        <v>194</v>
      </c>
      <c r="D204" s="47">
        <f>(36.5+6.78)*10.764</f>
        <v>465.86591999999996</v>
      </c>
      <c r="E204" s="44">
        <v>0</v>
      </c>
      <c r="F204" s="44">
        <f t="shared" ref="F204:F214" si="28">D204*(($F$190)+1)+(IF(E204&lt;101,E204,IF(E204&lt;201,E204/2,IF(E204&lt;=301,E204/3,E204/4))))</f>
        <v>698.79887999999994</v>
      </c>
      <c r="G204" s="87" t="str">
        <f>A203</f>
        <v>3rd to 6th, 8th to 11th, 13th to 16th &amp; 18th Floor</v>
      </c>
      <c r="H204" s="88"/>
      <c r="I204" s="33"/>
      <c r="L204" s="89"/>
      <c r="M204" s="89"/>
      <c r="N204" s="33"/>
    </row>
    <row r="205" spans="1:14" s="45" customFormat="1" hidden="1" x14ac:dyDescent="0.25">
      <c r="A205" s="87">
        <f t="shared" ref="A205:A214" si="29">A204+1</f>
        <v>2</v>
      </c>
      <c r="B205" s="88"/>
      <c r="C205" s="44" t="s">
        <v>194</v>
      </c>
      <c r="D205" s="47">
        <f>(31.38+2.92)*10.764</f>
        <v>369.20519999999993</v>
      </c>
      <c r="E205" s="44">
        <v>0</v>
      </c>
      <c r="F205" s="44">
        <f t="shared" si="28"/>
        <v>553.80779999999993</v>
      </c>
      <c r="G205" s="87" t="str">
        <f t="shared" ref="G205:G214" si="30">G204</f>
        <v>3rd to 6th, 8th to 11th, 13th to 16th &amp; 18th Floor</v>
      </c>
      <c r="H205" s="88"/>
      <c r="I205" s="33"/>
      <c r="L205" s="89"/>
      <c r="M205" s="89"/>
      <c r="N205" s="33"/>
    </row>
    <row r="206" spans="1:14" s="45" customFormat="1" hidden="1" x14ac:dyDescent="0.25">
      <c r="A206" s="87">
        <f t="shared" si="29"/>
        <v>3</v>
      </c>
      <c r="B206" s="88"/>
      <c r="C206" s="44" t="s">
        <v>194</v>
      </c>
      <c r="D206" s="47">
        <f>(31.38+2.92)*10.764</f>
        <v>369.20519999999993</v>
      </c>
      <c r="E206" s="44">
        <v>0</v>
      </c>
      <c r="F206" s="44">
        <f t="shared" si="28"/>
        <v>553.80779999999993</v>
      </c>
      <c r="G206" s="87" t="str">
        <f t="shared" si="30"/>
        <v>3rd to 6th, 8th to 11th, 13th to 16th &amp; 18th Floor</v>
      </c>
      <c r="H206" s="88"/>
      <c r="I206" s="33"/>
      <c r="L206" s="89"/>
      <c r="M206" s="89"/>
      <c r="N206" s="33"/>
    </row>
    <row r="207" spans="1:14" s="45" customFormat="1" hidden="1" x14ac:dyDescent="0.25">
      <c r="A207" s="87">
        <f t="shared" si="29"/>
        <v>4</v>
      </c>
      <c r="B207" s="88"/>
      <c r="C207" s="44" t="s">
        <v>194</v>
      </c>
      <c r="D207" s="47">
        <f>(36.5+6.78)*10.764</f>
        <v>465.86591999999996</v>
      </c>
      <c r="E207" s="44">
        <v>0</v>
      </c>
      <c r="F207" s="44">
        <f t="shared" si="28"/>
        <v>698.79887999999994</v>
      </c>
      <c r="G207" s="87" t="str">
        <f t="shared" si="30"/>
        <v>3rd to 6th, 8th to 11th, 13th to 16th &amp; 18th Floor</v>
      </c>
      <c r="H207" s="88"/>
      <c r="I207" s="33"/>
      <c r="L207" s="89"/>
      <c r="M207" s="89"/>
      <c r="N207" s="33"/>
    </row>
    <row r="208" spans="1:14" s="45" customFormat="1" hidden="1" x14ac:dyDescent="0.25">
      <c r="A208" s="87">
        <f t="shared" si="29"/>
        <v>5</v>
      </c>
      <c r="B208" s="88"/>
      <c r="C208" s="44" t="s">
        <v>194</v>
      </c>
      <c r="D208" s="47">
        <f>(36.5+6.78)*10.764</f>
        <v>465.86591999999996</v>
      </c>
      <c r="E208" s="44">
        <v>0</v>
      </c>
      <c r="F208" s="44">
        <f t="shared" si="28"/>
        <v>698.79887999999994</v>
      </c>
      <c r="G208" s="87" t="str">
        <f t="shared" si="30"/>
        <v>3rd to 6th, 8th to 11th, 13th to 16th &amp; 18th Floor</v>
      </c>
      <c r="H208" s="88"/>
      <c r="I208" s="33"/>
      <c r="L208" s="89"/>
      <c r="M208" s="89"/>
      <c r="N208" s="33"/>
    </row>
    <row r="209" spans="1:14" s="45" customFormat="1" hidden="1" x14ac:dyDescent="0.25">
      <c r="A209" s="87">
        <f t="shared" si="29"/>
        <v>6</v>
      </c>
      <c r="B209" s="88"/>
      <c r="C209" s="44" t="s">
        <v>195</v>
      </c>
      <c r="D209" s="47">
        <f>(60.52+12.05)*10.764</f>
        <v>781.14348000000007</v>
      </c>
      <c r="E209" s="44">
        <v>0</v>
      </c>
      <c r="F209" s="44">
        <f t="shared" si="28"/>
        <v>1171.71522</v>
      </c>
      <c r="G209" s="87" t="str">
        <f t="shared" si="30"/>
        <v>3rd to 6th, 8th to 11th, 13th to 16th &amp; 18th Floor</v>
      </c>
      <c r="H209" s="88"/>
      <c r="I209" s="33"/>
      <c r="L209" s="89"/>
      <c r="M209" s="89"/>
      <c r="N209" s="33"/>
    </row>
    <row r="210" spans="1:14" s="45" customFormat="1" hidden="1" x14ac:dyDescent="0.25">
      <c r="A210" s="87">
        <f t="shared" si="29"/>
        <v>7</v>
      </c>
      <c r="B210" s="88"/>
      <c r="C210" s="44" t="s">
        <v>195</v>
      </c>
      <c r="D210" s="47">
        <f>(57.55+12.42)*10.764</f>
        <v>753.15707999999995</v>
      </c>
      <c r="E210" s="44">
        <v>0</v>
      </c>
      <c r="F210" s="44">
        <f t="shared" si="28"/>
        <v>1129.7356199999999</v>
      </c>
      <c r="G210" s="87" t="str">
        <f t="shared" si="30"/>
        <v>3rd to 6th, 8th to 11th, 13th to 16th &amp; 18th Floor</v>
      </c>
      <c r="H210" s="88"/>
      <c r="I210" s="33"/>
      <c r="L210" s="89"/>
      <c r="M210" s="89"/>
      <c r="N210" s="33"/>
    </row>
    <row r="211" spans="1:14" s="45" customFormat="1" hidden="1" x14ac:dyDescent="0.25">
      <c r="A211" s="87">
        <f t="shared" si="29"/>
        <v>8</v>
      </c>
      <c r="B211" s="88"/>
      <c r="C211" s="44" t="s">
        <v>195</v>
      </c>
      <c r="D211" s="47">
        <f>(57.55+12.42)*10.764</f>
        <v>753.15707999999995</v>
      </c>
      <c r="E211" s="44">
        <v>0</v>
      </c>
      <c r="F211" s="44">
        <f t="shared" si="28"/>
        <v>1129.7356199999999</v>
      </c>
      <c r="G211" s="87" t="str">
        <f t="shared" si="30"/>
        <v>3rd to 6th, 8th to 11th, 13th to 16th &amp; 18th Floor</v>
      </c>
      <c r="H211" s="88"/>
      <c r="I211" s="33"/>
      <c r="L211" s="89"/>
      <c r="M211" s="89"/>
      <c r="N211" s="33"/>
    </row>
    <row r="212" spans="1:14" s="45" customFormat="1" hidden="1" x14ac:dyDescent="0.25">
      <c r="A212" s="87">
        <f t="shared" si="29"/>
        <v>9</v>
      </c>
      <c r="B212" s="88"/>
      <c r="C212" s="44" t="s">
        <v>195</v>
      </c>
      <c r="D212" s="47">
        <f>(57.55+12.42)*10.764</f>
        <v>753.15707999999995</v>
      </c>
      <c r="E212" s="44">
        <v>0</v>
      </c>
      <c r="F212" s="44">
        <f t="shared" si="28"/>
        <v>1129.7356199999999</v>
      </c>
      <c r="G212" s="87" t="str">
        <f t="shared" si="30"/>
        <v>3rd to 6th, 8th to 11th, 13th to 16th &amp; 18th Floor</v>
      </c>
      <c r="H212" s="88"/>
      <c r="I212" s="33"/>
      <c r="L212" s="89"/>
      <c r="M212" s="89"/>
      <c r="N212" s="33"/>
    </row>
    <row r="213" spans="1:14" s="45" customFormat="1" hidden="1" x14ac:dyDescent="0.25">
      <c r="A213" s="87">
        <f t="shared" si="29"/>
        <v>10</v>
      </c>
      <c r="B213" s="88"/>
      <c r="C213" s="44" t="s">
        <v>195</v>
      </c>
      <c r="D213" s="47">
        <f>(46.3+7.35)*10.764</f>
        <v>577.48859999999991</v>
      </c>
      <c r="E213" s="44">
        <v>0</v>
      </c>
      <c r="F213" s="44">
        <f t="shared" si="28"/>
        <v>866.23289999999986</v>
      </c>
      <c r="G213" s="87" t="str">
        <f t="shared" si="30"/>
        <v>3rd to 6th, 8th to 11th, 13th to 16th &amp; 18th Floor</v>
      </c>
      <c r="H213" s="88"/>
      <c r="I213" s="33"/>
      <c r="L213" s="89"/>
      <c r="M213" s="89"/>
      <c r="N213" s="33"/>
    </row>
    <row r="214" spans="1:14" s="45" customFormat="1" hidden="1" x14ac:dyDescent="0.25">
      <c r="A214" s="87">
        <f t="shared" si="29"/>
        <v>11</v>
      </c>
      <c r="B214" s="88"/>
      <c r="C214" s="44" t="s">
        <v>194</v>
      </c>
      <c r="D214" s="47">
        <f>(31.26+6.39)*10.764</f>
        <v>405.26459999999997</v>
      </c>
      <c r="E214" s="44">
        <v>0</v>
      </c>
      <c r="F214" s="44">
        <f t="shared" si="28"/>
        <v>607.89689999999996</v>
      </c>
      <c r="G214" s="87" t="str">
        <f t="shared" si="30"/>
        <v>3rd to 6th, 8th to 11th, 13th to 16th &amp; 18th Floor</v>
      </c>
      <c r="H214" s="88"/>
      <c r="I214" s="33"/>
      <c r="L214" s="89"/>
      <c r="M214" s="89"/>
      <c r="N214" s="33"/>
    </row>
    <row r="215" spans="1:14" s="45" customFormat="1" hidden="1" x14ac:dyDescent="0.25">
      <c r="A215" s="214" t="s">
        <v>199</v>
      </c>
      <c r="B215" s="215"/>
      <c r="C215" s="215"/>
      <c r="D215" s="215"/>
      <c r="E215" s="215"/>
      <c r="F215" s="215"/>
      <c r="G215" s="215"/>
      <c r="H215" s="216"/>
      <c r="J215" s="33"/>
    </row>
    <row r="216" spans="1:14" s="45" customFormat="1" ht="15.75" hidden="1" customHeight="1" x14ac:dyDescent="0.25">
      <c r="A216" s="87">
        <v>1</v>
      </c>
      <c r="B216" s="88"/>
      <c r="C216" s="44" t="s">
        <v>194</v>
      </c>
      <c r="D216" s="47">
        <f>(36.5+6.78)*10.764</f>
        <v>465.86591999999996</v>
      </c>
      <c r="E216" s="44">
        <v>0</v>
      </c>
      <c r="F216" s="44">
        <f t="shared" ref="F216:F223" si="31">D216*(($F$190)+1)+(IF(E216&lt;101,E216,IF(E216&lt;201,E216/2,IF(E216&lt;=301,E216/3,E216/4))))</f>
        <v>698.79887999999994</v>
      </c>
      <c r="G216" s="87" t="str">
        <f>A215</f>
        <v>7th, 12th &amp; 17th Floor (Part Refuge Area)</v>
      </c>
      <c r="H216" s="88"/>
      <c r="I216" s="33"/>
      <c r="L216" s="89"/>
      <c r="M216" s="89"/>
      <c r="N216" s="33"/>
    </row>
    <row r="217" spans="1:14" s="45" customFormat="1" hidden="1" x14ac:dyDescent="0.25">
      <c r="A217" s="87">
        <f t="shared" ref="A217:A226" si="32">A216+1</f>
        <v>2</v>
      </c>
      <c r="B217" s="88"/>
      <c r="C217" s="44" t="s">
        <v>194</v>
      </c>
      <c r="D217" s="47">
        <f>(31.38+2.92)*10.764</f>
        <v>369.20519999999993</v>
      </c>
      <c r="E217" s="44">
        <v>0</v>
      </c>
      <c r="F217" s="44">
        <f t="shared" si="31"/>
        <v>553.80779999999993</v>
      </c>
      <c r="G217" s="87" t="str">
        <f t="shared" ref="G217:G226" si="33">G216</f>
        <v>7th, 12th &amp; 17th Floor (Part Refuge Area)</v>
      </c>
      <c r="H217" s="88"/>
      <c r="I217" s="33"/>
      <c r="L217" s="89"/>
      <c r="M217" s="89"/>
      <c r="N217" s="33"/>
    </row>
    <row r="218" spans="1:14" s="45" customFormat="1" hidden="1" x14ac:dyDescent="0.25">
      <c r="A218" s="87">
        <f t="shared" si="32"/>
        <v>3</v>
      </c>
      <c r="B218" s="88"/>
      <c r="C218" s="44" t="s">
        <v>194</v>
      </c>
      <c r="D218" s="47">
        <f>(31.38+2.92)*10.764</f>
        <v>369.20519999999993</v>
      </c>
      <c r="E218" s="44">
        <v>0</v>
      </c>
      <c r="F218" s="44">
        <f t="shared" si="31"/>
        <v>553.80779999999993</v>
      </c>
      <c r="G218" s="87" t="str">
        <f t="shared" si="33"/>
        <v>7th, 12th &amp; 17th Floor (Part Refuge Area)</v>
      </c>
      <c r="H218" s="88"/>
      <c r="I218" s="33"/>
      <c r="L218" s="89"/>
      <c r="M218" s="89"/>
      <c r="N218" s="33"/>
    </row>
    <row r="219" spans="1:14" s="45" customFormat="1" hidden="1" x14ac:dyDescent="0.25">
      <c r="A219" s="87">
        <f t="shared" si="32"/>
        <v>4</v>
      </c>
      <c r="B219" s="88"/>
      <c r="C219" s="44" t="s">
        <v>194</v>
      </c>
      <c r="D219" s="47">
        <f>(36.5+6.78)*10.764</f>
        <v>465.86591999999996</v>
      </c>
      <c r="E219" s="44">
        <v>0</v>
      </c>
      <c r="F219" s="44">
        <f t="shared" si="31"/>
        <v>698.79887999999994</v>
      </c>
      <c r="G219" s="87" t="str">
        <f t="shared" si="33"/>
        <v>7th, 12th &amp; 17th Floor (Part Refuge Area)</v>
      </c>
      <c r="H219" s="88"/>
      <c r="I219" s="33"/>
      <c r="L219" s="89"/>
      <c r="M219" s="89"/>
      <c r="N219" s="33"/>
    </row>
    <row r="220" spans="1:14" s="45" customFormat="1" hidden="1" x14ac:dyDescent="0.25">
      <c r="A220" s="87">
        <f t="shared" si="32"/>
        <v>5</v>
      </c>
      <c r="B220" s="88"/>
      <c r="C220" s="44" t="s">
        <v>194</v>
      </c>
      <c r="D220" s="47">
        <f>(36.5+6.78)*10.764</f>
        <v>465.86591999999996</v>
      </c>
      <c r="E220" s="44">
        <v>0</v>
      </c>
      <c r="F220" s="44">
        <f t="shared" si="31"/>
        <v>698.79887999999994</v>
      </c>
      <c r="G220" s="87" t="str">
        <f t="shared" si="33"/>
        <v>7th, 12th &amp; 17th Floor (Part Refuge Area)</v>
      </c>
      <c r="H220" s="88"/>
      <c r="I220" s="33"/>
      <c r="L220" s="89"/>
      <c r="M220" s="89"/>
      <c r="N220" s="33"/>
    </row>
    <row r="221" spans="1:14" s="45" customFormat="1" hidden="1" x14ac:dyDescent="0.25">
      <c r="A221" s="87">
        <f t="shared" si="32"/>
        <v>6</v>
      </c>
      <c r="B221" s="88"/>
      <c r="C221" s="44" t="s">
        <v>195</v>
      </c>
      <c r="D221" s="47">
        <f>(60.52+12.05)*10.764</f>
        <v>781.14348000000007</v>
      </c>
      <c r="E221" s="44">
        <v>0</v>
      </c>
      <c r="F221" s="44">
        <f t="shared" si="31"/>
        <v>1171.71522</v>
      </c>
      <c r="G221" s="87" t="str">
        <f t="shared" si="33"/>
        <v>7th, 12th &amp; 17th Floor (Part Refuge Area)</v>
      </c>
      <c r="H221" s="88"/>
      <c r="I221" s="33"/>
      <c r="L221" s="89"/>
      <c r="M221" s="89"/>
      <c r="N221" s="33"/>
    </row>
    <row r="222" spans="1:14" s="45" customFormat="1" hidden="1" x14ac:dyDescent="0.25">
      <c r="A222" s="87">
        <f t="shared" si="32"/>
        <v>7</v>
      </c>
      <c r="B222" s="88"/>
      <c r="C222" s="44" t="s">
        <v>195</v>
      </c>
      <c r="D222" s="47">
        <f>(57.55+12.42)*10.764</f>
        <v>753.15707999999995</v>
      </c>
      <c r="E222" s="44">
        <v>0</v>
      </c>
      <c r="F222" s="44">
        <f t="shared" si="31"/>
        <v>1129.7356199999999</v>
      </c>
      <c r="G222" s="87" t="str">
        <f t="shared" si="33"/>
        <v>7th, 12th &amp; 17th Floor (Part Refuge Area)</v>
      </c>
      <c r="H222" s="88"/>
      <c r="I222" s="33"/>
      <c r="L222" s="89"/>
      <c r="M222" s="89"/>
      <c r="N222" s="33"/>
    </row>
    <row r="223" spans="1:14" s="45" customFormat="1" hidden="1" x14ac:dyDescent="0.25">
      <c r="A223" s="87">
        <f t="shared" si="32"/>
        <v>8</v>
      </c>
      <c r="B223" s="88"/>
      <c r="C223" s="44" t="s">
        <v>195</v>
      </c>
      <c r="D223" s="47">
        <f>(57.55+12.42)*10.764</f>
        <v>753.15707999999995</v>
      </c>
      <c r="E223" s="44">
        <v>0</v>
      </c>
      <c r="F223" s="44">
        <f t="shared" si="31"/>
        <v>1129.7356199999999</v>
      </c>
      <c r="G223" s="87" t="str">
        <f t="shared" si="33"/>
        <v>7th, 12th &amp; 17th Floor (Part Refuge Area)</v>
      </c>
      <c r="H223" s="88"/>
      <c r="I223" s="33"/>
      <c r="L223" s="89"/>
      <c r="M223" s="89"/>
      <c r="N223" s="33"/>
    </row>
    <row r="224" spans="1:14" s="45" customFormat="1" hidden="1" x14ac:dyDescent="0.25">
      <c r="A224" s="87">
        <f t="shared" si="32"/>
        <v>9</v>
      </c>
      <c r="B224" s="88"/>
      <c r="C224" s="87" t="s">
        <v>200</v>
      </c>
      <c r="D224" s="217"/>
      <c r="E224" s="217"/>
      <c r="F224" s="88"/>
      <c r="G224" s="87" t="str">
        <f t="shared" si="33"/>
        <v>7th, 12th &amp; 17th Floor (Part Refuge Area)</v>
      </c>
      <c r="H224" s="88"/>
      <c r="I224" s="33"/>
      <c r="L224" s="89"/>
      <c r="M224" s="89"/>
      <c r="N224" s="33"/>
    </row>
    <row r="225" spans="1:14" s="45" customFormat="1" hidden="1" x14ac:dyDescent="0.25">
      <c r="A225" s="87">
        <f t="shared" si="32"/>
        <v>10</v>
      </c>
      <c r="B225" s="88"/>
      <c r="C225" s="44" t="s">
        <v>195</v>
      </c>
      <c r="D225" s="47">
        <f>(46.3+7.35)*10.764</f>
        <v>577.48859999999991</v>
      </c>
      <c r="E225" s="44">
        <v>0</v>
      </c>
      <c r="F225" s="44">
        <f>D225*(($F$190)+1)+(IF(E225&lt;101,E225,IF(E225&lt;201,E225/2,IF(E225&lt;=301,E225/3,E225/4))))</f>
        <v>866.23289999999986</v>
      </c>
      <c r="G225" s="87" t="str">
        <f t="shared" si="33"/>
        <v>7th, 12th &amp; 17th Floor (Part Refuge Area)</v>
      </c>
      <c r="H225" s="88"/>
      <c r="I225" s="33"/>
      <c r="L225" s="89"/>
      <c r="M225" s="89"/>
      <c r="N225" s="33"/>
    </row>
    <row r="226" spans="1:14" s="45" customFormat="1" hidden="1" x14ac:dyDescent="0.25">
      <c r="A226" s="87">
        <f t="shared" si="32"/>
        <v>11</v>
      </c>
      <c r="B226" s="88"/>
      <c r="C226" s="44" t="s">
        <v>194</v>
      </c>
      <c r="D226" s="47">
        <f>(31.26+6.39)*10.764</f>
        <v>405.26459999999997</v>
      </c>
      <c r="E226" s="44">
        <v>0</v>
      </c>
      <c r="F226" s="44">
        <f>D226*(($F$190)+1)+(IF(E226&lt;101,E226,IF(E226&lt;201,E226/2,IF(E226&lt;=301,E226/3,E226/4))))</f>
        <v>607.89689999999996</v>
      </c>
      <c r="G226" s="87" t="str">
        <f t="shared" si="33"/>
        <v>7th, 12th &amp; 17th Floor (Part Refuge Area)</v>
      </c>
      <c r="H226" s="88"/>
      <c r="I226" s="33"/>
      <c r="L226" s="89"/>
      <c r="M226" s="89"/>
      <c r="N226" s="33"/>
    </row>
    <row r="227" spans="1:14" s="32" customFormat="1" x14ac:dyDescent="0.25">
      <c r="A227" s="192" t="s">
        <v>69</v>
      </c>
      <c r="B227" s="192"/>
      <c r="C227" s="192"/>
      <c r="D227" s="192"/>
      <c r="E227" s="192"/>
      <c r="F227" s="192"/>
      <c r="G227" s="192"/>
      <c r="H227" s="192"/>
    </row>
    <row r="228" spans="1:14" s="32" customFormat="1" x14ac:dyDescent="0.25">
      <c r="A228" s="40" t="s">
        <v>157</v>
      </c>
      <c r="B228" s="91" t="s">
        <v>223</v>
      </c>
      <c r="C228" s="92"/>
      <c r="D228" s="92"/>
      <c r="E228" s="92"/>
      <c r="F228" s="92"/>
      <c r="G228" s="92"/>
      <c r="H228" s="93"/>
    </row>
    <row r="229" spans="1:14" s="32" customFormat="1" x14ac:dyDescent="0.25">
      <c r="A229" s="40" t="s">
        <v>157</v>
      </c>
      <c r="B229" s="91" t="str">
        <f>(IF(F189="Saleable area Loading :","We have considered Saleable area of Flats as per our Calculation.","We considered Saleable area of Flat as per Builder area Sheet."))</f>
        <v>We have considered Saleable area of Flats as per our Calculation.</v>
      </c>
      <c r="C229" s="92"/>
      <c r="D229" s="92"/>
      <c r="E229" s="92"/>
      <c r="F229" s="92"/>
      <c r="G229" s="92"/>
      <c r="H229" s="93"/>
    </row>
    <row r="230" spans="1:14" s="32" customFormat="1" x14ac:dyDescent="0.25">
      <c r="A230" s="40" t="s">
        <v>157</v>
      </c>
      <c r="B230" s="91" t="str">
        <f>(IF(F124="Saleable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0" s="92"/>
      <c r="D230" s="92"/>
      <c r="E230" s="92"/>
      <c r="F230" s="92"/>
      <c r="G230" s="92"/>
      <c r="H230" s="93"/>
    </row>
    <row r="231" spans="1:14" s="32" customFormat="1" x14ac:dyDescent="0.25">
      <c r="A231" s="40" t="s">
        <v>157</v>
      </c>
      <c r="B231" s="189" t="s">
        <v>127</v>
      </c>
      <c r="C231" s="190"/>
      <c r="D231" s="190"/>
      <c r="E231" s="190"/>
      <c r="F231" s="190"/>
      <c r="G231" s="190"/>
      <c r="H231" s="191"/>
    </row>
    <row r="232" spans="1:14" s="32" customFormat="1" x14ac:dyDescent="0.25">
      <c r="A232" s="40" t="s">
        <v>157</v>
      </c>
      <c r="B232" s="189" t="s">
        <v>201</v>
      </c>
      <c r="C232" s="190"/>
      <c r="D232" s="190"/>
      <c r="E232" s="190"/>
      <c r="F232" s="190"/>
      <c r="G232" s="190"/>
      <c r="H232" s="191"/>
    </row>
    <row r="233" spans="1:14" s="32" customFormat="1" x14ac:dyDescent="0.25">
      <c r="A233" s="40" t="s">
        <v>157</v>
      </c>
      <c r="B233" s="189" t="s">
        <v>156</v>
      </c>
      <c r="C233" s="190"/>
      <c r="D233" s="190"/>
      <c r="E233" s="190"/>
      <c r="F233" s="190"/>
      <c r="G233" s="190"/>
      <c r="H233" s="191"/>
    </row>
    <row r="234" spans="1:14" s="32" customFormat="1" x14ac:dyDescent="0.25">
      <c r="A234" s="40" t="s">
        <v>157</v>
      </c>
      <c r="B234" s="189" t="s">
        <v>128</v>
      </c>
      <c r="C234" s="190"/>
      <c r="D234" s="190"/>
      <c r="E234" s="190"/>
      <c r="F234" s="190"/>
      <c r="G234" s="190"/>
      <c r="H234" s="191"/>
    </row>
    <row r="235" spans="1:14" s="32" customFormat="1" ht="30.75" customHeight="1" x14ac:dyDescent="0.25">
      <c r="A235" s="40" t="s">
        <v>157</v>
      </c>
      <c r="B235" s="189" t="s">
        <v>158</v>
      </c>
      <c r="C235" s="190"/>
      <c r="D235" s="190"/>
      <c r="E235" s="190"/>
      <c r="F235" s="190"/>
      <c r="G235" s="190"/>
      <c r="H235" s="191"/>
    </row>
    <row r="236" spans="1:14" s="32" customFormat="1" x14ac:dyDescent="0.25">
      <c r="A236" s="46" t="s">
        <v>157</v>
      </c>
      <c r="B236" s="189" t="s">
        <v>129</v>
      </c>
      <c r="C236" s="190"/>
      <c r="D236" s="190"/>
      <c r="E236" s="190"/>
      <c r="F236" s="190"/>
      <c r="G236" s="190"/>
      <c r="H236" s="191"/>
    </row>
    <row r="237" spans="1:14" s="49" customFormat="1" hidden="1" x14ac:dyDescent="0.25">
      <c r="A237" s="50" t="s">
        <v>157</v>
      </c>
      <c r="B237" s="91" t="s">
        <v>209</v>
      </c>
      <c r="C237" s="92"/>
      <c r="D237" s="92"/>
      <c r="E237" s="92"/>
      <c r="F237" s="92"/>
      <c r="G237" s="92"/>
      <c r="H237" s="93"/>
    </row>
    <row r="238" spans="1:14" s="49" customFormat="1" x14ac:dyDescent="0.25">
      <c r="A238" s="50" t="s">
        <v>157</v>
      </c>
      <c r="B238" s="91" t="s">
        <v>210</v>
      </c>
      <c r="C238" s="92"/>
      <c r="D238" s="92"/>
      <c r="E238" s="92"/>
      <c r="F238" s="92"/>
      <c r="G238" s="92"/>
      <c r="H238" s="93"/>
    </row>
    <row r="239" spans="1:14" s="49" customFormat="1" x14ac:dyDescent="0.25">
      <c r="A239" s="84" t="s">
        <v>157</v>
      </c>
      <c r="B239" s="91" t="s">
        <v>220</v>
      </c>
      <c r="C239" s="92"/>
      <c r="D239" s="92"/>
      <c r="E239" s="92"/>
      <c r="F239" s="92"/>
      <c r="G239" s="92"/>
      <c r="H239" s="93"/>
    </row>
    <row r="240" spans="1:14" s="49" customFormat="1" x14ac:dyDescent="0.25">
      <c r="A240" s="65" t="s">
        <v>157</v>
      </c>
      <c r="B240" s="91" t="s">
        <v>247</v>
      </c>
      <c r="C240" s="92"/>
      <c r="D240" s="92"/>
      <c r="E240" s="92"/>
      <c r="F240" s="92"/>
      <c r="G240" s="92"/>
      <c r="H240" s="93"/>
    </row>
    <row r="241" spans="1:9" s="49" customFormat="1" x14ac:dyDescent="0.25">
      <c r="A241" s="64" t="s">
        <v>157</v>
      </c>
      <c r="B241" s="91" t="s">
        <v>239</v>
      </c>
      <c r="C241" s="92"/>
      <c r="D241" s="92"/>
      <c r="E241" s="92"/>
      <c r="F241" s="92"/>
      <c r="G241" s="92"/>
      <c r="H241" s="93"/>
    </row>
    <row r="242" spans="1:9" s="49" customFormat="1" ht="33.950000000000003" customHeight="1" x14ac:dyDescent="0.25">
      <c r="A242" s="71" t="s">
        <v>157</v>
      </c>
      <c r="B242" s="91" t="s">
        <v>248</v>
      </c>
      <c r="C242" s="92"/>
      <c r="D242" s="92"/>
      <c r="E242" s="92"/>
      <c r="F242" s="92"/>
      <c r="G242" s="92"/>
      <c r="H242" s="93"/>
    </row>
    <row r="243" spans="1:9" s="49" customFormat="1" ht="32.25" customHeight="1" x14ac:dyDescent="0.25">
      <c r="A243" s="82" t="s">
        <v>157</v>
      </c>
      <c r="B243" s="91" t="s">
        <v>246</v>
      </c>
      <c r="C243" s="92"/>
      <c r="D243" s="92"/>
      <c r="E243" s="92"/>
      <c r="F243" s="92"/>
      <c r="G243" s="92"/>
      <c r="H243" s="93"/>
      <c r="I243" s="86" t="s">
        <v>240</v>
      </c>
    </row>
    <row r="244" spans="1:9" x14ac:dyDescent="0.25">
      <c r="A244" s="188" t="s">
        <v>62</v>
      </c>
      <c r="B244" s="188"/>
      <c r="C244" s="188"/>
      <c r="D244" s="188"/>
      <c r="E244" s="188"/>
      <c r="F244" s="188"/>
      <c r="G244" s="188"/>
      <c r="H244" s="188"/>
    </row>
    <row r="245" spans="1:9" x14ac:dyDescent="0.25">
      <c r="A245" s="106" t="s">
        <v>63</v>
      </c>
      <c r="B245" s="106"/>
      <c r="C245" s="106"/>
      <c r="D245" s="106"/>
      <c r="E245" s="106"/>
      <c r="F245" s="106"/>
      <c r="G245" s="106"/>
      <c r="H245" s="106"/>
    </row>
    <row r="246" spans="1:9" ht="15.75" customHeight="1" x14ac:dyDescent="0.25">
      <c r="A246" s="208" t="s">
        <v>64</v>
      </c>
      <c r="B246" s="208"/>
      <c r="C246" s="208"/>
      <c r="D246" s="208"/>
      <c r="E246" s="208"/>
      <c r="F246" s="208"/>
      <c r="G246" s="208"/>
      <c r="H246" s="208"/>
    </row>
    <row r="247" spans="1:9" x14ac:dyDescent="0.25">
      <c r="A247" s="106" t="s">
        <v>65</v>
      </c>
      <c r="B247" s="106"/>
      <c r="C247" s="106"/>
      <c r="D247" s="106"/>
      <c r="E247" s="106"/>
      <c r="F247" s="106"/>
      <c r="G247" s="106"/>
      <c r="H247" s="106"/>
    </row>
    <row r="248" spans="1:9" x14ac:dyDescent="0.25">
      <c r="A248" s="106" t="s">
        <v>66</v>
      </c>
      <c r="B248" s="106"/>
      <c r="C248" s="106"/>
      <c r="D248" s="106"/>
      <c r="E248" s="106"/>
      <c r="F248" s="106"/>
      <c r="G248" s="106"/>
      <c r="H248" s="106"/>
    </row>
    <row r="249" spans="1:9" x14ac:dyDescent="0.25">
      <c r="A249" s="106" t="s">
        <v>130</v>
      </c>
      <c r="B249" s="106"/>
      <c r="C249" s="106"/>
      <c r="D249" s="106"/>
      <c r="E249" s="106"/>
      <c r="F249" s="106"/>
      <c r="G249" s="106"/>
      <c r="H249" s="106"/>
    </row>
    <row r="250" spans="1:9" x14ac:dyDescent="0.25">
      <c r="A250" s="127" t="s">
        <v>131</v>
      </c>
      <c r="B250" s="127"/>
      <c r="C250" s="127"/>
      <c r="D250" s="127"/>
      <c r="E250" s="127"/>
      <c r="F250" s="127"/>
      <c r="G250" s="127"/>
      <c r="H250" s="127"/>
    </row>
    <row r="251" spans="1:9" x14ac:dyDescent="0.25">
      <c r="A251" s="185" t="s">
        <v>79</v>
      </c>
      <c r="B251" s="185"/>
      <c r="C251" s="185" t="s">
        <v>234</v>
      </c>
      <c r="D251" s="185"/>
      <c r="E251" s="185" t="s">
        <v>108</v>
      </c>
      <c r="F251" s="185"/>
      <c r="G251" s="185" t="s">
        <v>233</v>
      </c>
      <c r="H251" s="185"/>
    </row>
    <row r="252" spans="1:9" x14ac:dyDescent="0.25">
      <c r="A252" s="184" t="s">
        <v>81</v>
      </c>
      <c r="B252" s="184"/>
      <c r="C252" s="184"/>
      <c r="D252" s="184"/>
      <c r="E252" s="184"/>
      <c r="F252" s="184"/>
      <c r="G252" s="184"/>
      <c r="H252" s="184"/>
    </row>
    <row r="253" spans="1:9" x14ac:dyDescent="0.25">
      <c r="A253" s="184"/>
      <c r="B253" s="184"/>
      <c r="C253" s="184"/>
      <c r="D253" s="184"/>
      <c r="E253" s="184"/>
      <c r="F253" s="184"/>
      <c r="G253" s="184"/>
      <c r="H253" s="184"/>
    </row>
    <row r="254" spans="1:9" x14ac:dyDescent="0.25">
      <c r="A254" s="184"/>
      <c r="B254" s="184"/>
      <c r="C254" s="184"/>
      <c r="D254" s="184"/>
      <c r="E254" s="184"/>
      <c r="F254" s="184"/>
      <c r="G254" s="184"/>
      <c r="H254" s="184"/>
    </row>
    <row r="255" spans="1:9" x14ac:dyDescent="0.25">
      <c r="A255" s="184"/>
      <c r="B255" s="184"/>
      <c r="C255" s="184"/>
      <c r="D255" s="184"/>
      <c r="E255" s="184"/>
      <c r="F255" s="184"/>
      <c r="G255" s="184"/>
      <c r="H255" s="184"/>
    </row>
    <row r="256" spans="1:9" x14ac:dyDescent="0.25">
      <c r="A256" s="35" t="s">
        <v>67</v>
      </c>
      <c r="B256" s="36"/>
      <c r="C256" s="36"/>
      <c r="D256" s="35" t="str">
        <f>E8</f>
        <v>Sai City</v>
      </c>
      <c r="F256" s="36"/>
      <c r="G256" s="36"/>
      <c r="H256" s="36"/>
    </row>
    <row r="257" spans="1:8" x14ac:dyDescent="0.25">
      <c r="A257" s="36"/>
      <c r="B257" s="36"/>
      <c r="C257" s="36"/>
      <c r="D257" s="36"/>
      <c r="E257" s="36"/>
      <c r="F257" s="36"/>
      <c r="G257" s="36"/>
      <c r="H257" s="36"/>
    </row>
    <row r="258" spans="1:8" x14ac:dyDescent="0.25">
      <c r="A258" s="36"/>
      <c r="B258" s="36"/>
      <c r="C258" s="36"/>
      <c r="D258" s="36"/>
      <c r="E258" s="36"/>
      <c r="F258" s="36"/>
      <c r="G258" s="36"/>
      <c r="H258" s="36"/>
    </row>
    <row r="259" spans="1:8" ht="15" customHeight="1" x14ac:dyDescent="0.25"/>
    <row r="299" spans="1:1" x14ac:dyDescent="0.25">
      <c r="A299" s="38" t="s">
        <v>169</v>
      </c>
    </row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spans="1:1" hidden="1" x14ac:dyDescent="0.25"/>
    <row r="338" spans="1:1" hidden="1" x14ac:dyDescent="0.25"/>
    <row r="339" spans="1:1" hidden="1" x14ac:dyDescent="0.25"/>
    <row r="340" spans="1:1" hidden="1" x14ac:dyDescent="0.25"/>
    <row r="341" spans="1:1" hidden="1" x14ac:dyDescent="0.25"/>
    <row r="342" spans="1:1" hidden="1" x14ac:dyDescent="0.25"/>
    <row r="343" spans="1:1" x14ac:dyDescent="0.25">
      <c r="A343" s="38" t="s">
        <v>68</v>
      </c>
    </row>
  </sheetData>
  <mergeCells count="554">
    <mergeCell ref="L178:M178"/>
    <mergeCell ref="A179:B179"/>
    <mergeCell ref="L179:M179"/>
    <mergeCell ref="A180:B180"/>
    <mergeCell ref="L180:M180"/>
    <mergeCell ref="A181:B181"/>
    <mergeCell ref="L181:M181"/>
    <mergeCell ref="A166:B166"/>
    <mergeCell ref="L166:M166"/>
    <mergeCell ref="A188:H188"/>
    <mergeCell ref="B242:H242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B239:H239"/>
    <mergeCell ref="A167:B167"/>
    <mergeCell ref="L167:M167"/>
    <mergeCell ref="A168:B168"/>
    <mergeCell ref="L168:M168"/>
    <mergeCell ref="A169:B169"/>
    <mergeCell ref="L169:M169"/>
    <mergeCell ref="A187:B187"/>
    <mergeCell ref="L187:M187"/>
    <mergeCell ref="A175:B175"/>
    <mergeCell ref="L175:M175"/>
    <mergeCell ref="A176:H176"/>
    <mergeCell ref="A177:B177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L177:M177"/>
    <mergeCell ref="A178:B178"/>
    <mergeCell ref="A160:A161"/>
    <mergeCell ref="B160:B161"/>
    <mergeCell ref="C160:C161"/>
    <mergeCell ref="D160:D161"/>
    <mergeCell ref="E160:E161"/>
    <mergeCell ref="F160:F161"/>
    <mergeCell ref="G160:G161"/>
    <mergeCell ref="A164:H164"/>
    <mergeCell ref="A165:B165"/>
    <mergeCell ref="C165:H165"/>
    <mergeCell ref="A163:H163"/>
    <mergeCell ref="L165:M165"/>
    <mergeCell ref="B241:H241"/>
    <mergeCell ref="A226:B226"/>
    <mergeCell ref="G226:H226"/>
    <mergeCell ref="L226:M226"/>
    <mergeCell ref="C224:F224"/>
    <mergeCell ref="B238:H238"/>
    <mergeCell ref="A223:B223"/>
    <mergeCell ref="G223:H223"/>
    <mergeCell ref="L223:M223"/>
    <mergeCell ref="A224:B224"/>
    <mergeCell ref="G224:H224"/>
    <mergeCell ref="L224:M224"/>
    <mergeCell ref="A225:B225"/>
    <mergeCell ref="G225:H225"/>
    <mergeCell ref="L225:M225"/>
    <mergeCell ref="B234:H234"/>
    <mergeCell ref="B230:H230"/>
    <mergeCell ref="B228:H228"/>
    <mergeCell ref="B229:H229"/>
    <mergeCell ref="B236:H236"/>
    <mergeCell ref="B235:H235"/>
    <mergeCell ref="B233:H233"/>
    <mergeCell ref="B240:H240"/>
    <mergeCell ref="A220:B220"/>
    <mergeCell ref="G220:H220"/>
    <mergeCell ref="L220:M220"/>
    <mergeCell ref="A221:B221"/>
    <mergeCell ref="G221:H221"/>
    <mergeCell ref="L221:M221"/>
    <mergeCell ref="A222:B222"/>
    <mergeCell ref="G222:H222"/>
    <mergeCell ref="L222:M222"/>
    <mergeCell ref="A217:B217"/>
    <mergeCell ref="G217:H217"/>
    <mergeCell ref="L217:M217"/>
    <mergeCell ref="A218:B218"/>
    <mergeCell ref="G218:H218"/>
    <mergeCell ref="L218:M218"/>
    <mergeCell ref="A219:B219"/>
    <mergeCell ref="G219:H219"/>
    <mergeCell ref="L219:M219"/>
    <mergeCell ref="A213:B213"/>
    <mergeCell ref="G213:H213"/>
    <mergeCell ref="L213:M213"/>
    <mergeCell ref="A214:B214"/>
    <mergeCell ref="G214:H214"/>
    <mergeCell ref="L214:M214"/>
    <mergeCell ref="A215:H215"/>
    <mergeCell ref="A216:B216"/>
    <mergeCell ref="G216:H216"/>
    <mergeCell ref="L216:M216"/>
    <mergeCell ref="A210:B210"/>
    <mergeCell ref="G210:H210"/>
    <mergeCell ref="L210:M210"/>
    <mergeCell ref="A211:B211"/>
    <mergeCell ref="G211:H211"/>
    <mergeCell ref="L211:M211"/>
    <mergeCell ref="A212:B212"/>
    <mergeCell ref="G212:H212"/>
    <mergeCell ref="L212:M212"/>
    <mergeCell ref="A207:B207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G198:H198"/>
    <mergeCell ref="L198:M198"/>
    <mergeCell ref="A199:B199"/>
    <mergeCell ref="G199:H199"/>
    <mergeCell ref="L199:M199"/>
    <mergeCell ref="A205:B205"/>
    <mergeCell ref="G205:H205"/>
    <mergeCell ref="L205:M205"/>
    <mergeCell ref="A206:B206"/>
    <mergeCell ref="G206:H206"/>
    <mergeCell ref="L206:M206"/>
    <mergeCell ref="G196:H196"/>
    <mergeCell ref="L196:M196"/>
    <mergeCell ref="L195:M195"/>
    <mergeCell ref="L192:M192"/>
    <mergeCell ref="L193:M193"/>
    <mergeCell ref="L194:M194"/>
    <mergeCell ref="A204:B204"/>
    <mergeCell ref="G204:H204"/>
    <mergeCell ref="L204:M204"/>
    <mergeCell ref="C192:F192"/>
    <mergeCell ref="A203:H203"/>
    <mergeCell ref="A200:B200"/>
    <mergeCell ref="G200:H200"/>
    <mergeCell ref="L200:M200"/>
    <mergeCell ref="A201:B201"/>
    <mergeCell ref="G201:H201"/>
    <mergeCell ref="L201:M201"/>
    <mergeCell ref="A202:B202"/>
    <mergeCell ref="G202:H202"/>
    <mergeCell ref="L202:M202"/>
    <mergeCell ref="A197:B197"/>
    <mergeCell ref="G197:H197"/>
    <mergeCell ref="L197:M197"/>
    <mergeCell ref="A198:B198"/>
    <mergeCell ref="L155:M155"/>
    <mergeCell ref="A156:B156"/>
    <mergeCell ref="G156:H156"/>
    <mergeCell ref="L156:M156"/>
    <mergeCell ref="A157:B157"/>
    <mergeCell ref="G157:H157"/>
    <mergeCell ref="L157:M157"/>
    <mergeCell ref="A158:B158"/>
    <mergeCell ref="G158:H158"/>
    <mergeCell ref="L158:M158"/>
    <mergeCell ref="L151:M151"/>
    <mergeCell ref="A152:B152"/>
    <mergeCell ref="G152:H152"/>
    <mergeCell ref="L152:M152"/>
    <mergeCell ref="A153:B153"/>
    <mergeCell ref="G153:H153"/>
    <mergeCell ref="L153:M153"/>
    <mergeCell ref="A154:B154"/>
    <mergeCell ref="G154:H154"/>
    <mergeCell ref="L154:M154"/>
    <mergeCell ref="L147:M147"/>
    <mergeCell ref="A148:B148"/>
    <mergeCell ref="G148:H148"/>
    <mergeCell ref="L148:M148"/>
    <mergeCell ref="A149:B149"/>
    <mergeCell ref="G149:H149"/>
    <mergeCell ref="L149:M149"/>
    <mergeCell ref="A150:B150"/>
    <mergeCell ref="G150:H150"/>
    <mergeCell ref="L150:M150"/>
    <mergeCell ref="L142:M142"/>
    <mergeCell ref="A143:H143"/>
    <mergeCell ref="A144:B144"/>
    <mergeCell ref="G144:H144"/>
    <mergeCell ref="L144:M144"/>
    <mergeCell ref="A145:B145"/>
    <mergeCell ref="G145:H145"/>
    <mergeCell ref="L145:M145"/>
    <mergeCell ref="A146:B146"/>
    <mergeCell ref="G146:H146"/>
    <mergeCell ref="L146:M146"/>
    <mergeCell ref="L138:M138"/>
    <mergeCell ref="A139:B139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L129:M129"/>
    <mergeCell ref="L128:M128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L132:M132"/>
    <mergeCell ref="A133:B133"/>
    <mergeCell ref="G133:H133"/>
    <mergeCell ref="L133:M133"/>
    <mergeCell ref="A134:B134"/>
    <mergeCell ref="G134:H134"/>
    <mergeCell ref="L134:M134"/>
    <mergeCell ref="L131:M131"/>
    <mergeCell ref="L130:M130"/>
    <mergeCell ref="G129:H129"/>
    <mergeCell ref="G131:H131"/>
    <mergeCell ref="A128:B128"/>
    <mergeCell ref="A129:B129"/>
    <mergeCell ref="E41:H41"/>
    <mergeCell ref="A41:D41"/>
    <mergeCell ref="A249:H249"/>
    <mergeCell ref="A246:H246"/>
    <mergeCell ref="A99:B99"/>
    <mergeCell ref="D189:D190"/>
    <mergeCell ref="E189:E190"/>
    <mergeCell ref="G189:H190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126:H126"/>
    <mergeCell ref="A132:B132"/>
    <mergeCell ref="G132:H132"/>
    <mergeCell ref="A138:B138"/>
    <mergeCell ref="G192:H192"/>
    <mergeCell ref="A53:H53"/>
    <mergeCell ref="A54:C54"/>
    <mergeCell ref="A55:C55"/>
    <mergeCell ref="D55:H55"/>
    <mergeCell ref="G52:H52"/>
    <mergeCell ref="C51:H51"/>
    <mergeCell ref="A102:B102"/>
    <mergeCell ref="C102:D102"/>
    <mergeCell ref="E102:F102"/>
    <mergeCell ref="G102:H102"/>
    <mergeCell ref="E94:F94"/>
    <mergeCell ref="A94:B94"/>
    <mergeCell ref="A96:B96"/>
    <mergeCell ref="C101:D101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193:B193"/>
    <mergeCell ref="G193:H193"/>
    <mergeCell ref="A194:B194"/>
    <mergeCell ref="G194:H194"/>
    <mergeCell ref="B231:H231"/>
    <mergeCell ref="B232:H232"/>
    <mergeCell ref="A227:H227"/>
    <mergeCell ref="A195:B195"/>
    <mergeCell ref="B124:B125"/>
    <mergeCell ref="A124:A125"/>
    <mergeCell ref="C189:C190"/>
    <mergeCell ref="A191:H191"/>
    <mergeCell ref="G195:H195"/>
    <mergeCell ref="A196:B196"/>
    <mergeCell ref="E124:E125"/>
    <mergeCell ref="G124:H125"/>
    <mergeCell ref="A192:B192"/>
    <mergeCell ref="G138:H138"/>
    <mergeCell ref="A142:B142"/>
    <mergeCell ref="G142:H142"/>
    <mergeCell ref="A147:B147"/>
    <mergeCell ref="G147:H147"/>
    <mergeCell ref="A151:B151"/>
    <mergeCell ref="G151:H151"/>
    <mergeCell ref="A252:H255"/>
    <mergeCell ref="A251:B251"/>
    <mergeCell ref="E251:F251"/>
    <mergeCell ref="C251:D251"/>
    <mergeCell ref="G251:H251"/>
    <mergeCell ref="A93:H93"/>
    <mergeCell ref="A91:E91"/>
    <mergeCell ref="F91:H91"/>
    <mergeCell ref="A92:E92"/>
    <mergeCell ref="F92:H92"/>
    <mergeCell ref="A100:B100"/>
    <mergeCell ref="A95:B95"/>
    <mergeCell ref="A247:H247"/>
    <mergeCell ref="A98:H98"/>
    <mergeCell ref="A250:H250"/>
    <mergeCell ref="A248:H248"/>
    <mergeCell ref="A244:H244"/>
    <mergeCell ref="C99:D99"/>
    <mergeCell ref="G99:H99"/>
    <mergeCell ref="A245:H245"/>
    <mergeCell ref="E99:F99"/>
    <mergeCell ref="B237:H237"/>
    <mergeCell ref="G130:H130"/>
    <mergeCell ref="G128:H12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A52:B52"/>
    <mergeCell ref="C52:E52"/>
    <mergeCell ref="A49:B49"/>
    <mergeCell ref="A42:D42"/>
    <mergeCell ref="E42:H42"/>
    <mergeCell ref="E43:H43"/>
    <mergeCell ref="E44:H44"/>
    <mergeCell ref="E45:H45"/>
    <mergeCell ref="A44:D44"/>
    <mergeCell ref="A76:B7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D63:H63"/>
    <mergeCell ref="A69:B69"/>
    <mergeCell ref="G68:H68"/>
    <mergeCell ref="A63:C63"/>
    <mergeCell ref="A47:B47"/>
    <mergeCell ref="C47:H47"/>
    <mergeCell ref="A59:C59"/>
    <mergeCell ref="D58:H58"/>
    <mergeCell ref="E69:F78"/>
    <mergeCell ref="G69:H78"/>
    <mergeCell ref="A77:B77"/>
    <mergeCell ref="A78:B78"/>
    <mergeCell ref="D59:H59"/>
    <mergeCell ref="F87:H87"/>
    <mergeCell ref="A86:E86"/>
    <mergeCell ref="F82:H82"/>
    <mergeCell ref="A87:E87"/>
    <mergeCell ref="A82:E82"/>
    <mergeCell ref="A79:E79"/>
    <mergeCell ref="F83:H83"/>
    <mergeCell ref="A84:E84"/>
    <mergeCell ref="F86:H86"/>
    <mergeCell ref="A80:E80"/>
    <mergeCell ref="F79:H79"/>
    <mergeCell ref="F84:H84"/>
    <mergeCell ref="F81:H81"/>
    <mergeCell ref="A81:E81"/>
    <mergeCell ref="A83:E83"/>
    <mergeCell ref="A85:E85"/>
    <mergeCell ref="F85:H85"/>
    <mergeCell ref="F90:H90"/>
    <mergeCell ref="F88:H88"/>
    <mergeCell ref="A104:H104"/>
    <mergeCell ref="G94:H94"/>
    <mergeCell ref="A89:E89"/>
    <mergeCell ref="C95:D95"/>
    <mergeCell ref="E95:F95"/>
    <mergeCell ref="A103:H103"/>
    <mergeCell ref="C100:D100"/>
    <mergeCell ref="E100:F100"/>
    <mergeCell ref="A88:E88"/>
    <mergeCell ref="F89:H89"/>
    <mergeCell ref="A159:H159"/>
    <mergeCell ref="A189:A190"/>
    <mergeCell ref="A90:E90"/>
    <mergeCell ref="G101:H101"/>
    <mergeCell ref="C96:D96"/>
    <mergeCell ref="E96:F96"/>
    <mergeCell ref="G96:H96"/>
    <mergeCell ref="A97:B97"/>
    <mergeCell ref="C97:D97"/>
    <mergeCell ref="E97:F97"/>
    <mergeCell ref="G97:H97"/>
    <mergeCell ref="C124:C125"/>
    <mergeCell ref="B189:B190"/>
    <mergeCell ref="A131:B131"/>
    <mergeCell ref="A130:B130"/>
    <mergeCell ref="A155:B155"/>
    <mergeCell ref="G155:H155"/>
    <mergeCell ref="A101:B101"/>
    <mergeCell ref="E101:F101"/>
    <mergeCell ref="A127:H127"/>
    <mergeCell ref="D124:D125"/>
    <mergeCell ref="G100:H100"/>
    <mergeCell ref="C94:D94"/>
    <mergeCell ref="A105:A106"/>
    <mergeCell ref="L120:M120"/>
    <mergeCell ref="A121:B121"/>
    <mergeCell ref="L121:M121"/>
    <mergeCell ref="A122:B122"/>
    <mergeCell ref="L122:M122"/>
    <mergeCell ref="A123:B123"/>
    <mergeCell ref="L123:M123"/>
    <mergeCell ref="B105:B106"/>
    <mergeCell ref="C105:C106"/>
    <mergeCell ref="D105:D106"/>
    <mergeCell ref="E105:E106"/>
    <mergeCell ref="F105:F106"/>
    <mergeCell ref="G105:G106"/>
    <mergeCell ref="A108:H108"/>
    <mergeCell ref="A109:B109"/>
    <mergeCell ref="L109:M109"/>
    <mergeCell ref="A110:B110"/>
    <mergeCell ref="L110:M110"/>
    <mergeCell ref="A111:B111"/>
    <mergeCell ref="L111:M111"/>
    <mergeCell ref="A112:B112"/>
    <mergeCell ref="L112:M112"/>
    <mergeCell ref="A107:H107"/>
    <mergeCell ref="B243:H243"/>
    <mergeCell ref="A162:H162"/>
    <mergeCell ref="A113:B113"/>
    <mergeCell ref="L113:M113"/>
    <mergeCell ref="A114:B114"/>
    <mergeCell ref="L114:M114"/>
    <mergeCell ref="A115:B115"/>
    <mergeCell ref="L115:M115"/>
    <mergeCell ref="A116:B116"/>
    <mergeCell ref="L116:M116"/>
    <mergeCell ref="A117:B117"/>
    <mergeCell ref="L117:M117"/>
    <mergeCell ref="A118:B118"/>
    <mergeCell ref="L118:M118"/>
    <mergeCell ref="A119:B119"/>
    <mergeCell ref="L119:M119"/>
    <mergeCell ref="A120:B120"/>
  </mergeCells>
  <dataValidations count="7">
    <dataValidation type="list" allowBlank="1" showInputMessage="1" showErrorMessage="1" sqref="D105:D106 D160:D161">
      <formula1>"Carpet area,RERA Carpet area"</formula1>
    </dataValidation>
    <dataValidation type="list" allowBlank="1" showInputMessage="1" showErrorMessage="1" sqref="H160 H105">
      <formula1>"Saleable area Loading :,Builder Saleable Area"</formula1>
    </dataValidation>
    <dataValidation type="list" allowBlank="1" showInputMessage="1" showErrorMessage="1" sqref="H106 H161">
      <formula1>".45,.50,.55,.60"</formula1>
    </dataValidation>
    <dataValidation type="list" allowBlank="1" showInputMessage="1" showErrorMessage="1" sqref="E160:E161">
      <formula1>"Fungible area,Balcony Area,Chajja Area,Cornice Area,AP Area,WS Area"</formula1>
    </dataValidation>
    <dataValidation type="list" allowBlank="1" showInputMessage="1" showErrorMessage="1" sqref="B160:B161">
      <formula1>"Flat No. (Sale Plan),Sale / Rehab,Sale / Mhada"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E105:E106">
      <formula1>"Attached Loft area,Attached Otla area,Attached Mezzanine area"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4" max="16383" man="1"/>
    <brk id="226" max="7" man="1"/>
    <brk id="255" max="16383" man="1"/>
    <brk id="298" max="16383" man="1"/>
    <brk id="34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85" zoomScaleNormal="85" workbookViewId="0">
      <selection activeCell="I43" sqref="I4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1" t="s">
        <v>109</v>
      </c>
      <c r="C3" s="221"/>
      <c r="D3" s="221"/>
      <c r="E3" s="221"/>
      <c r="F3" s="221"/>
      <c r="G3" s="221"/>
      <c r="H3" s="221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2025-08-28T07:11:51Z</cp:lastPrinted>
  <dcterms:created xsi:type="dcterms:W3CDTF">2019-07-16T09:29:46Z</dcterms:created>
  <dcterms:modified xsi:type="dcterms:W3CDTF">2025-08-28T07:13:30Z</dcterms:modified>
</cp:coreProperties>
</file>