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Kunal\Aug 25\RBL\Old\"/>
    </mc:Choice>
  </mc:AlternateContent>
  <xr:revisionPtr revIDLastSave="0" documentId="13_ncr:1_{C9AE8653-D419-45DE-8C36-809F1B393C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Sheet1!$A$1:$F$1726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2" i="1" l="1"/>
  <c r="C133" i="1" s="1"/>
  <c r="H209" i="1"/>
  <c r="C201" i="1" s="1"/>
  <c r="D209" i="1"/>
  <c r="H208" i="1"/>
  <c r="D208" i="1"/>
  <c r="H207" i="1"/>
  <c r="D207" i="1"/>
  <c r="H206" i="1"/>
  <c r="D206" i="1"/>
  <c r="H205" i="1"/>
  <c r="D205" i="1"/>
  <c r="H204" i="1"/>
  <c r="H203" i="1"/>
  <c r="C203" i="1"/>
  <c r="D203" i="1" s="1"/>
  <c r="H202" i="1"/>
  <c r="D202" i="1"/>
  <c r="D200" i="1"/>
  <c r="D214" i="1"/>
  <c r="D216" i="1"/>
  <c r="H216" i="1"/>
  <c r="C217" i="1"/>
  <c r="D217" i="1" s="1"/>
  <c r="H217" i="1"/>
  <c r="H218" i="1"/>
  <c r="D219" i="1"/>
  <c r="H219" i="1"/>
  <c r="D220" i="1"/>
  <c r="H220" i="1"/>
  <c r="D221" i="1"/>
  <c r="H221" i="1"/>
  <c r="D222" i="1"/>
  <c r="H222" i="1"/>
  <c r="D223" i="1"/>
  <c r="H223" i="1"/>
  <c r="C215" i="1" s="1"/>
  <c r="D218" i="1" l="1"/>
  <c r="D204" i="1"/>
  <c r="D201" i="1"/>
  <c r="E214" i="1"/>
  <c r="G210" i="1" s="1"/>
  <c r="B212" i="1" s="1"/>
  <c r="D215" i="1"/>
  <c r="H195" i="1"/>
  <c r="C187" i="1" s="1"/>
  <c r="D187" i="1" s="1"/>
  <c r="D195" i="1"/>
  <c r="H194" i="1"/>
  <c r="D194" i="1"/>
  <c r="H193" i="1"/>
  <c r="D193" i="1"/>
  <c r="H192" i="1"/>
  <c r="D192" i="1"/>
  <c r="H191" i="1"/>
  <c r="D191" i="1"/>
  <c r="H190" i="1"/>
  <c r="H189" i="1"/>
  <c r="C189" i="1"/>
  <c r="D189" i="1" s="1"/>
  <c r="H188" i="1"/>
  <c r="D188" i="1"/>
  <c r="D186" i="1"/>
  <c r="H153" i="1"/>
  <c r="C145" i="1" s="1"/>
  <c r="D145" i="1" s="1"/>
  <c r="D153" i="1"/>
  <c r="H152" i="1"/>
  <c r="D152" i="1"/>
  <c r="H151" i="1"/>
  <c r="D151" i="1"/>
  <c r="H150" i="1"/>
  <c r="D150" i="1"/>
  <c r="H149" i="1"/>
  <c r="D149" i="1"/>
  <c r="H148" i="1"/>
  <c r="H147" i="1"/>
  <c r="C147" i="1"/>
  <c r="C148" i="1" s="1"/>
  <c r="H146" i="1"/>
  <c r="D146" i="1"/>
  <c r="D144" i="1"/>
  <c r="E200" i="1" l="1"/>
  <c r="G196" i="1" s="1"/>
  <c r="B198" i="1" s="1"/>
  <c r="D190" i="1"/>
  <c r="D148" i="1"/>
  <c r="D147" i="1"/>
  <c r="E186" i="1" l="1"/>
  <c r="G182" i="1" s="1"/>
  <c r="B184" i="1" s="1"/>
  <c r="E144" i="1"/>
  <c r="G140" i="1" s="1"/>
  <c r="B142" i="1" s="1"/>
  <c r="C275" i="1" l="1"/>
  <c r="C276" i="1" s="1"/>
  <c r="C261" i="1"/>
  <c r="C262" i="1" s="1"/>
  <c r="C247" i="1"/>
  <c r="C231" i="1"/>
  <c r="C175" i="1"/>
  <c r="C161" i="1"/>
  <c r="C162" i="1" s="1"/>
  <c r="H167" i="1"/>
  <c r="C159" i="1" s="1"/>
  <c r="D167" i="1"/>
  <c r="H166" i="1"/>
  <c r="D166" i="1"/>
  <c r="H165" i="1"/>
  <c r="D165" i="1"/>
  <c r="H164" i="1"/>
  <c r="D164" i="1"/>
  <c r="H163" i="1"/>
  <c r="D163" i="1"/>
  <c r="H162" i="1"/>
  <c r="H161" i="1"/>
  <c r="H160" i="1"/>
  <c r="D160" i="1"/>
  <c r="D158" i="1"/>
  <c r="B13" i="1"/>
  <c r="D162" i="1" l="1"/>
  <c r="D159" i="1"/>
  <c r="E158" i="1"/>
  <c r="D161" i="1"/>
  <c r="G154" i="1" l="1"/>
  <c r="B156" i="1" s="1"/>
  <c r="H281" i="1"/>
  <c r="C273" i="1" s="1"/>
  <c r="D273" i="1" s="1"/>
  <c r="D281" i="1"/>
  <c r="H280" i="1"/>
  <c r="D280" i="1"/>
  <c r="H279" i="1"/>
  <c r="D279" i="1"/>
  <c r="H278" i="1"/>
  <c r="D278" i="1"/>
  <c r="H277" i="1"/>
  <c r="H276" i="1"/>
  <c r="H275" i="1"/>
  <c r="D276" i="1"/>
  <c r="H274" i="1"/>
  <c r="D274" i="1"/>
  <c r="D272" i="1"/>
  <c r="H267" i="1"/>
  <c r="C259" i="1" s="1"/>
  <c r="D259" i="1" s="1"/>
  <c r="D267" i="1"/>
  <c r="H266" i="1"/>
  <c r="D266" i="1"/>
  <c r="H265" i="1"/>
  <c r="D265" i="1"/>
  <c r="H264" i="1"/>
  <c r="D264" i="1"/>
  <c r="H263" i="1"/>
  <c r="H262" i="1"/>
  <c r="H261" i="1"/>
  <c r="D263" i="1"/>
  <c r="H260" i="1"/>
  <c r="D260" i="1"/>
  <c r="D258" i="1"/>
  <c r="D248" i="1"/>
  <c r="H253" i="1"/>
  <c r="C245" i="1" s="1"/>
  <c r="D253" i="1"/>
  <c r="H252" i="1"/>
  <c r="D252" i="1"/>
  <c r="H251" i="1"/>
  <c r="D251" i="1"/>
  <c r="H250" i="1"/>
  <c r="D250" i="1"/>
  <c r="H249" i="1"/>
  <c r="H248" i="1"/>
  <c r="H247" i="1"/>
  <c r="H246" i="1"/>
  <c r="D246" i="1"/>
  <c r="D244" i="1"/>
  <c r="H181" i="1"/>
  <c r="D181" i="1"/>
  <c r="H180" i="1"/>
  <c r="D180" i="1"/>
  <c r="H179" i="1"/>
  <c r="D179" i="1"/>
  <c r="H178" i="1"/>
  <c r="D178" i="1"/>
  <c r="H177" i="1"/>
  <c r="D177" i="1"/>
  <c r="H176" i="1"/>
  <c r="D176" i="1"/>
  <c r="H175" i="1"/>
  <c r="D175" i="1"/>
  <c r="H174" i="1"/>
  <c r="D174" i="1"/>
  <c r="C173" i="1"/>
  <c r="D173" i="1" s="1"/>
  <c r="D172" i="1"/>
  <c r="E172" i="1" l="1"/>
  <c r="G168" i="1" s="1"/>
  <c r="B170" i="1" s="1"/>
  <c r="D247" i="1"/>
  <c r="D249" i="1"/>
  <c r="D275" i="1"/>
  <c r="D277" i="1"/>
  <c r="E272" i="1"/>
  <c r="D261" i="1"/>
  <c r="D262" i="1"/>
  <c r="D245" i="1"/>
  <c r="C562" i="1"/>
  <c r="C473" i="1"/>
  <c r="G268" i="1" l="1"/>
  <c r="B270" i="1" s="1"/>
  <c r="E244" i="1"/>
  <c r="E258" i="1"/>
  <c r="C47" i="1"/>
  <c r="I45" i="1"/>
  <c r="C46" i="1"/>
  <c r="G47" i="1" s="1"/>
  <c r="G61" i="1"/>
  <c r="C45" i="1"/>
  <c r="G45" i="1"/>
  <c r="G254" i="1" l="1"/>
  <c r="B256" i="1" s="1"/>
  <c r="G240" i="1"/>
  <c r="B242" i="1" s="1"/>
  <c r="I61" i="1"/>
  <c r="J61" i="1" s="1"/>
  <c r="K61" i="1" s="1"/>
  <c r="C1590" i="1" l="1"/>
  <c r="E1417" i="1"/>
  <c r="C1417" i="1"/>
  <c r="E1416" i="1"/>
  <c r="C1416" i="1"/>
  <c r="E1418" i="1"/>
  <c r="C1418" i="1"/>
  <c r="E1415" i="1"/>
  <c r="C1415" i="1"/>
  <c r="E1414" i="1"/>
  <c r="C1414" i="1"/>
  <c r="E1413" i="1"/>
  <c r="C1413" i="1"/>
  <c r="E1412" i="1"/>
  <c r="C1412" i="1"/>
  <c r="E1411" i="1"/>
  <c r="C1411" i="1"/>
  <c r="E1410" i="1"/>
  <c r="C1410" i="1"/>
  <c r="E1409" i="1"/>
  <c r="C1409" i="1"/>
  <c r="E1408" i="1"/>
  <c r="C1408" i="1"/>
  <c r="E1407" i="1"/>
  <c r="C1407" i="1"/>
  <c r="E1406" i="1"/>
  <c r="C1406" i="1"/>
  <c r="C1405" i="1"/>
  <c r="E1404" i="1"/>
  <c r="C1404" i="1"/>
  <c r="E1403" i="1"/>
  <c r="C1403" i="1"/>
  <c r="E1402" i="1"/>
  <c r="C1402" i="1"/>
  <c r="E1401" i="1"/>
  <c r="C1401" i="1"/>
  <c r="C1379" i="1"/>
  <c r="C1400" i="1"/>
  <c r="E1400" i="1"/>
  <c r="E1399" i="1"/>
  <c r="C1399" i="1"/>
  <c r="E1393" i="1"/>
  <c r="E1394" i="1"/>
  <c r="E1395" i="1"/>
  <c r="E1396" i="1"/>
  <c r="E1397" i="1"/>
  <c r="E1398" i="1"/>
  <c r="C1393" i="1"/>
  <c r="C1394" i="1"/>
  <c r="C1395" i="1"/>
  <c r="C1396" i="1"/>
  <c r="C1397" i="1"/>
  <c r="C1398" i="1"/>
  <c r="E1392" i="1"/>
  <c r="C1392" i="1"/>
  <c r="E1391" i="1"/>
  <c r="C1391" i="1"/>
  <c r="E1390" i="1"/>
  <c r="C1390" i="1"/>
  <c r="E1389" i="1"/>
  <c r="C1389" i="1"/>
  <c r="E1388" i="1"/>
  <c r="C1388" i="1"/>
  <c r="E1386" i="1"/>
  <c r="E1387" i="1"/>
  <c r="C1387" i="1"/>
  <c r="C1386" i="1"/>
  <c r="E1385" i="1"/>
  <c r="C1385" i="1"/>
  <c r="E1384" i="1"/>
  <c r="C1384" i="1"/>
  <c r="E1383" i="1"/>
  <c r="C1383" i="1"/>
  <c r="E1382" i="1"/>
  <c r="C1382" i="1"/>
  <c r="E1381" i="1"/>
  <c r="C1381" i="1"/>
  <c r="E1380" i="1"/>
  <c r="C1380" i="1"/>
  <c r="E1379" i="1"/>
  <c r="E1300" i="1"/>
  <c r="E1297" i="1"/>
  <c r="E1296" i="1"/>
  <c r="E1295" i="1"/>
  <c r="E1294" i="1"/>
  <c r="E1293" i="1"/>
  <c r="E1292" i="1"/>
  <c r="E1290" i="1"/>
  <c r="E1289" i="1"/>
  <c r="E1287" i="1"/>
  <c r="E1286" i="1"/>
  <c r="E1285" i="1"/>
  <c r="E1284" i="1"/>
  <c r="E1283" i="1"/>
  <c r="E1282" i="1"/>
  <c r="E1281" i="1"/>
  <c r="E1280" i="1"/>
  <c r="E1279" i="1"/>
  <c r="E1274" i="1"/>
  <c r="E1273" i="1"/>
  <c r="E1269" i="1"/>
  <c r="E1270" i="1"/>
  <c r="E1301" i="1"/>
  <c r="C1302" i="1"/>
  <c r="C1301" i="1"/>
  <c r="C1298" i="1"/>
  <c r="C1296" i="1"/>
  <c r="C1295" i="1"/>
  <c r="C1294" i="1"/>
  <c r="C1291" i="1"/>
  <c r="C1289" i="1"/>
  <c r="C1288" i="1"/>
  <c r="C1287" i="1"/>
  <c r="C1278" i="1"/>
  <c r="C1277" i="1"/>
  <c r="C1276" i="1"/>
  <c r="C1275" i="1"/>
  <c r="C1274" i="1"/>
  <c r="C1272" i="1"/>
  <c r="C1271" i="1"/>
  <c r="C1269" i="1"/>
  <c r="C1268" i="1"/>
  <c r="C1267" i="1"/>
  <c r="E1291" i="1"/>
  <c r="E1278" i="1"/>
  <c r="E1275" i="1"/>
  <c r="E1272" i="1"/>
  <c r="E1271" i="1"/>
  <c r="E1268" i="1"/>
  <c r="C1500" i="1"/>
  <c r="C1499" i="1"/>
  <c r="C1498" i="1"/>
  <c r="C1497" i="1"/>
  <c r="C1496" i="1"/>
  <c r="C1495" i="1"/>
  <c r="C1494" i="1"/>
  <c r="C1493" i="1"/>
  <c r="C1492" i="1"/>
  <c r="C1489" i="1"/>
  <c r="C1488" i="1"/>
  <c r="C1487" i="1"/>
  <c r="C1486" i="1"/>
  <c r="C1485" i="1"/>
  <c r="C1484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4" i="1"/>
  <c r="C1463" i="1"/>
  <c r="C1462" i="1"/>
  <c r="C1461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6" i="1"/>
  <c r="F1176" i="1" s="1"/>
  <c r="C1175" i="1"/>
  <c r="D1175" i="1" s="1"/>
  <c r="C1174" i="1"/>
  <c r="D1174" i="1" s="1"/>
  <c r="C1172" i="1"/>
  <c r="C1171" i="1"/>
  <c r="D1171" i="1" s="1"/>
  <c r="C1170" i="1"/>
  <c r="D1170" i="1" s="1"/>
  <c r="C1169" i="1"/>
  <c r="C1168" i="1"/>
  <c r="C1167" i="1"/>
  <c r="D1167" i="1" s="1"/>
  <c r="C1166" i="1"/>
  <c r="D1166" i="1" s="1"/>
  <c r="C1165" i="1"/>
  <c r="D1165" i="1" s="1"/>
  <c r="C1163" i="1"/>
  <c r="C1162" i="1"/>
  <c r="D1162" i="1" s="1"/>
  <c r="C1161" i="1"/>
  <c r="C1160" i="1"/>
  <c r="C1159" i="1"/>
  <c r="C1158" i="1"/>
  <c r="D1158" i="1" s="1"/>
  <c r="C1156" i="1"/>
  <c r="D1156" i="1" s="1"/>
  <c r="C1155" i="1"/>
  <c r="F1155" i="1" s="1"/>
  <c r="C1154" i="1"/>
  <c r="C1153" i="1"/>
  <c r="D1153" i="1" s="1"/>
  <c r="C1152" i="1"/>
  <c r="D1152" i="1" s="1"/>
  <c r="C1151" i="1"/>
  <c r="C1150" i="1"/>
  <c r="C1149" i="1"/>
  <c r="D1149" i="1" s="1"/>
  <c r="C1148" i="1"/>
  <c r="D1148" i="1" s="1"/>
  <c r="C1147" i="1"/>
  <c r="F1147" i="1" s="1"/>
  <c r="C1146" i="1"/>
  <c r="C1145" i="1"/>
  <c r="D1145" i="1" s="1"/>
  <c r="C1143" i="1"/>
  <c r="D1143" i="1" s="1"/>
  <c r="C1142" i="1"/>
  <c r="C1141" i="1"/>
  <c r="C1140" i="1"/>
  <c r="F1140" i="1" s="1"/>
  <c r="C1139" i="1"/>
  <c r="F1139" i="1" s="1"/>
  <c r="C1138" i="1"/>
  <c r="D1138" i="1" s="1"/>
  <c r="C1137" i="1"/>
  <c r="C1136" i="1"/>
  <c r="F1136" i="1" s="1"/>
  <c r="C1134" i="1"/>
  <c r="D1134" i="1" s="1"/>
  <c r="C1133" i="1"/>
  <c r="C1132" i="1"/>
  <c r="C1131" i="1"/>
  <c r="D1131" i="1" s="1"/>
  <c r="C1130" i="1"/>
  <c r="D1130" i="1" s="1"/>
  <c r="C1129" i="1"/>
  <c r="F1129" i="1" s="1"/>
  <c r="C1128" i="1"/>
  <c r="C1127" i="1"/>
  <c r="F1127" i="1" s="1"/>
  <c r="C1126" i="1"/>
  <c r="D1126" i="1" s="1"/>
  <c r="C1125" i="1"/>
  <c r="C1124" i="1"/>
  <c r="C1123" i="1"/>
  <c r="D1123" i="1" s="1"/>
  <c r="C1122" i="1"/>
  <c r="F1122" i="1" s="1"/>
  <c r="C1121" i="1"/>
  <c r="D1121" i="1" s="1"/>
  <c r="C1120" i="1"/>
  <c r="C1119" i="1"/>
  <c r="D1119" i="1" s="1"/>
  <c r="C1118" i="1"/>
  <c r="D1118" i="1" s="1"/>
  <c r="C1117" i="1"/>
  <c r="C1116" i="1"/>
  <c r="C1115" i="1"/>
  <c r="D1115" i="1" s="1"/>
  <c r="C1114" i="1"/>
  <c r="F1114" i="1" s="1"/>
  <c r="C1113" i="1"/>
  <c r="D1113" i="1" s="1"/>
  <c r="C1112" i="1"/>
  <c r="C1111" i="1"/>
  <c r="D1111" i="1" s="1"/>
  <c r="C1110" i="1"/>
  <c r="F1110" i="1" s="1"/>
  <c r="C1109" i="1"/>
  <c r="C1108" i="1"/>
  <c r="C1107" i="1"/>
  <c r="D1107" i="1" s="1"/>
  <c r="C1106" i="1"/>
  <c r="D1106" i="1" s="1"/>
  <c r="C1105" i="1"/>
  <c r="D1105" i="1" s="1"/>
  <c r="C1104" i="1"/>
  <c r="C1103" i="1"/>
  <c r="D1103" i="1" s="1"/>
  <c r="C1102" i="1"/>
  <c r="D1102" i="1" s="1"/>
  <c r="C1101" i="1"/>
  <c r="C1100" i="1"/>
  <c r="C1099" i="1"/>
  <c r="D1099" i="1" s="1"/>
  <c r="C1098" i="1"/>
  <c r="F1098" i="1" s="1"/>
  <c r="C1097" i="1"/>
  <c r="D1097" i="1" s="1"/>
  <c r="C1096" i="1"/>
  <c r="C1095" i="1"/>
  <c r="D1095" i="1" s="1"/>
  <c r="C1094" i="1"/>
  <c r="F1094" i="1" s="1"/>
  <c r="C1048" i="1"/>
  <c r="C1047" i="1"/>
  <c r="C1046" i="1"/>
  <c r="D1046" i="1" s="1"/>
  <c r="C1045" i="1"/>
  <c r="F1045" i="1" s="1"/>
  <c r="C1044" i="1"/>
  <c r="D1044" i="1" s="1"/>
  <c r="C1043" i="1"/>
  <c r="C1042" i="1"/>
  <c r="C1041" i="1"/>
  <c r="D1041" i="1" s="1"/>
  <c r="C1040" i="1"/>
  <c r="C1039" i="1"/>
  <c r="C1038" i="1"/>
  <c r="D1038" i="1" s="1"/>
  <c r="C1037" i="1"/>
  <c r="D1037" i="1" s="1"/>
  <c r="C1036" i="1"/>
  <c r="D1036" i="1" s="1"/>
  <c r="C1032" i="1"/>
  <c r="C1031" i="1"/>
  <c r="D1031" i="1" s="1"/>
  <c r="C1030" i="1"/>
  <c r="F1030" i="1" s="1"/>
  <c r="C1029" i="1"/>
  <c r="C1028" i="1"/>
  <c r="C1027" i="1"/>
  <c r="D1027" i="1" s="1"/>
  <c r="C1026" i="1"/>
  <c r="F1026" i="1" s="1"/>
  <c r="C1025" i="1"/>
  <c r="F1025" i="1" s="1"/>
  <c r="C1024" i="1"/>
  <c r="C1023" i="1"/>
  <c r="D1023" i="1" s="1"/>
  <c r="C1022" i="1"/>
  <c r="F1022" i="1" s="1"/>
  <c r="C1021" i="1"/>
  <c r="C1019" i="1"/>
  <c r="C1018" i="1"/>
  <c r="D1018" i="1" s="1"/>
  <c r="C1017" i="1"/>
  <c r="D1017" i="1" s="1"/>
  <c r="C1016" i="1"/>
  <c r="F1016" i="1" s="1"/>
  <c r="C1015" i="1"/>
  <c r="C1014" i="1"/>
  <c r="D1014" i="1" s="1"/>
  <c r="C1013" i="1"/>
  <c r="D1013" i="1" s="1"/>
  <c r="C1012" i="1"/>
  <c r="C1011" i="1"/>
  <c r="C1010" i="1"/>
  <c r="D1010" i="1" s="1"/>
  <c r="C1009" i="1"/>
  <c r="F1009" i="1" s="1"/>
  <c r="C1008" i="1"/>
  <c r="F1008" i="1" s="1"/>
  <c r="C1007" i="1"/>
  <c r="C1006" i="1"/>
  <c r="D1006" i="1" s="1"/>
  <c r="C1005" i="1"/>
  <c r="F1005" i="1" s="1"/>
  <c r="C1004" i="1"/>
  <c r="C1003" i="1"/>
  <c r="C1002" i="1"/>
  <c r="D1002" i="1" s="1"/>
  <c r="C1001" i="1"/>
  <c r="D1001" i="1" s="1"/>
  <c r="C1000" i="1"/>
  <c r="F1000" i="1" s="1"/>
  <c r="C999" i="1"/>
  <c r="C998" i="1"/>
  <c r="D998" i="1" s="1"/>
  <c r="C997" i="1"/>
  <c r="F997" i="1" s="1"/>
  <c r="C996" i="1"/>
  <c r="C995" i="1"/>
  <c r="C994" i="1"/>
  <c r="D994" i="1" s="1"/>
  <c r="C993" i="1"/>
  <c r="F993" i="1" s="1"/>
  <c r="C992" i="1"/>
  <c r="F992" i="1" s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1" i="1"/>
  <c r="C670" i="1"/>
  <c r="C669" i="1"/>
  <c r="C668" i="1"/>
  <c r="C667" i="1"/>
  <c r="C666" i="1"/>
  <c r="C664" i="1"/>
  <c r="C663" i="1"/>
  <c r="C662" i="1"/>
  <c r="C661" i="1"/>
  <c r="C660" i="1"/>
  <c r="C659" i="1"/>
  <c r="C658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39" i="1"/>
  <c r="C638" i="1"/>
  <c r="C637" i="1"/>
  <c r="C636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33" i="1"/>
  <c r="F1172" i="1"/>
  <c r="D1172" i="1"/>
  <c r="D1169" i="1"/>
  <c r="F1168" i="1"/>
  <c r="D1168" i="1"/>
  <c r="F1164" i="1"/>
  <c r="F1163" i="1"/>
  <c r="D1163" i="1"/>
  <c r="D1161" i="1"/>
  <c r="F1160" i="1"/>
  <c r="D1160" i="1"/>
  <c r="F1159" i="1"/>
  <c r="D1159" i="1"/>
  <c r="D1154" i="1"/>
  <c r="F1152" i="1"/>
  <c r="F1151" i="1"/>
  <c r="D1151" i="1"/>
  <c r="D1150" i="1"/>
  <c r="D1146" i="1"/>
  <c r="F1144" i="1"/>
  <c r="D1142" i="1"/>
  <c r="D1141" i="1"/>
  <c r="D1137" i="1"/>
  <c r="D1136" i="1"/>
  <c r="F1133" i="1"/>
  <c r="D1132" i="1"/>
  <c r="D1128" i="1"/>
  <c r="F1125" i="1"/>
  <c r="D1124" i="1"/>
  <c r="E1092" i="1"/>
  <c r="C1092" i="1"/>
  <c r="D1092" i="1" s="1"/>
  <c r="E1091" i="1"/>
  <c r="C1091" i="1"/>
  <c r="D1091" i="1" s="1"/>
  <c r="C1088" i="1"/>
  <c r="D1088" i="1" s="1"/>
  <c r="C1087" i="1"/>
  <c r="D1087" i="1" s="1"/>
  <c r="E1086" i="1"/>
  <c r="C1086" i="1"/>
  <c r="D1086" i="1" s="1"/>
  <c r="E1085" i="1"/>
  <c r="C1085" i="1"/>
  <c r="D1085" i="1" s="1"/>
  <c r="E1083" i="1"/>
  <c r="E1082" i="1"/>
  <c r="C1082" i="1"/>
  <c r="D1082" i="1" s="1"/>
  <c r="E1081" i="1"/>
  <c r="C1081" i="1"/>
  <c r="D1081" i="1" s="1"/>
  <c r="E1080" i="1"/>
  <c r="E1078" i="1"/>
  <c r="E1077" i="1"/>
  <c r="C1075" i="1"/>
  <c r="D1075" i="1" s="1"/>
  <c r="E1075" i="1"/>
  <c r="E1074" i="1"/>
  <c r="C1074" i="1"/>
  <c r="D1074" i="1" s="1"/>
  <c r="E1073" i="1"/>
  <c r="E1072" i="1"/>
  <c r="C1072" i="1"/>
  <c r="D1072" i="1" s="1"/>
  <c r="E1071" i="1"/>
  <c r="C1071" i="1"/>
  <c r="D1071" i="1" s="1"/>
  <c r="E1070" i="1"/>
  <c r="E1069" i="1"/>
  <c r="E1068" i="1"/>
  <c r="C1069" i="1"/>
  <c r="C1068" i="1"/>
  <c r="D1068" i="1" s="1"/>
  <c r="C1067" i="1"/>
  <c r="D1067" i="1" s="1"/>
  <c r="E1067" i="1"/>
  <c r="E1066" i="1"/>
  <c r="C1066" i="1"/>
  <c r="E1065" i="1"/>
  <c r="C1065" i="1"/>
  <c r="D1065" i="1" s="1"/>
  <c r="E1064" i="1"/>
  <c r="C1064" i="1"/>
  <c r="D1064" i="1" s="1"/>
  <c r="C1063" i="1"/>
  <c r="E1063" i="1"/>
  <c r="E1062" i="1"/>
  <c r="C1062" i="1"/>
  <c r="E1060" i="1"/>
  <c r="C1060" i="1"/>
  <c r="E1059" i="1"/>
  <c r="C1059" i="1"/>
  <c r="D1059" i="1" s="1"/>
  <c r="E1058" i="1"/>
  <c r="C1058" i="1"/>
  <c r="D1058" i="1" s="1"/>
  <c r="E1057" i="1"/>
  <c r="C1057" i="1"/>
  <c r="C1056" i="1"/>
  <c r="D1056" i="1" s="1"/>
  <c r="E1056" i="1"/>
  <c r="E1055" i="1"/>
  <c r="E1054" i="1"/>
  <c r="E1052" i="1"/>
  <c r="E1090" i="1"/>
  <c r="C1090" i="1"/>
  <c r="D1090" i="1" s="1"/>
  <c r="E1089" i="1"/>
  <c r="C1089" i="1"/>
  <c r="D1089" i="1" s="1"/>
  <c r="E1084" i="1"/>
  <c r="C1084" i="1"/>
  <c r="D1084" i="1" s="1"/>
  <c r="C1083" i="1"/>
  <c r="D1083" i="1" s="1"/>
  <c r="C1080" i="1"/>
  <c r="D1080" i="1" s="1"/>
  <c r="F1120" i="1"/>
  <c r="D1117" i="1"/>
  <c r="F1116" i="1"/>
  <c r="F1112" i="1"/>
  <c r="D1110" i="1"/>
  <c r="F1109" i="1"/>
  <c r="F1108" i="1"/>
  <c r="F1104" i="1"/>
  <c r="F1101" i="1"/>
  <c r="F1100" i="1"/>
  <c r="D1096" i="1"/>
  <c r="F1096" i="1"/>
  <c r="E1079" i="1"/>
  <c r="C1079" i="1"/>
  <c r="D1079" i="1" s="1"/>
  <c r="C1078" i="1"/>
  <c r="D1078" i="1" s="1"/>
  <c r="C1077" i="1"/>
  <c r="D1077" i="1" s="1"/>
  <c r="E1076" i="1"/>
  <c r="C1076" i="1"/>
  <c r="D1076" i="1" s="1"/>
  <c r="C1073" i="1"/>
  <c r="D1073" i="1" s="1"/>
  <c r="C1070" i="1"/>
  <c r="D1070" i="1" s="1"/>
  <c r="E1061" i="1"/>
  <c r="C1061" i="1"/>
  <c r="C1055" i="1"/>
  <c r="D1055" i="1" s="1"/>
  <c r="C1054" i="1"/>
  <c r="D1054" i="1" s="1"/>
  <c r="E1053" i="1"/>
  <c r="C1053" i="1"/>
  <c r="D1053" i="1" s="1"/>
  <c r="C1052" i="1"/>
  <c r="D1052" i="1" s="1"/>
  <c r="E401" i="1"/>
  <c r="E403" i="1"/>
  <c r="E402" i="1"/>
  <c r="C401" i="1"/>
  <c r="D401" i="1" s="1"/>
  <c r="E400" i="1"/>
  <c r="E399" i="1"/>
  <c r="E398" i="1"/>
  <c r="E397" i="1"/>
  <c r="E396" i="1"/>
  <c r="C395" i="1"/>
  <c r="D395" i="1" s="1"/>
  <c r="E395" i="1"/>
  <c r="C403" i="1"/>
  <c r="D403" i="1" s="1"/>
  <c r="C402" i="1"/>
  <c r="D402" i="1" s="1"/>
  <c r="C400" i="1"/>
  <c r="D400" i="1" s="1"/>
  <c r="C399" i="1"/>
  <c r="D399" i="1" s="1"/>
  <c r="C398" i="1"/>
  <c r="D398" i="1" s="1"/>
  <c r="C397" i="1"/>
  <c r="D397" i="1" s="1"/>
  <c r="C396" i="1"/>
  <c r="D396" i="1" s="1"/>
  <c r="E989" i="1"/>
  <c r="C990" i="1"/>
  <c r="C989" i="1"/>
  <c r="C986" i="1"/>
  <c r="D986" i="1" s="1"/>
  <c r="C987" i="1"/>
  <c r="D987" i="1" s="1"/>
  <c r="C988" i="1"/>
  <c r="D988" i="1" s="1"/>
  <c r="E986" i="1"/>
  <c r="E985" i="1"/>
  <c r="C985" i="1"/>
  <c r="E984" i="1"/>
  <c r="C984" i="1"/>
  <c r="D984" i="1" s="1"/>
  <c r="E983" i="1"/>
  <c r="C983" i="1"/>
  <c r="C982" i="1"/>
  <c r="D982" i="1" s="1"/>
  <c r="C981" i="1"/>
  <c r="E980" i="1"/>
  <c r="E979" i="1"/>
  <c r="E978" i="1"/>
  <c r="C980" i="1"/>
  <c r="C979" i="1"/>
  <c r="C978" i="1"/>
  <c r="D978" i="1" s="1"/>
  <c r="E977" i="1"/>
  <c r="C977" i="1"/>
  <c r="E976" i="1"/>
  <c r="C976" i="1"/>
  <c r="E975" i="1"/>
  <c r="C975" i="1"/>
  <c r="D975" i="1" s="1"/>
  <c r="C974" i="1"/>
  <c r="E972" i="1"/>
  <c r="E973" i="1"/>
  <c r="E971" i="1"/>
  <c r="C970" i="1"/>
  <c r="D970" i="1" s="1"/>
  <c r="C971" i="1"/>
  <c r="D971" i="1" s="1"/>
  <c r="C972" i="1"/>
  <c r="D972" i="1" s="1"/>
  <c r="C973" i="1"/>
  <c r="E969" i="1"/>
  <c r="C969" i="1"/>
  <c r="E968" i="1"/>
  <c r="C968" i="1"/>
  <c r="D968" i="1" s="1"/>
  <c r="E967" i="1"/>
  <c r="C967" i="1"/>
  <c r="D967" i="1" s="1"/>
  <c r="E966" i="1"/>
  <c r="C966" i="1"/>
  <c r="C965" i="1"/>
  <c r="C964" i="1"/>
  <c r="E963" i="1"/>
  <c r="C963" i="1"/>
  <c r="D1048" i="1"/>
  <c r="F1047" i="1"/>
  <c r="D1043" i="1"/>
  <c r="F1043" i="1"/>
  <c r="D1042" i="1"/>
  <c r="D1040" i="1"/>
  <c r="F1039" i="1"/>
  <c r="F1035" i="1"/>
  <c r="F1034" i="1"/>
  <c r="F1033" i="1"/>
  <c r="D1032" i="1"/>
  <c r="F1029" i="1"/>
  <c r="D1028" i="1"/>
  <c r="D1024" i="1"/>
  <c r="F1021" i="1"/>
  <c r="D1019" i="1"/>
  <c r="D1015" i="1"/>
  <c r="F1012" i="1"/>
  <c r="D1011" i="1"/>
  <c r="D1007" i="1"/>
  <c r="F1004" i="1"/>
  <c r="D1003" i="1"/>
  <c r="D999" i="1"/>
  <c r="F996" i="1"/>
  <c r="D995" i="1"/>
  <c r="E990" i="1"/>
  <c r="E988" i="1"/>
  <c r="E987" i="1"/>
  <c r="E982" i="1"/>
  <c r="E981" i="1"/>
  <c r="D979" i="1"/>
  <c r="E974" i="1"/>
  <c r="E970" i="1"/>
  <c r="E965" i="1"/>
  <c r="E964" i="1"/>
  <c r="C392" i="1"/>
  <c r="C389" i="1"/>
  <c r="D389" i="1" s="1"/>
  <c r="C387" i="1"/>
  <c r="D387" i="1" s="1"/>
  <c r="E392" i="1"/>
  <c r="E391" i="1"/>
  <c r="C391" i="1"/>
  <c r="D391" i="1" s="1"/>
  <c r="E390" i="1"/>
  <c r="C390" i="1"/>
  <c r="D390" i="1" s="1"/>
  <c r="E389" i="1"/>
  <c r="E388" i="1"/>
  <c r="C388" i="1"/>
  <c r="E387" i="1"/>
  <c r="E386" i="1"/>
  <c r="C386" i="1"/>
  <c r="D386" i="1" s="1"/>
  <c r="E885" i="1"/>
  <c r="E884" i="1"/>
  <c r="E883" i="1"/>
  <c r="E879" i="1"/>
  <c r="E878" i="1"/>
  <c r="E876" i="1"/>
  <c r="E875" i="1"/>
  <c r="E873" i="1"/>
  <c r="E874" i="1"/>
  <c r="E872" i="1"/>
  <c r="E871" i="1"/>
  <c r="E870" i="1"/>
  <c r="E865" i="1"/>
  <c r="E866" i="1"/>
  <c r="E867" i="1"/>
  <c r="E868" i="1"/>
  <c r="E869" i="1"/>
  <c r="E864" i="1"/>
  <c r="E863" i="1"/>
  <c r="E862" i="1"/>
  <c r="E860" i="1"/>
  <c r="E859" i="1"/>
  <c r="E858" i="1"/>
  <c r="E857" i="1"/>
  <c r="E856" i="1"/>
  <c r="E855" i="1"/>
  <c r="E854" i="1"/>
  <c r="E853" i="1"/>
  <c r="E852" i="1"/>
  <c r="F1013" i="1" l="1"/>
  <c r="D1176" i="1"/>
  <c r="F1167" i="1"/>
  <c r="F1105" i="1"/>
  <c r="D1155" i="1"/>
  <c r="B307" i="1"/>
  <c r="D1147" i="1"/>
  <c r="D1009" i="1"/>
  <c r="F1090" i="1"/>
  <c r="C306" i="1"/>
  <c r="D997" i="1"/>
  <c r="B305" i="1"/>
  <c r="B306" i="1"/>
  <c r="C307" i="1"/>
  <c r="C311" i="1"/>
  <c r="B313" i="1"/>
  <c r="B304" i="1"/>
  <c r="B311" i="1"/>
  <c r="B309" i="1"/>
  <c r="F987" i="1"/>
  <c r="D993" i="1"/>
  <c r="F1001" i="1"/>
  <c r="F1017" i="1"/>
  <c r="F979" i="1"/>
  <c r="C305" i="1"/>
  <c r="C309" i="1"/>
  <c r="C313" i="1"/>
  <c r="B310" i="1"/>
  <c r="C310" i="1"/>
  <c r="F970" i="1"/>
  <c r="F973" i="1"/>
  <c r="F1130" i="1"/>
  <c r="D1139" i="1"/>
  <c r="C304" i="1"/>
  <c r="B292" i="1"/>
  <c r="F965" i="1"/>
  <c r="F1037" i="1"/>
  <c r="F1175" i="1"/>
  <c r="B291" i="1"/>
  <c r="F1053" i="1"/>
  <c r="F1082" i="1"/>
  <c r="D1122" i="1"/>
  <c r="F1143" i="1"/>
  <c r="C291" i="1"/>
  <c r="D1026" i="1"/>
  <c r="D1045" i="1"/>
  <c r="C292" i="1"/>
  <c r="D1005" i="1"/>
  <c r="D1022" i="1"/>
  <c r="D1127" i="1"/>
  <c r="D1140" i="1"/>
  <c r="F1148" i="1"/>
  <c r="F1156" i="1"/>
  <c r="F1171" i="1"/>
  <c r="D1101" i="1"/>
  <c r="F1106" i="1"/>
  <c r="F1084" i="1"/>
  <c r="F1137" i="1"/>
  <c r="F1141" i="1"/>
  <c r="F1145" i="1"/>
  <c r="F1149" i="1"/>
  <c r="F1153" i="1"/>
  <c r="F1157" i="1"/>
  <c r="F1161" i="1"/>
  <c r="F1165" i="1"/>
  <c r="F1169" i="1"/>
  <c r="F1173" i="1"/>
  <c r="F1138" i="1"/>
  <c r="F1142" i="1"/>
  <c r="F1146" i="1"/>
  <c r="F1150" i="1"/>
  <c r="F1154" i="1"/>
  <c r="F1158" i="1"/>
  <c r="F1162" i="1"/>
  <c r="F1166" i="1"/>
  <c r="F1170" i="1"/>
  <c r="F1174" i="1"/>
  <c r="D1094" i="1"/>
  <c r="D1100" i="1"/>
  <c r="D1114" i="1"/>
  <c r="F1117" i="1"/>
  <c r="F1123" i="1"/>
  <c r="F1126" i="1"/>
  <c r="F1131" i="1"/>
  <c r="F1134" i="1"/>
  <c r="F386" i="1"/>
  <c r="D1030" i="1"/>
  <c r="F963" i="1"/>
  <c r="F975" i="1"/>
  <c r="F978" i="1"/>
  <c r="D1108" i="1"/>
  <c r="D1112" i="1"/>
  <c r="F1055" i="1"/>
  <c r="F1083" i="1"/>
  <c r="F390" i="1"/>
  <c r="D1039" i="1"/>
  <c r="D1047" i="1"/>
  <c r="F971" i="1"/>
  <c r="F1079" i="1"/>
  <c r="F1087" i="1"/>
  <c r="F1080" i="1"/>
  <c r="F388" i="1"/>
  <c r="F391" i="1"/>
  <c r="F392" i="1"/>
  <c r="D1029" i="1"/>
  <c r="F1041" i="1"/>
  <c r="F967" i="1"/>
  <c r="F969" i="1"/>
  <c r="D1098" i="1"/>
  <c r="D1109" i="1"/>
  <c r="D1116" i="1"/>
  <c r="F1121" i="1"/>
  <c r="F1089" i="1"/>
  <c r="F1065" i="1"/>
  <c r="D1125" i="1"/>
  <c r="D1129" i="1"/>
  <c r="D1133" i="1"/>
  <c r="F1061" i="1"/>
  <c r="F1124" i="1"/>
  <c r="F1128" i="1"/>
  <c r="F1132" i="1"/>
  <c r="F1063" i="1"/>
  <c r="F1092" i="1"/>
  <c r="F1070" i="1"/>
  <c r="D1061" i="1"/>
  <c r="F1076" i="1"/>
  <c r="F1091" i="1"/>
  <c r="F1088" i="1"/>
  <c r="F1086" i="1"/>
  <c r="F1085" i="1"/>
  <c r="F1081" i="1"/>
  <c r="F1078" i="1"/>
  <c r="F1077" i="1"/>
  <c r="F1075" i="1"/>
  <c r="F1074" i="1"/>
  <c r="F1073" i="1"/>
  <c r="F1072" i="1"/>
  <c r="F1071" i="1"/>
  <c r="F1069" i="1"/>
  <c r="D1069" i="1"/>
  <c r="F1068" i="1"/>
  <c r="F1067" i="1"/>
  <c r="F1066" i="1"/>
  <c r="D1066" i="1"/>
  <c r="F1064" i="1"/>
  <c r="D1063" i="1"/>
  <c r="F1062" i="1"/>
  <c r="D1062" i="1"/>
  <c r="F1060" i="1"/>
  <c r="D1060" i="1"/>
  <c r="F1059" i="1"/>
  <c r="F1058" i="1"/>
  <c r="F1057" i="1"/>
  <c r="D1057" i="1"/>
  <c r="F1056" i="1"/>
  <c r="F1054" i="1"/>
  <c r="F1052" i="1"/>
  <c r="D388" i="1"/>
  <c r="F994" i="1"/>
  <c r="F998" i="1"/>
  <c r="F1002" i="1"/>
  <c r="F1006" i="1"/>
  <c r="F1010" i="1"/>
  <c r="F1014" i="1"/>
  <c r="F1018" i="1"/>
  <c r="F1023" i="1"/>
  <c r="F1027" i="1"/>
  <c r="F1031" i="1"/>
  <c r="F981" i="1"/>
  <c r="F982" i="1"/>
  <c r="D992" i="1"/>
  <c r="D996" i="1"/>
  <c r="D1000" i="1"/>
  <c r="D1004" i="1"/>
  <c r="D1008" i="1"/>
  <c r="D1012" i="1"/>
  <c r="D1016" i="1"/>
  <c r="D1021" i="1"/>
  <c r="D1025" i="1"/>
  <c r="F1036" i="1"/>
  <c r="F1040" i="1"/>
  <c r="F1044" i="1"/>
  <c r="F1048" i="1"/>
  <c r="F974" i="1"/>
  <c r="F980" i="1"/>
  <c r="F1097" i="1"/>
  <c r="F1102" i="1"/>
  <c r="F1113" i="1"/>
  <c r="F1118" i="1"/>
  <c r="F964" i="1"/>
  <c r="F990" i="1"/>
  <c r="D1104" i="1"/>
  <c r="D1120" i="1"/>
  <c r="F1119" i="1"/>
  <c r="F1095" i="1"/>
  <c r="F1099" i="1"/>
  <c r="F1103" i="1"/>
  <c r="F1107" i="1"/>
  <c r="F1111" i="1"/>
  <c r="F1115" i="1"/>
  <c r="F403" i="1"/>
  <c r="F396" i="1"/>
  <c r="F397" i="1"/>
  <c r="F399" i="1"/>
  <c r="F400" i="1"/>
  <c r="F402" i="1"/>
  <c r="F395" i="1"/>
  <c r="F398" i="1"/>
  <c r="F401" i="1"/>
  <c r="F989" i="1"/>
  <c r="D990" i="1"/>
  <c r="F986" i="1"/>
  <c r="F985" i="1"/>
  <c r="F983" i="1"/>
  <c r="D983" i="1"/>
  <c r="F977" i="1"/>
  <c r="F976" i="1"/>
  <c r="D974" i="1"/>
  <c r="F966" i="1"/>
  <c r="D966" i="1"/>
  <c r="D964" i="1"/>
  <c r="D976" i="1"/>
  <c r="D980" i="1"/>
  <c r="D965" i="1"/>
  <c r="F968" i="1"/>
  <c r="D969" i="1"/>
  <c r="F972" i="1"/>
  <c r="D973" i="1"/>
  <c r="D977" i="1"/>
  <c r="D981" i="1"/>
  <c r="F984" i="1"/>
  <c r="D985" i="1"/>
  <c r="F988" i="1"/>
  <c r="D989" i="1"/>
  <c r="D963" i="1"/>
  <c r="F995" i="1"/>
  <c r="F999" i="1"/>
  <c r="F1003" i="1"/>
  <c r="F1007" i="1"/>
  <c r="F1011" i="1"/>
  <c r="F1015" i="1"/>
  <c r="F1019" i="1"/>
  <c r="F1024" i="1"/>
  <c r="F1028" i="1"/>
  <c r="F1032" i="1"/>
  <c r="F1038" i="1"/>
  <c r="F1042" i="1"/>
  <c r="F1046" i="1"/>
  <c r="D392" i="1"/>
  <c r="F389" i="1"/>
  <c r="F387" i="1"/>
  <c r="C960" i="1"/>
  <c r="D960" i="1" s="1"/>
  <c r="C959" i="1"/>
  <c r="F959" i="1" s="1"/>
  <c r="C958" i="1"/>
  <c r="D958" i="1" s="1"/>
  <c r="C957" i="1"/>
  <c r="D957" i="1" s="1"/>
  <c r="C956" i="1"/>
  <c r="D956" i="1" s="1"/>
  <c r="C955" i="1"/>
  <c r="F955" i="1" s="1"/>
  <c r="F954" i="1"/>
  <c r="C953" i="1"/>
  <c r="F953" i="1" s="1"/>
  <c r="C952" i="1"/>
  <c r="D952" i="1" s="1"/>
  <c r="C951" i="1"/>
  <c r="D951" i="1" s="1"/>
  <c r="C950" i="1"/>
  <c r="D950" i="1" s="1"/>
  <c r="C949" i="1"/>
  <c r="F949" i="1" s="1"/>
  <c r="C948" i="1"/>
  <c r="D948" i="1" s="1"/>
  <c r="F947" i="1"/>
  <c r="C946" i="1"/>
  <c r="D946" i="1" s="1"/>
  <c r="C945" i="1"/>
  <c r="D945" i="1" s="1"/>
  <c r="C944" i="1"/>
  <c r="D944" i="1" s="1"/>
  <c r="C943" i="1"/>
  <c r="F943" i="1" s="1"/>
  <c r="C942" i="1"/>
  <c r="D942" i="1" s="1"/>
  <c r="C941" i="1"/>
  <c r="D941" i="1" s="1"/>
  <c r="C940" i="1"/>
  <c r="D940" i="1" s="1"/>
  <c r="C939" i="1"/>
  <c r="F939" i="1" s="1"/>
  <c r="C938" i="1"/>
  <c r="D938" i="1" s="1"/>
  <c r="C937" i="1"/>
  <c r="D937" i="1" s="1"/>
  <c r="C936" i="1"/>
  <c r="D936" i="1" s="1"/>
  <c r="C935" i="1"/>
  <c r="F935" i="1" s="1"/>
  <c r="C934" i="1"/>
  <c r="D934" i="1" s="1"/>
  <c r="C933" i="1"/>
  <c r="D933" i="1" s="1"/>
  <c r="C932" i="1"/>
  <c r="D932" i="1" s="1"/>
  <c r="C931" i="1"/>
  <c r="F931" i="1" s="1"/>
  <c r="F930" i="1"/>
  <c r="F929" i="1"/>
  <c r="C928" i="1"/>
  <c r="D928" i="1" s="1"/>
  <c r="C927" i="1"/>
  <c r="F927" i="1" s="1"/>
  <c r="C926" i="1"/>
  <c r="D926" i="1" s="1"/>
  <c r="C925" i="1"/>
  <c r="F925" i="1" s="1"/>
  <c r="C923" i="1"/>
  <c r="D923" i="1" s="1"/>
  <c r="C922" i="1"/>
  <c r="F922" i="1" s="1"/>
  <c r="C921" i="1"/>
  <c r="D921" i="1" s="1"/>
  <c r="C920" i="1"/>
  <c r="D920" i="1" s="1"/>
  <c r="C919" i="1"/>
  <c r="D919" i="1" s="1"/>
  <c r="C918" i="1"/>
  <c r="F918" i="1" s="1"/>
  <c r="C917" i="1"/>
  <c r="D917" i="1" s="1"/>
  <c r="C916" i="1"/>
  <c r="D916" i="1" s="1"/>
  <c r="C915" i="1"/>
  <c r="D915" i="1" s="1"/>
  <c r="C914" i="1"/>
  <c r="F914" i="1" s="1"/>
  <c r="C913" i="1"/>
  <c r="D913" i="1" s="1"/>
  <c r="C912" i="1"/>
  <c r="D912" i="1" s="1"/>
  <c r="C911" i="1"/>
  <c r="D911" i="1" s="1"/>
  <c r="C910" i="1"/>
  <c r="F910" i="1" s="1"/>
  <c r="C909" i="1"/>
  <c r="D909" i="1" s="1"/>
  <c r="C908" i="1"/>
  <c r="F908" i="1" s="1"/>
  <c r="C907" i="1"/>
  <c r="D907" i="1" s="1"/>
  <c r="C906" i="1"/>
  <c r="F906" i="1" s="1"/>
  <c r="C905" i="1"/>
  <c r="D905" i="1" s="1"/>
  <c r="C904" i="1"/>
  <c r="D904" i="1" s="1"/>
  <c r="C903" i="1"/>
  <c r="D903" i="1" s="1"/>
  <c r="C902" i="1"/>
  <c r="F902" i="1" s="1"/>
  <c r="C901" i="1"/>
  <c r="D901" i="1" s="1"/>
  <c r="C900" i="1"/>
  <c r="D900" i="1" s="1"/>
  <c r="C899" i="1"/>
  <c r="D899" i="1" s="1"/>
  <c r="C898" i="1"/>
  <c r="F898" i="1" s="1"/>
  <c r="C897" i="1"/>
  <c r="D897" i="1" s="1"/>
  <c r="C896" i="1"/>
  <c r="D896" i="1" s="1"/>
  <c r="C895" i="1"/>
  <c r="D895" i="1" s="1"/>
  <c r="C894" i="1"/>
  <c r="F894" i="1" s="1"/>
  <c r="C893" i="1"/>
  <c r="D893" i="1" s="1"/>
  <c r="C892" i="1"/>
  <c r="F892" i="1" s="1"/>
  <c r="C891" i="1"/>
  <c r="D891" i="1" s="1"/>
  <c r="C890" i="1"/>
  <c r="F890" i="1" s="1"/>
  <c r="C889" i="1"/>
  <c r="D889" i="1" s="1"/>
  <c r="C888" i="1"/>
  <c r="D888" i="1" s="1"/>
  <c r="E886" i="1"/>
  <c r="F886" i="1" s="1"/>
  <c r="D886" i="1"/>
  <c r="F885" i="1"/>
  <c r="D885" i="1"/>
  <c r="F884" i="1"/>
  <c r="D884" i="1"/>
  <c r="F883" i="1"/>
  <c r="D883" i="1"/>
  <c r="E882" i="1"/>
  <c r="F882" i="1" s="1"/>
  <c r="D882" i="1"/>
  <c r="E881" i="1"/>
  <c r="F881" i="1" s="1"/>
  <c r="D881" i="1"/>
  <c r="E880" i="1"/>
  <c r="F880" i="1" s="1"/>
  <c r="D880" i="1"/>
  <c r="F879" i="1"/>
  <c r="D879" i="1"/>
  <c r="F878" i="1"/>
  <c r="D878" i="1"/>
  <c r="E877" i="1"/>
  <c r="F877" i="1" s="1"/>
  <c r="D877" i="1"/>
  <c r="F876" i="1"/>
  <c r="D876" i="1"/>
  <c r="F875" i="1"/>
  <c r="D875" i="1"/>
  <c r="F874" i="1"/>
  <c r="D874" i="1"/>
  <c r="F873" i="1"/>
  <c r="D873" i="1"/>
  <c r="F872" i="1"/>
  <c r="D872" i="1"/>
  <c r="F871" i="1"/>
  <c r="D871" i="1"/>
  <c r="F870" i="1"/>
  <c r="D870" i="1"/>
  <c r="F869" i="1"/>
  <c r="D869" i="1"/>
  <c r="F868" i="1"/>
  <c r="D868" i="1"/>
  <c r="F867" i="1"/>
  <c r="D867" i="1"/>
  <c r="F866" i="1"/>
  <c r="D866" i="1"/>
  <c r="F865" i="1"/>
  <c r="D865" i="1"/>
  <c r="F864" i="1"/>
  <c r="D864" i="1"/>
  <c r="F863" i="1"/>
  <c r="D863" i="1"/>
  <c r="F862" i="1"/>
  <c r="D862" i="1"/>
  <c r="E861" i="1"/>
  <c r="F861" i="1" s="1"/>
  <c r="D861" i="1"/>
  <c r="F860" i="1"/>
  <c r="D860" i="1"/>
  <c r="F859" i="1"/>
  <c r="D859" i="1"/>
  <c r="F858" i="1"/>
  <c r="D858" i="1"/>
  <c r="F857" i="1"/>
  <c r="D857" i="1"/>
  <c r="F856" i="1"/>
  <c r="D856" i="1"/>
  <c r="F855" i="1"/>
  <c r="D855" i="1"/>
  <c r="F854" i="1"/>
  <c r="D854" i="1"/>
  <c r="F853" i="1"/>
  <c r="D853" i="1"/>
  <c r="F852" i="1"/>
  <c r="D852" i="1"/>
  <c r="E851" i="1"/>
  <c r="F851" i="1" s="1"/>
  <c r="D851" i="1"/>
  <c r="C383" i="1"/>
  <c r="D383" i="1" s="1"/>
  <c r="C382" i="1"/>
  <c r="D382" i="1" s="1"/>
  <c r="C381" i="1"/>
  <c r="D381" i="1" s="1"/>
  <c r="C380" i="1"/>
  <c r="D380" i="1" s="1"/>
  <c r="C379" i="1"/>
  <c r="C378" i="1"/>
  <c r="D378" i="1" s="1"/>
  <c r="C377" i="1"/>
  <c r="D377" i="1" s="1"/>
  <c r="C376" i="1"/>
  <c r="D376" i="1" s="1"/>
  <c r="C375" i="1"/>
  <c r="D375" i="1" s="1"/>
  <c r="C374" i="1"/>
  <c r="D374" i="1" s="1"/>
  <c r="C373" i="1"/>
  <c r="C372" i="1"/>
  <c r="D372" i="1" s="1"/>
  <c r="C371" i="1"/>
  <c r="D371" i="1" s="1"/>
  <c r="C370" i="1"/>
  <c r="D370" i="1" s="1"/>
  <c r="E382" i="1"/>
  <c r="E383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D379" i="1"/>
  <c r="D373" i="1"/>
  <c r="E343" i="1"/>
  <c r="D716" i="1"/>
  <c r="D717" i="1"/>
  <c r="D718" i="1"/>
  <c r="D760" i="1"/>
  <c r="F759" i="1"/>
  <c r="D758" i="1"/>
  <c r="D757" i="1"/>
  <c r="D756" i="1"/>
  <c r="F755" i="1"/>
  <c r="D754" i="1"/>
  <c r="D753" i="1"/>
  <c r="D752" i="1"/>
  <c r="D751" i="1"/>
  <c r="D750" i="1"/>
  <c r="D749" i="1"/>
  <c r="D748" i="1"/>
  <c r="F747" i="1"/>
  <c r="F746" i="1"/>
  <c r="F745" i="1"/>
  <c r="D744" i="1"/>
  <c r="D743" i="1"/>
  <c r="D742" i="1"/>
  <c r="F741" i="1"/>
  <c r="D740" i="1"/>
  <c r="D739" i="1"/>
  <c r="D738" i="1"/>
  <c r="F737" i="1"/>
  <c r="D736" i="1"/>
  <c r="D735" i="1"/>
  <c r="D734" i="1"/>
  <c r="D733" i="1"/>
  <c r="E701" i="1"/>
  <c r="E702" i="1"/>
  <c r="D701" i="1"/>
  <c r="E699" i="1"/>
  <c r="D699" i="1"/>
  <c r="E698" i="1"/>
  <c r="E697" i="1"/>
  <c r="E696" i="1"/>
  <c r="D696" i="1"/>
  <c r="E693" i="1"/>
  <c r="E689" i="1"/>
  <c r="D689" i="1"/>
  <c r="E688" i="1"/>
  <c r="D688" i="1"/>
  <c r="E687" i="1"/>
  <c r="E685" i="1"/>
  <c r="D684" i="1"/>
  <c r="E684" i="1"/>
  <c r="E683" i="1"/>
  <c r="D683" i="1"/>
  <c r="E682" i="1"/>
  <c r="D682" i="1"/>
  <c r="E681" i="1"/>
  <c r="E679" i="1"/>
  <c r="D679" i="1"/>
  <c r="E677" i="1"/>
  <c r="F731" i="1"/>
  <c r="F730" i="1"/>
  <c r="D729" i="1"/>
  <c r="D728" i="1"/>
  <c r="F727" i="1"/>
  <c r="F726" i="1"/>
  <c r="D725" i="1"/>
  <c r="F724" i="1"/>
  <c r="F723" i="1"/>
  <c r="F722" i="1"/>
  <c r="D721" i="1"/>
  <c r="D720" i="1"/>
  <c r="F719" i="1"/>
  <c r="F715" i="1"/>
  <c r="F714" i="1"/>
  <c r="F713" i="1"/>
  <c r="D712" i="1"/>
  <c r="F711" i="1"/>
  <c r="F710" i="1"/>
  <c r="D709" i="1"/>
  <c r="F708" i="1"/>
  <c r="F707" i="1"/>
  <c r="F706" i="1"/>
  <c r="D705" i="1"/>
  <c r="F704" i="1"/>
  <c r="D702" i="1"/>
  <c r="E700" i="1"/>
  <c r="D700" i="1"/>
  <c r="D698" i="1"/>
  <c r="E695" i="1"/>
  <c r="E694" i="1"/>
  <c r="D693" i="1"/>
  <c r="E692" i="1"/>
  <c r="D692" i="1"/>
  <c r="E691" i="1"/>
  <c r="D691" i="1"/>
  <c r="E690" i="1"/>
  <c r="D690" i="1"/>
  <c r="E686" i="1"/>
  <c r="D686" i="1"/>
  <c r="D681" i="1"/>
  <c r="E680" i="1"/>
  <c r="D680" i="1"/>
  <c r="E678" i="1"/>
  <c r="D678" i="1"/>
  <c r="D677" i="1"/>
  <c r="E676" i="1"/>
  <c r="D676" i="1"/>
  <c r="E675" i="1"/>
  <c r="D675" i="1"/>
  <c r="D671" i="1"/>
  <c r="F670" i="1"/>
  <c r="F669" i="1"/>
  <c r="D668" i="1"/>
  <c r="D667" i="1"/>
  <c r="F666" i="1"/>
  <c r="F665" i="1"/>
  <c r="F664" i="1"/>
  <c r="D663" i="1"/>
  <c r="F662" i="1"/>
  <c r="F661" i="1"/>
  <c r="F660" i="1"/>
  <c r="F659" i="1"/>
  <c r="F658" i="1"/>
  <c r="F657" i="1"/>
  <c r="F656" i="1"/>
  <c r="F655" i="1"/>
  <c r="F654" i="1"/>
  <c r="D653" i="1"/>
  <c r="F652" i="1"/>
  <c r="F651" i="1"/>
  <c r="F650" i="1"/>
  <c r="F649" i="1"/>
  <c r="F648" i="1"/>
  <c r="F647" i="1"/>
  <c r="F646" i="1"/>
  <c r="D645" i="1"/>
  <c r="F644" i="1"/>
  <c r="F643" i="1"/>
  <c r="F642" i="1"/>
  <c r="F641" i="1"/>
  <c r="F640" i="1"/>
  <c r="F639" i="1"/>
  <c r="F638" i="1"/>
  <c r="D637" i="1"/>
  <c r="D636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E597" i="1"/>
  <c r="E596" i="1"/>
  <c r="D596" i="1"/>
  <c r="E595" i="1"/>
  <c r="F595" i="1" s="1"/>
  <c r="E594" i="1"/>
  <c r="E593" i="1"/>
  <c r="E592" i="1"/>
  <c r="D592" i="1"/>
  <c r="E591" i="1"/>
  <c r="F591" i="1" s="1"/>
  <c r="E590" i="1"/>
  <c r="E589" i="1"/>
  <c r="F589" i="1" s="1"/>
  <c r="E588" i="1"/>
  <c r="F588" i="1" s="1"/>
  <c r="E587" i="1"/>
  <c r="D587" i="1"/>
  <c r="E586" i="1"/>
  <c r="D586" i="1"/>
  <c r="E585" i="1"/>
  <c r="E584" i="1"/>
  <c r="F584" i="1" s="1"/>
  <c r="E583" i="1"/>
  <c r="E582" i="1"/>
  <c r="D582" i="1"/>
  <c r="E577" i="1"/>
  <c r="E578" i="1"/>
  <c r="E579" i="1"/>
  <c r="E580" i="1"/>
  <c r="E581" i="1"/>
  <c r="D578" i="1"/>
  <c r="D579" i="1"/>
  <c r="E576" i="1"/>
  <c r="F576" i="1" s="1"/>
  <c r="E575" i="1"/>
  <c r="E574" i="1"/>
  <c r="E573" i="1"/>
  <c r="E572" i="1"/>
  <c r="E571" i="1"/>
  <c r="E570" i="1"/>
  <c r="D570" i="1"/>
  <c r="E569" i="1"/>
  <c r="E568" i="1"/>
  <c r="E567" i="1"/>
  <c r="D567" i="1"/>
  <c r="D566" i="1"/>
  <c r="E566" i="1"/>
  <c r="E565" i="1"/>
  <c r="E564" i="1"/>
  <c r="D563" i="1"/>
  <c r="D571" i="1"/>
  <c r="D583" i="1"/>
  <c r="D590" i="1"/>
  <c r="D597" i="1"/>
  <c r="E563" i="1"/>
  <c r="E562" i="1"/>
  <c r="D562" i="1"/>
  <c r="D594" i="1"/>
  <c r="D575" i="1"/>
  <c r="D558" i="1"/>
  <c r="D557" i="1"/>
  <c r="F556" i="1"/>
  <c r="D555" i="1"/>
  <c r="D554" i="1"/>
  <c r="F553" i="1"/>
  <c r="F552" i="1"/>
  <c r="D551" i="1"/>
  <c r="D550" i="1"/>
  <c r="D549" i="1"/>
  <c r="F548" i="1"/>
  <c r="D547" i="1"/>
  <c r="D546" i="1"/>
  <c r="F545" i="1"/>
  <c r="F544" i="1"/>
  <c r="F543" i="1"/>
  <c r="F542" i="1"/>
  <c r="D541" i="1"/>
  <c r="D540" i="1"/>
  <c r="D539" i="1"/>
  <c r="F538" i="1"/>
  <c r="D537" i="1"/>
  <c r="D536" i="1"/>
  <c r="D535" i="1"/>
  <c r="D534" i="1"/>
  <c r="D533" i="1"/>
  <c r="D532" i="1"/>
  <c r="D531" i="1"/>
  <c r="F529" i="1"/>
  <c r="F528" i="1"/>
  <c r="D527" i="1"/>
  <c r="D526" i="1"/>
  <c r="F525" i="1"/>
  <c r="F524" i="1"/>
  <c r="D523" i="1"/>
  <c r="F522" i="1"/>
  <c r="F521" i="1"/>
  <c r="F520" i="1"/>
  <c r="D519" i="1"/>
  <c r="F518" i="1"/>
  <c r="F517" i="1"/>
  <c r="F516" i="1"/>
  <c r="D515" i="1"/>
  <c r="F514" i="1"/>
  <c r="F513" i="1"/>
  <c r="F512" i="1"/>
  <c r="D511" i="1"/>
  <c r="D510" i="1"/>
  <c r="F509" i="1"/>
  <c r="F508" i="1"/>
  <c r="D507" i="1"/>
  <c r="F506" i="1"/>
  <c r="F505" i="1"/>
  <c r="F504" i="1"/>
  <c r="D503" i="1"/>
  <c r="F502" i="1"/>
  <c r="E496" i="1"/>
  <c r="E493" i="1"/>
  <c r="E488" i="1"/>
  <c r="E484" i="1"/>
  <c r="E483" i="1"/>
  <c r="E482" i="1"/>
  <c r="E481" i="1"/>
  <c r="E479" i="1"/>
  <c r="E478" i="1"/>
  <c r="E477" i="1"/>
  <c r="E476" i="1"/>
  <c r="D491" i="1"/>
  <c r="D488" i="1"/>
  <c r="D483" i="1"/>
  <c r="D475" i="1"/>
  <c r="D474" i="1"/>
  <c r="E500" i="1"/>
  <c r="D500" i="1"/>
  <c r="E499" i="1"/>
  <c r="D499" i="1"/>
  <c r="E498" i="1"/>
  <c r="D498" i="1"/>
  <c r="E497" i="1"/>
  <c r="D497" i="1"/>
  <c r="D496" i="1"/>
  <c r="E495" i="1"/>
  <c r="D495" i="1"/>
  <c r="E494" i="1"/>
  <c r="D494" i="1"/>
  <c r="D493" i="1"/>
  <c r="E492" i="1"/>
  <c r="D492" i="1"/>
  <c r="E491" i="1"/>
  <c r="E490" i="1"/>
  <c r="D490" i="1"/>
  <c r="E489" i="1"/>
  <c r="D489" i="1"/>
  <c r="E487" i="1"/>
  <c r="D487" i="1"/>
  <c r="E486" i="1"/>
  <c r="D486" i="1"/>
  <c r="E485" i="1"/>
  <c r="D485" i="1"/>
  <c r="D484" i="1"/>
  <c r="D482" i="1"/>
  <c r="D481" i="1"/>
  <c r="E480" i="1"/>
  <c r="D480" i="1"/>
  <c r="D479" i="1"/>
  <c r="D478" i="1"/>
  <c r="D477" i="1"/>
  <c r="D476" i="1"/>
  <c r="E475" i="1"/>
  <c r="E474" i="1"/>
  <c r="E473" i="1"/>
  <c r="D473" i="1"/>
  <c r="D925" i="1" l="1"/>
  <c r="E292" i="1"/>
  <c r="E309" i="1"/>
  <c r="E310" i="1"/>
  <c r="C308" i="1"/>
  <c r="B308" i="1"/>
  <c r="D894" i="1"/>
  <c r="E291" i="1"/>
  <c r="F912" i="1"/>
  <c r="F563" i="1"/>
  <c r="F585" i="1"/>
  <c r="D914" i="1"/>
  <c r="D949" i="1"/>
  <c r="F583" i="1"/>
  <c r="F581" i="1"/>
  <c r="F756" i="1"/>
  <c r="D759" i="1"/>
  <c r="D892" i="1"/>
  <c r="F577" i="1"/>
  <c r="F896" i="1"/>
  <c r="F916" i="1"/>
  <c r="D927" i="1"/>
  <c r="F951" i="1"/>
  <c r="D898" i="1"/>
  <c r="D908" i="1"/>
  <c r="F940" i="1"/>
  <c r="F957" i="1"/>
  <c r="F960" i="1"/>
  <c r="F742" i="1"/>
  <c r="F900" i="1"/>
  <c r="D910" i="1"/>
  <c r="F936" i="1"/>
  <c r="F580" i="1"/>
  <c r="F888" i="1"/>
  <c r="D902" i="1"/>
  <c r="F904" i="1"/>
  <c r="D918" i="1"/>
  <c r="F920" i="1"/>
  <c r="F932" i="1"/>
  <c r="D953" i="1"/>
  <c r="F956" i="1"/>
  <c r="F738" i="1"/>
  <c r="D741" i="1"/>
  <c r="D755" i="1"/>
  <c r="F760" i="1"/>
  <c r="D890" i="1"/>
  <c r="D906" i="1"/>
  <c r="D922" i="1"/>
  <c r="F944" i="1"/>
  <c r="F734" i="1"/>
  <c r="D737" i="1"/>
  <c r="F752" i="1"/>
  <c r="F933" i="1"/>
  <c r="F937" i="1"/>
  <c r="F941" i="1"/>
  <c r="F945" i="1"/>
  <c r="D955" i="1"/>
  <c r="D959" i="1"/>
  <c r="F695" i="1"/>
  <c r="F568" i="1"/>
  <c r="F891" i="1"/>
  <c r="F895" i="1"/>
  <c r="F899" i="1"/>
  <c r="F903" i="1"/>
  <c r="F907" i="1"/>
  <c r="F911" i="1"/>
  <c r="F915" i="1"/>
  <c r="F919" i="1"/>
  <c r="F923" i="1"/>
  <c r="F928" i="1"/>
  <c r="D931" i="1"/>
  <c r="D935" i="1"/>
  <c r="D939" i="1"/>
  <c r="D943" i="1"/>
  <c r="F950" i="1"/>
  <c r="F889" i="1"/>
  <c r="F893" i="1"/>
  <c r="F897" i="1"/>
  <c r="F901" i="1"/>
  <c r="F905" i="1"/>
  <c r="F909" i="1"/>
  <c r="F913" i="1"/>
  <c r="F917" i="1"/>
  <c r="F921" i="1"/>
  <c r="F926" i="1"/>
  <c r="F934" i="1"/>
  <c r="F938" i="1"/>
  <c r="F942" i="1"/>
  <c r="F946" i="1"/>
  <c r="F948" i="1"/>
  <c r="F952" i="1"/>
  <c r="F958" i="1"/>
  <c r="F720" i="1"/>
  <c r="F733" i="1"/>
  <c r="F751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748" i="1"/>
  <c r="F718" i="1"/>
  <c r="F735" i="1"/>
  <c r="F739" i="1"/>
  <c r="F743" i="1"/>
  <c r="F749" i="1"/>
  <c r="F753" i="1"/>
  <c r="F757" i="1"/>
  <c r="F736" i="1"/>
  <c r="F740" i="1"/>
  <c r="F744" i="1"/>
  <c r="F750" i="1"/>
  <c r="F754" i="1"/>
  <c r="F758" i="1"/>
  <c r="D661" i="1"/>
  <c r="F668" i="1"/>
  <c r="F709" i="1"/>
  <c r="F721" i="1"/>
  <c r="D724" i="1"/>
  <c r="F705" i="1"/>
  <c r="D711" i="1"/>
  <c r="F549" i="1"/>
  <c r="F690" i="1"/>
  <c r="F694" i="1"/>
  <c r="D707" i="1"/>
  <c r="F716" i="1"/>
  <c r="F725" i="1"/>
  <c r="D731" i="1"/>
  <c r="F526" i="1"/>
  <c r="F534" i="1"/>
  <c r="F636" i="1"/>
  <c r="D639" i="1"/>
  <c r="F692" i="1"/>
  <c r="D695" i="1"/>
  <c r="F698" i="1"/>
  <c r="F700" i="1"/>
  <c r="D704" i="1"/>
  <c r="D713" i="1"/>
  <c r="D723" i="1"/>
  <c r="D727" i="1"/>
  <c r="D649" i="1"/>
  <c r="D652" i="1"/>
  <c r="D655" i="1"/>
  <c r="D708" i="1"/>
  <c r="D715" i="1"/>
  <c r="F699" i="1"/>
  <c r="F564" i="1"/>
  <c r="F510" i="1"/>
  <c r="F527" i="1"/>
  <c r="F531" i="1"/>
  <c r="F686" i="1"/>
  <c r="F691" i="1"/>
  <c r="F712" i="1"/>
  <c r="F717" i="1"/>
  <c r="F728" i="1"/>
  <c r="F702" i="1"/>
  <c r="D556" i="1"/>
  <c r="F574" i="1"/>
  <c r="F579" i="1"/>
  <c r="F593" i="1"/>
  <c r="F645" i="1"/>
  <c r="D651" i="1"/>
  <c r="D656" i="1"/>
  <c r="D669" i="1"/>
  <c r="D694" i="1"/>
  <c r="D719" i="1"/>
  <c r="F729" i="1"/>
  <c r="D552" i="1"/>
  <c r="F701" i="1"/>
  <c r="F697" i="1"/>
  <c r="D697" i="1"/>
  <c r="F696" i="1"/>
  <c r="F693" i="1"/>
  <c r="F689" i="1"/>
  <c r="F687" i="1"/>
  <c r="D687" i="1"/>
  <c r="F685" i="1"/>
  <c r="D685" i="1"/>
  <c r="D644" i="1"/>
  <c r="D648" i="1"/>
  <c r="F653" i="1"/>
  <c r="D660" i="1"/>
  <c r="D664" i="1"/>
  <c r="F675" i="1"/>
  <c r="F676" i="1"/>
  <c r="F677" i="1"/>
  <c r="F678" i="1"/>
  <c r="F679" i="1"/>
  <c r="F680" i="1"/>
  <c r="F681" i="1"/>
  <c r="F682" i="1"/>
  <c r="F683" i="1"/>
  <c r="F684" i="1"/>
  <c r="F688" i="1"/>
  <c r="D706" i="1"/>
  <c r="D710" i="1"/>
  <c r="D714" i="1"/>
  <c r="D722" i="1"/>
  <c r="D726" i="1"/>
  <c r="D730" i="1"/>
  <c r="F637" i="1"/>
  <c r="D643" i="1"/>
  <c r="D647" i="1"/>
  <c r="D659" i="1"/>
  <c r="D638" i="1"/>
  <c r="D642" i="1"/>
  <c r="D646" i="1"/>
  <c r="D650" i="1"/>
  <c r="D654" i="1"/>
  <c r="D658" i="1"/>
  <c r="D662" i="1"/>
  <c r="F663" i="1"/>
  <c r="D666" i="1"/>
  <c r="F667" i="1"/>
  <c r="D670" i="1"/>
  <c r="F671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586" i="1"/>
  <c r="F582" i="1"/>
  <c r="F573" i="1"/>
  <c r="F572" i="1"/>
  <c r="F570" i="1"/>
  <c r="F569" i="1"/>
  <c r="F567" i="1"/>
  <c r="F566" i="1"/>
  <c r="F565" i="1"/>
  <c r="D502" i="1"/>
  <c r="D518" i="1"/>
  <c r="F539" i="1"/>
  <c r="D542" i="1"/>
  <c r="D553" i="1"/>
  <c r="F557" i="1"/>
  <c r="F562" i="1"/>
  <c r="F571" i="1"/>
  <c r="D574" i="1"/>
  <c r="F578" i="1"/>
  <c r="F587" i="1"/>
  <c r="F590" i="1"/>
  <c r="D593" i="1"/>
  <c r="F597" i="1"/>
  <c r="D548" i="1"/>
  <c r="F575" i="1"/>
  <c r="F594" i="1"/>
  <c r="D591" i="1"/>
  <c r="F592" i="1"/>
  <c r="D595" i="1"/>
  <c r="F596" i="1"/>
  <c r="D506" i="1"/>
  <c r="D514" i="1"/>
  <c r="D522" i="1"/>
  <c r="F535" i="1"/>
  <c r="D538" i="1"/>
  <c r="D565" i="1"/>
  <c r="D569" i="1"/>
  <c r="D573" i="1"/>
  <c r="D577" i="1"/>
  <c r="D581" i="1"/>
  <c r="D585" i="1"/>
  <c r="D589" i="1"/>
  <c r="D564" i="1"/>
  <c r="D568" i="1"/>
  <c r="D572" i="1"/>
  <c r="D576" i="1"/>
  <c r="D580" i="1"/>
  <c r="D584" i="1"/>
  <c r="D588" i="1"/>
  <c r="F532" i="1"/>
  <c r="F536" i="1"/>
  <c r="F540" i="1"/>
  <c r="F546" i="1"/>
  <c r="F550" i="1"/>
  <c r="F554" i="1"/>
  <c r="F558" i="1"/>
  <c r="F533" i="1"/>
  <c r="F537" i="1"/>
  <c r="F541" i="1"/>
  <c r="F547" i="1"/>
  <c r="F551" i="1"/>
  <c r="F555" i="1"/>
  <c r="D505" i="1"/>
  <c r="D509" i="1"/>
  <c r="D513" i="1"/>
  <c r="D517" i="1"/>
  <c r="D521" i="1"/>
  <c r="D525" i="1"/>
  <c r="D529" i="1"/>
  <c r="F503" i="1"/>
  <c r="F507" i="1"/>
  <c r="F511" i="1"/>
  <c r="F515" i="1"/>
  <c r="F519" i="1"/>
  <c r="F523" i="1"/>
  <c r="D504" i="1"/>
  <c r="D508" i="1"/>
  <c r="D512" i="1"/>
  <c r="D516" i="1"/>
  <c r="D520" i="1"/>
  <c r="D524" i="1"/>
  <c r="D528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F1500" i="1"/>
  <c r="F1499" i="1"/>
  <c r="F1498" i="1"/>
  <c r="D1497" i="1"/>
  <c r="D1496" i="1"/>
  <c r="D1495" i="1"/>
  <c r="F1494" i="1"/>
  <c r="F1493" i="1"/>
  <c r="F1492" i="1"/>
  <c r="F1489" i="1"/>
  <c r="F1488" i="1"/>
  <c r="F1487" i="1"/>
  <c r="D1486" i="1"/>
  <c r="D1485" i="1"/>
  <c r="D1484" i="1"/>
  <c r="D1482" i="1"/>
  <c r="F1481" i="1"/>
  <c r="F1480" i="1"/>
  <c r="F1479" i="1"/>
  <c r="F1478" i="1"/>
  <c r="F1477" i="1"/>
  <c r="F1476" i="1"/>
  <c r="F1475" i="1"/>
  <c r="F1474" i="1"/>
  <c r="D1473" i="1"/>
  <c r="F1472" i="1"/>
  <c r="F1471" i="1"/>
  <c r="D1470" i="1"/>
  <c r="D1469" i="1"/>
  <c r="D1468" i="1"/>
  <c r="F1467" i="1"/>
  <c r="D1464" i="1"/>
  <c r="D1463" i="1"/>
  <c r="F1462" i="1"/>
  <c r="D1461" i="1"/>
  <c r="F1491" i="1"/>
  <c r="F1490" i="1"/>
  <c r="D1489" i="1"/>
  <c r="F1483" i="1"/>
  <c r="D1474" i="1"/>
  <c r="F1466" i="1"/>
  <c r="F1465" i="1"/>
  <c r="D1459" i="1"/>
  <c r="D1458" i="1"/>
  <c r="D1457" i="1"/>
  <c r="F1456" i="1"/>
  <c r="F1455" i="1"/>
  <c r="F1454" i="1"/>
  <c r="D1453" i="1"/>
  <c r="F1452" i="1"/>
  <c r="F1451" i="1"/>
  <c r="D1450" i="1"/>
  <c r="D1449" i="1"/>
  <c r="F1448" i="1"/>
  <c r="F1447" i="1"/>
  <c r="F1446" i="1"/>
  <c r="D1445" i="1"/>
  <c r="F1444" i="1"/>
  <c r="D1443" i="1"/>
  <c r="D1442" i="1"/>
  <c r="D1441" i="1"/>
  <c r="F1440" i="1"/>
  <c r="F1439" i="1"/>
  <c r="F1438" i="1"/>
  <c r="D1437" i="1"/>
  <c r="F1436" i="1"/>
  <c r="F1435" i="1"/>
  <c r="D1434" i="1"/>
  <c r="D1433" i="1"/>
  <c r="F1432" i="1"/>
  <c r="F1431" i="1"/>
  <c r="F1430" i="1"/>
  <c r="D1429" i="1"/>
  <c r="F1428" i="1"/>
  <c r="D1427" i="1"/>
  <c r="D1426" i="1"/>
  <c r="D1425" i="1"/>
  <c r="F1424" i="1"/>
  <c r="F1423" i="1"/>
  <c r="F1422" i="1"/>
  <c r="D1421" i="1"/>
  <c r="F1420" i="1"/>
  <c r="F1459" i="1"/>
  <c r="F1458" i="1"/>
  <c r="E1405" i="1"/>
  <c r="F1405" i="1" s="1"/>
  <c r="F1418" i="1"/>
  <c r="D1417" i="1"/>
  <c r="F1416" i="1"/>
  <c r="F1415" i="1"/>
  <c r="F1414" i="1"/>
  <c r="F1413" i="1"/>
  <c r="D1412" i="1"/>
  <c r="F1411" i="1"/>
  <c r="F1410" i="1"/>
  <c r="D1409" i="1"/>
  <c r="F1408" i="1"/>
  <c r="F1407" i="1"/>
  <c r="F1406" i="1"/>
  <c r="D1404" i="1"/>
  <c r="F1403" i="1"/>
  <c r="F1402" i="1"/>
  <c r="F1401" i="1"/>
  <c r="D1400" i="1"/>
  <c r="D1399" i="1"/>
  <c r="F1398" i="1"/>
  <c r="D1397" i="1"/>
  <c r="D1396" i="1"/>
  <c r="F1395" i="1"/>
  <c r="F1394" i="1"/>
  <c r="F1393" i="1"/>
  <c r="D1392" i="1"/>
  <c r="D1391" i="1"/>
  <c r="F1390" i="1"/>
  <c r="D1389" i="1"/>
  <c r="D1388" i="1"/>
  <c r="F1387" i="1"/>
  <c r="F1386" i="1"/>
  <c r="D1385" i="1"/>
  <c r="D1384" i="1"/>
  <c r="F1383" i="1"/>
  <c r="F1382" i="1"/>
  <c r="F1381" i="1"/>
  <c r="F1380" i="1"/>
  <c r="F1379" i="1"/>
  <c r="C1376" i="1"/>
  <c r="D1376" i="1" s="1"/>
  <c r="C1375" i="1"/>
  <c r="D1375" i="1" s="1"/>
  <c r="C1374" i="1"/>
  <c r="F1374" i="1" s="1"/>
  <c r="C1373" i="1"/>
  <c r="D1373" i="1" s="1"/>
  <c r="C1372" i="1"/>
  <c r="D1372" i="1" s="1"/>
  <c r="C1371" i="1"/>
  <c r="D1371" i="1" s="1"/>
  <c r="C1369" i="1"/>
  <c r="F1369" i="1" s="1"/>
  <c r="C1368" i="1"/>
  <c r="F1368" i="1" s="1"/>
  <c r="C1367" i="1"/>
  <c r="F1367" i="1" s="1"/>
  <c r="C1366" i="1"/>
  <c r="F1366" i="1" s="1"/>
  <c r="C1365" i="1"/>
  <c r="F1365" i="1" s="1"/>
  <c r="C1364" i="1"/>
  <c r="F1364" i="1" s="1"/>
  <c r="C1362" i="1"/>
  <c r="D1362" i="1" s="1"/>
  <c r="C1361" i="1"/>
  <c r="D1361" i="1" s="1"/>
  <c r="C1360" i="1"/>
  <c r="F1360" i="1" s="1"/>
  <c r="C1359" i="1"/>
  <c r="D1359" i="1" s="1"/>
  <c r="C1358" i="1"/>
  <c r="D1358" i="1" s="1"/>
  <c r="C1357" i="1"/>
  <c r="F1357" i="1" s="1"/>
  <c r="C1356" i="1"/>
  <c r="F1356" i="1" s="1"/>
  <c r="C1355" i="1"/>
  <c r="F1355" i="1" s="1"/>
  <c r="C1354" i="1"/>
  <c r="F1354" i="1" s="1"/>
  <c r="C1353" i="1"/>
  <c r="F1353" i="1" s="1"/>
  <c r="C1352" i="1"/>
  <c r="F1352" i="1" s="1"/>
  <c r="C1351" i="1"/>
  <c r="F1351" i="1" s="1"/>
  <c r="C1350" i="1"/>
  <c r="F1350" i="1" s="1"/>
  <c r="C1349" i="1"/>
  <c r="F1349" i="1" s="1"/>
  <c r="C1348" i="1"/>
  <c r="F1348" i="1" s="1"/>
  <c r="C1347" i="1"/>
  <c r="D1347" i="1" s="1"/>
  <c r="C1344" i="1"/>
  <c r="D1344" i="1" s="1"/>
  <c r="C1343" i="1"/>
  <c r="F1343" i="1" s="1"/>
  <c r="C1342" i="1"/>
  <c r="D1342" i="1" s="1"/>
  <c r="C1341" i="1"/>
  <c r="F1341" i="1" s="1"/>
  <c r="F1376" i="1"/>
  <c r="F1375" i="1"/>
  <c r="F1370" i="1"/>
  <c r="F1363" i="1"/>
  <c r="F1346" i="1"/>
  <c r="F1345" i="1"/>
  <c r="C1339" i="1"/>
  <c r="D1339" i="1" s="1"/>
  <c r="C1338" i="1"/>
  <c r="F1338" i="1" s="1"/>
  <c r="C1337" i="1"/>
  <c r="D1337" i="1" s="1"/>
  <c r="C1336" i="1"/>
  <c r="F1336" i="1" s="1"/>
  <c r="C1335" i="1"/>
  <c r="D1335" i="1" s="1"/>
  <c r="C1334" i="1"/>
  <c r="D1334" i="1" s="1"/>
  <c r="C1333" i="1"/>
  <c r="D1333" i="1" s="1"/>
  <c r="C1332" i="1"/>
  <c r="D1332" i="1" s="1"/>
  <c r="C1331" i="1"/>
  <c r="F1331" i="1" s="1"/>
  <c r="C1330" i="1"/>
  <c r="D1330" i="1" s="1"/>
  <c r="C1329" i="1"/>
  <c r="F1329" i="1" s="1"/>
  <c r="C1328" i="1"/>
  <c r="D1328" i="1" s="1"/>
  <c r="C1327" i="1"/>
  <c r="F1327" i="1" s="1"/>
  <c r="C1326" i="1"/>
  <c r="F1326" i="1" s="1"/>
  <c r="C1325" i="1"/>
  <c r="D1325" i="1" s="1"/>
  <c r="C1324" i="1"/>
  <c r="D1324" i="1" s="1"/>
  <c r="C1323" i="1"/>
  <c r="F1323" i="1" s="1"/>
  <c r="C1322" i="1"/>
  <c r="F1322" i="1" s="1"/>
  <c r="C1321" i="1"/>
  <c r="F1321" i="1" s="1"/>
  <c r="C1320" i="1"/>
  <c r="D1320" i="1" s="1"/>
  <c r="C1319" i="1"/>
  <c r="F1319" i="1" s="1"/>
  <c r="C1318" i="1"/>
  <c r="F1318" i="1" s="1"/>
  <c r="C1317" i="1"/>
  <c r="D1317" i="1" s="1"/>
  <c r="C1316" i="1"/>
  <c r="F1316" i="1" s="1"/>
  <c r="C1315" i="1"/>
  <c r="D1315" i="1" s="1"/>
  <c r="C1314" i="1"/>
  <c r="F1314" i="1" s="1"/>
  <c r="C1313" i="1"/>
  <c r="F1313" i="1" s="1"/>
  <c r="C1312" i="1"/>
  <c r="F1312" i="1" s="1"/>
  <c r="C1311" i="1"/>
  <c r="D1311" i="1" s="1"/>
  <c r="C1310" i="1"/>
  <c r="F1310" i="1" s="1"/>
  <c r="C1309" i="1"/>
  <c r="D1309" i="1" s="1"/>
  <c r="C1308" i="1"/>
  <c r="D1308" i="1" s="1"/>
  <c r="C1307" i="1"/>
  <c r="F1307" i="1" s="1"/>
  <c r="C1306" i="1"/>
  <c r="F1306" i="1" s="1"/>
  <c r="C1305" i="1"/>
  <c r="F1305" i="1" s="1"/>
  <c r="C1304" i="1"/>
  <c r="D1304" i="1" s="1"/>
  <c r="F1339" i="1"/>
  <c r="E1302" i="1"/>
  <c r="F1302" i="1" s="1"/>
  <c r="E1299" i="1"/>
  <c r="E1298" i="1"/>
  <c r="E1288" i="1"/>
  <c r="F1288" i="1" s="1"/>
  <c r="E1277" i="1"/>
  <c r="F1277" i="1" s="1"/>
  <c r="E1276" i="1"/>
  <c r="E1267" i="1"/>
  <c r="F1267" i="1" s="1"/>
  <c r="D1301" i="1"/>
  <c r="C1300" i="1"/>
  <c r="D1300" i="1" s="1"/>
  <c r="C1299" i="1"/>
  <c r="D1299" i="1" s="1"/>
  <c r="D1298" i="1"/>
  <c r="C1297" i="1"/>
  <c r="D1297" i="1" s="1"/>
  <c r="F1296" i="1"/>
  <c r="D1295" i="1"/>
  <c r="D1294" i="1"/>
  <c r="C1293" i="1"/>
  <c r="D1293" i="1" s="1"/>
  <c r="C1292" i="1"/>
  <c r="F1292" i="1" s="1"/>
  <c r="F1291" i="1"/>
  <c r="C1290" i="1"/>
  <c r="D1290" i="1" s="1"/>
  <c r="F1289" i="1"/>
  <c r="D1287" i="1"/>
  <c r="C1286" i="1"/>
  <c r="F1286" i="1" s="1"/>
  <c r="C1285" i="1"/>
  <c r="D1285" i="1" s="1"/>
  <c r="C1284" i="1"/>
  <c r="D1284" i="1" s="1"/>
  <c r="C1283" i="1"/>
  <c r="F1283" i="1" s="1"/>
  <c r="C1282" i="1"/>
  <c r="D1282" i="1" s="1"/>
  <c r="C1281" i="1"/>
  <c r="D1281" i="1" s="1"/>
  <c r="C1280" i="1"/>
  <c r="F1280" i="1" s="1"/>
  <c r="C1279" i="1"/>
  <c r="D1279" i="1" s="1"/>
  <c r="D1278" i="1"/>
  <c r="D1276" i="1"/>
  <c r="D1275" i="1"/>
  <c r="F1274" i="1"/>
  <c r="C1273" i="1"/>
  <c r="D1273" i="1" s="1"/>
  <c r="F1272" i="1"/>
  <c r="D1271" i="1"/>
  <c r="C1270" i="1"/>
  <c r="D1269" i="1"/>
  <c r="F1268" i="1"/>
  <c r="D1264" i="1"/>
  <c r="F1263" i="1"/>
  <c r="F1262" i="1"/>
  <c r="F1261" i="1"/>
  <c r="D1260" i="1"/>
  <c r="F1259" i="1"/>
  <c r="F1258" i="1"/>
  <c r="D1257" i="1"/>
  <c r="F1256" i="1"/>
  <c r="F1255" i="1"/>
  <c r="F1254" i="1"/>
  <c r="F1253" i="1"/>
  <c r="F1252" i="1"/>
  <c r="D1248" i="1"/>
  <c r="F1247" i="1"/>
  <c r="F1246" i="1"/>
  <c r="D1245" i="1"/>
  <c r="F1244" i="1"/>
  <c r="F1243" i="1"/>
  <c r="F1242" i="1"/>
  <c r="F1241" i="1"/>
  <c r="F1240" i="1"/>
  <c r="F1239" i="1"/>
  <c r="F1238" i="1"/>
  <c r="D1237" i="1"/>
  <c r="F1251" i="1"/>
  <c r="F1250" i="1"/>
  <c r="F1249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21" i="1"/>
  <c r="E1206" i="1"/>
  <c r="F1206" i="1" s="1"/>
  <c r="E1205" i="1"/>
  <c r="E1204" i="1"/>
  <c r="F1204" i="1" s="1"/>
  <c r="E1203" i="1"/>
  <c r="E1202" i="1"/>
  <c r="E1201" i="1"/>
  <c r="E1200" i="1"/>
  <c r="E1199" i="1"/>
  <c r="F1199" i="1" s="1"/>
  <c r="E1198" i="1"/>
  <c r="F1198" i="1" s="1"/>
  <c r="E1197" i="1"/>
  <c r="E1196" i="1"/>
  <c r="F1196" i="1" s="1"/>
  <c r="E1195" i="1"/>
  <c r="F1195" i="1" s="1"/>
  <c r="E1194" i="1"/>
  <c r="E1193" i="1"/>
  <c r="E1192" i="1"/>
  <c r="E1191" i="1"/>
  <c r="F1191" i="1" s="1"/>
  <c r="E1190" i="1"/>
  <c r="F1190" i="1" s="1"/>
  <c r="E1189" i="1"/>
  <c r="E1188" i="1"/>
  <c r="E1187" i="1"/>
  <c r="E1186" i="1"/>
  <c r="E1185" i="1"/>
  <c r="F1185" i="1" s="1"/>
  <c r="E1184" i="1"/>
  <c r="F1184" i="1" s="1"/>
  <c r="E1183" i="1"/>
  <c r="F1183" i="1" s="1"/>
  <c r="E1182" i="1"/>
  <c r="E1181" i="1"/>
  <c r="F1181" i="1" s="1"/>
  <c r="E1180" i="1"/>
  <c r="E1179" i="1"/>
  <c r="D1206" i="1"/>
  <c r="D1205" i="1"/>
  <c r="D1203" i="1"/>
  <c r="D1202" i="1"/>
  <c r="D1201" i="1"/>
  <c r="D1200" i="1"/>
  <c r="D1197" i="1"/>
  <c r="D1194" i="1"/>
  <c r="D1193" i="1"/>
  <c r="D1192" i="1"/>
  <c r="D1189" i="1"/>
  <c r="D1188" i="1"/>
  <c r="D1187" i="1"/>
  <c r="D1186" i="1"/>
  <c r="D1182" i="1"/>
  <c r="D1180" i="1"/>
  <c r="D1179" i="1"/>
  <c r="D848" i="1"/>
  <c r="F847" i="1"/>
  <c r="F846" i="1"/>
  <c r="D845" i="1"/>
  <c r="D844" i="1"/>
  <c r="D843" i="1"/>
  <c r="F842" i="1"/>
  <c r="D841" i="1"/>
  <c r="D840" i="1"/>
  <c r="F839" i="1"/>
  <c r="F838" i="1"/>
  <c r="F837" i="1"/>
  <c r="D836" i="1"/>
  <c r="F832" i="1"/>
  <c r="F831" i="1"/>
  <c r="D830" i="1"/>
  <c r="F829" i="1"/>
  <c r="D828" i="1"/>
  <c r="F827" i="1"/>
  <c r="F826" i="1"/>
  <c r="F825" i="1"/>
  <c r="D824" i="1"/>
  <c r="F823" i="1"/>
  <c r="F822" i="1"/>
  <c r="F821" i="1"/>
  <c r="F835" i="1"/>
  <c r="F834" i="1"/>
  <c r="F833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E790" i="1"/>
  <c r="F790" i="1" s="1"/>
  <c r="E789" i="1"/>
  <c r="E788" i="1"/>
  <c r="E787" i="1"/>
  <c r="E786" i="1"/>
  <c r="F786" i="1" s="1"/>
  <c r="E785" i="1"/>
  <c r="E784" i="1"/>
  <c r="E783" i="1"/>
  <c r="F783" i="1" s="1"/>
  <c r="E782" i="1"/>
  <c r="E781" i="1"/>
  <c r="F781" i="1" s="1"/>
  <c r="E780" i="1"/>
  <c r="E779" i="1"/>
  <c r="E778" i="1"/>
  <c r="F778" i="1" s="1"/>
  <c r="E777" i="1"/>
  <c r="F777" i="1" s="1"/>
  <c r="E776" i="1"/>
  <c r="E775" i="1"/>
  <c r="F775" i="1" s="1"/>
  <c r="E774" i="1"/>
  <c r="E773" i="1"/>
  <c r="E772" i="1"/>
  <c r="E771" i="1"/>
  <c r="E770" i="1"/>
  <c r="E769" i="1"/>
  <c r="E768" i="1"/>
  <c r="E767" i="1"/>
  <c r="E766" i="1"/>
  <c r="E765" i="1"/>
  <c r="E764" i="1"/>
  <c r="E763" i="1"/>
  <c r="D790" i="1"/>
  <c r="D788" i="1"/>
  <c r="D787" i="1"/>
  <c r="D785" i="1"/>
  <c r="D782" i="1"/>
  <c r="D780" i="1"/>
  <c r="D779" i="1"/>
  <c r="D789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C465" i="1"/>
  <c r="D465" i="1" s="1"/>
  <c r="C464" i="1"/>
  <c r="D464" i="1" s="1"/>
  <c r="C463" i="1"/>
  <c r="D463" i="1" s="1"/>
  <c r="C462" i="1"/>
  <c r="D462" i="1" s="1"/>
  <c r="C461" i="1"/>
  <c r="D461" i="1" s="1"/>
  <c r="C460" i="1"/>
  <c r="D460" i="1" s="1"/>
  <c r="C459" i="1"/>
  <c r="C458" i="1"/>
  <c r="D458" i="1" s="1"/>
  <c r="C457" i="1"/>
  <c r="D457" i="1" s="1"/>
  <c r="C456" i="1"/>
  <c r="D456" i="1" s="1"/>
  <c r="C455" i="1"/>
  <c r="D455" i="1" s="1"/>
  <c r="C454" i="1"/>
  <c r="D454" i="1" s="1"/>
  <c r="C453" i="1"/>
  <c r="D453" i="1" s="1"/>
  <c r="C452" i="1"/>
  <c r="D452" i="1" s="1"/>
  <c r="C451" i="1"/>
  <c r="C450" i="1"/>
  <c r="D450" i="1" s="1"/>
  <c r="C449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C446" i="1"/>
  <c r="D446" i="1" s="1"/>
  <c r="C445" i="1"/>
  <c r="D445" i="1" s="1"/>
  <c r="C444" i="1"/>
  <c r="D444" i="1" s="1"/>
  <c r="C443" i="1"/>
  <c r="D443" i="1" s="1"/>
  <c r="C442" i="1"/>
  <c r="D442" i="1" s="1"/>
  <c r="C441" i="1"/>
  <c r="C440" i="1"/>
  <c r="D440" i="1" s="1"/>
  <c r="C439" i="1"/>
  <c r="D439" i="1" s="1"/>
  <c r="C438" i="1"/>
  <c r="D438" i="1" s="1"/>
  <c r="C437" i="1"/>
  <c r="C436" i="1"/>
  <c r="D436" i="1" s="1"/>
  <c r="C435" i="1"/>
  <c r="D435" i="1" s="1"/>
  <c r="C434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C430" i="1"/>
  <c r="C429" i="1"/>
  <c r="C428" i="1"/>
  <c r="D428" i="1" s="1"/>
  <c r="C427" i="1"/>
  <c r="D427" i="1" s="1"/>
  <c r="C426" i="1"/>
  <c r="C425" i="1"/>
  <c r="C424" i="1"/>
  <c r="C423" i="1"/>
  <c r="D423" i="1" s="1"/>
  <c r="C422" i="1"/>
  <c r="C421" i="1"/>
  <c r="D421" i="1" s="1"/>
  <c r="C420" i="1"/>
  <c r="D420" i="1" s="1"/>
  <c r="C419" i="1"/>
  <c r="D419" i="1" s="1"/>
  <c r="C418" i="1"/>
  <c r="C417" i="1"/>
  <c r="D417" i="1" s="1"/>
  <c r="C416" i="1"/>
  <c r="C415" i="1"/>
  <c r="D415" i="1" s="1"/>
  <c r="C414" i="1"/>
  <c r="C413" i="1"/>
  <c r="D413" i="1" s="1"/>
  <c r="C412" i="1"/>
  <c r="C411" i="1"/>
  <c r="D411" i="1" s="1"/>
  <c r="C410" i="1"/>
  <c r="C409" i="1"/>
  <c r="D409" i="1" s="1"/>
  <c r="C408" i="1"/>
  <c r="C407" i="1"/>
  <c r="D407" i="1" s="1"/>
  <c r="C406" i="1"/>
  <c r="D429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D1338" i="1" l="1"/>
  <c r="F1373" i="1"/>
  <c r="E305" i="1"/>
  <c r="F1337" i="1"/>
  <c r="E308" i="1"/>
  <c r="D1270" i="1"/>
  <c r="C312" i="1"/>
  <c r="C314" i="1" s="1"/>
  <c r="B312" i="1"/>
  <c r="B314" i="1" s="1"/>
  <c r="B294" i="1"/>
  <c r="B295" i="1"/>
  <c r="B289" i="1"/>
  <c r="E306" i="1"/>
  <c r="B290" i="1"/>
  <c r="B293" i="1"/>
  <c r="E304" i="1"/>
  <c r="D434" i="1"/>
  <c r="C294" i="1"/>
  <c r="D449" i="1"/>
  <c r="C295" i="1"/>
  <c r="C290" i="1"/>
  <c r="C289" i="1"/>
  <c r="C293" i="1"/>
  <c r="D1415" i="1"/>
  <c r="D1184" i="1"/>
  <c r="F1409" i="1"/>
  <c r="F1417" i="1"/>
  <c r="F1397" i="1"/>
  <c r="F1203" i="1"/>
  <c r="F1330" i="1"/>
  <c r="F1385" i="1"/>
  <c r="D1422" i="1"/>
  <c r="D1413" i="1"/>
  <c r="D1196" i="1"/>
  <c r="D1291" i="1"/>
  <c r="D1438" i="1"/>
  <c r="F1200" i="1"/>
  <c r="F1450" i="1"/>
  <c r="F1188" i="1"/>
  <c r="D1204" i="1"/>
  <c r="D1283" i="1"/>
  <c r="D1401" i="1"/>
  <c r="D1430" i="1"/>
  <c r="D822" i="1"/>
  <c r="F1273" i="1"/>
  <c r="D1321" i="1"/>
  <c r="D1381" i="1"/>
  <c r="D1405" i="1"/>
  <c r="D777" i="1"/>
  <c r="D1195" i="1"/>
  <c r="F1297" i="1"/>
  <c r="D1393" i="1"/>
  <c r="F1180" i="1"/>
  <c r="F1245" i="1"/>
  <c r="D1256" i="1"/>
  <c r="F1275" i="1"/>
  <c r="F1299" i="1"/>
  <c r="D1444" i="1"/>
  <c r="F785" i="1"/>
  <c r="F828" i="1"/>
  <c r="F1201" i="1"/>
  <c r="F1400" i="1"/>
  <c r="F1434" i="1"/>
  <c r="D1454" i="1"/>
  <c r="F435" i="1"/>
  <c r="D831" i="1"/>
  <c r="F845" i="1"/>
  <c r="D1289" i="1"/>
  <c r="D1319" i="1"/>
  <c r="F1335" i="1"/>
  <c r="F1342" i="1"/>
  <c r="D1365" i="1"/>
  <c r="F1389" i="1"/>
  <c r="F1426" i="1"/>
  <c r="F1442" i="1"/>
  <c r="D1451" i="1"/>
  <c r="F1463" i="1"/>
  <c r="F425" i="1"/>
  <c r="F1179" i="1"/>
  <c r="F1282" i="1"/>
  <c r="D1323" i="1"/>
  <c r="F1443" i="1"/>
  <c r="F1486" i="1"/>
  <c r="F328" i="1"/>
  <c r="F455" i="1"/>
  <c r="F456" i="1"/>
  <c r="F464" i="1"/>
  <c r="F780" i="1"/>
  <c r="F1237" i="1"/>
  <c r="D1262" i="1"/>
  <c r="D1307" i="1"/>
  <c r="F1325" i="1"/>
  <c r="F1344" i="1"/>
  <c r="F1358" i="1"/>
  <c r="D1380" i="1"/>
  <c r="D1410" i="1"/>
  <c r="F1427" i="1"/>
  <c r="D1440" i="1"/>
  <c r="D1446" i="1"/>
  <c r="D1456" i="1"/>
  <c r="F1482" i="1"/>
  <c r="D1246" i="1"/>
  <c r="D1343" i="1"/>
  <c r="D1353" i="1"/>
  <c r="D1475" i="1"/>
  <c r="D1238" i="1"/>
  <c r="F1391" i="1"/>
  <c r="D781" i="1"/>
  <c r="F824" i="1"/>
  <c r="D832" i="1"/>
  <c r="F1193" i="1"/>
  <c r="D1198" i="1"/>
  <c r="D1305" i="1"/>
  <c r="D1313" i="1"/>
  <c r="D1322" i="1"/>
  <c r="D1435" i="1"/>
  <c r="F1309" i="1"/>
  <c r="D821" i="1"/>
  <c r="F843" i="1"/>
  <c r="D1233" i="1"/>
  <c r="D1240" i="1"/>
  <c r="F1248" i="1"/>
  <c r="D1254" i="1"/>
  <c r="F1281" i="1"/>
  <c r="D1286" i="1"/>
  <c r="D1306" i="1"/>
  <c r="D1341" i="1"/>
  <c r="D1408" i="1"/>
  <c r="D1494" i="1"/>
  <c r="F411" i="1"/>
  <c r="F437" i="1"/>
  <c r="F463" i="1"/>
  <c r="D786" i="1"/>
  <c r="D837" i="1"/>
  <c r="D846" i="1"/>
  <c r="D1185" i="1"/>
  <c r="D1244" i="1"/>
  <c r="D1267" i="1"/>
  <c r="D1274" i="1"/>
  <c r="F1287" i="1"/>
  <c r="F1298" i="1"/>
  <c r="F1311" i="1"/>
  <c r="F1315" i="1"/>
  <c r="D1329" i="1"/>
  <c r="F1333" i="1"/>
  <c r="F1362" i="1"/>
  <c r="D1367" i="1"/>
  <c r="D1383" i="1"/>
  <c r="F1399" i="1"/>
  <c r="D1402" i="1"/>
  <c r="D1406" i="1"/>
  <c r="D1424" i="1"/>
  <c r="D1479" i="1"/>
  <c r="F1484" i="1"/>
  <c r="F428" i="1"/>
  <c r="F1332" i="1"/>
  <c r="F462" i="1"/>
  <c r="F442" i="1"/>
  <c r="F444" i="1"/>
  <c r="D778" i="1"/>
  <c r="F830" i="1"/>
  <c r="D838" i="1"/>
  <c r="D1181" i="1"/>
  <c r="F1186" i="1"/>
  <c r="D1190" i="1"/>
  <c r="F1260" i="1"/>
  <c r="D1312" i="1"/>
  <c r="F1317" i="1"/>
  <c r="F1347" i="1"/>
  <c r="D1394" i="1"/>
  <c r="D1414" i="1"/>
  <c r="D1432" i="1"/>
  <c r="D1436" i="1"/>
  <c r="D1448" i="1"/>
  <c r="D1452" i="1"/>
  <c r="D1467" i="1"/>
  <c r="D1480" i="1"/>
  <c r="F1485" i="1"/>
  <c r="D1499" i="1"/>
  <c r="D1292" i="1"/>
  <c r="F1304" i="1"/>
  <c r="D1314" i="1"/>
  <c r="D1318" i="1"/>
  <c r="F1324" i="1"/>
  <c r="D1336" i="1"/>
  <c r="D1355" i="1"/>
  <c r="F1361" i="1"/>
  <c r="F1396" i="1"/>
  <c r="D1420" i="1"/>
  <c r="D1428" i="1"/>
  <c r="F1464" i="1"/>
  <c r="D1472" i="1"/>
  <c r="D425" i="1"/>
  <c r="F836" i="1"/>
  <c r="F1328" i="1"/>
  <c r="F1359" i="1"/>
  <c r="F1384" i="1"/>
  <c r="F1392" i="1"/>
  <c r="F333" i="1"/>
  <c r="F331" i="1"/>
  <c r="F449" i="1"/>
  <c r="F457" i="1"/>
  <c r="F465" i="1"/>
  <c r="D783" i="1"/>
  <c r="F1308" i="1"/>
  <c r="D1316" i="1"/>
  <c r="F1320" i="1"/>
  <c r="D1351" i="1"/>
  <c r="D1368" i="1"/>
  <c r="D1487" i="1"/>
  <c r="F452" i="1"/>
  <c r="F412" i="1"/>
  <c r="F420" i="1"/>
  <c r="F407" i="1"/>
  <c r="D412" i="1"/>
  <c r="F406" i="1"/>
  <c r="F414" i="1"/>
  <c r="F422" i="1"/>
  <c r="F430" i="1"/>
  <c r="F409" i="1"/>
  <c r="F413" i="1"/>
  <c r="F417" i="1"/>
  <c r="F443" i="1"/>
  <c r="F434" i="1"/>
  <c r="F436" i="1"/>
  <c r="F454" i="1"/>
  <c r="D775" i="1"/>
  <c r="F789" i="1"/>
  <c r="D823" i="1"/>
  <c r="D826" i="1"/>
  <c r="D829" i="1"/>
  <c r="F848" i="1"/>
  <c r="F1187" i="1"/>
  <c r="D1239" i="1"/>
  <c r="D1243" i="1"/>
  <c r="D1247" i="1"/>
  <c r="D1261" i="1"/>
  <c r="F1264" i="1"/>
  <c r="D1268" i="1"/>
  <c r="F1290" i="1"/>
  <c r="D1310" i="1"/>
  <c r="D1327" i="1"/>
  <c r="D1331" i="1"/>
  <c r="D1366" i="1"/>
  <c r="D1374" i="1"/>
  <c r="D1386" i="1"/>
  <c r="D1390" i="1"/>
  <c r="D1398" i="1"/>
  <c r="D1407" i="1"/>
  <c r="F1388" i="1"/>
  <c r="F1404" i="1"/>
  <c r="F1412" i="1"/>
  <c r="F1421" i="1"/>
  <c r="F1429" i="1"/>
  <c r="F1437" i="1"/>
  <c r="F1445" i="1"/>
  <c r="F1453" i="1"/>
  <c r="D1477" i="1"/>
  <c r="F324" i="1"/>
  <c r="F332" i="1"/>
  <c r="F1182" i="1"/>
  <c r="F1194" i="1"/>
  <c r="F1202" i="1"/>
  <c r="F453" i="1"/>
  <c r="F461" i="1"/>
  <c r="F788" i="1"/>
  <c r="F1189" i="1"/>
  <c r="F1197" i="1"/>
  <c r="F1205" i="1"/>
  <c r="F1425" i="1"/>
  <c r="F1433" i="1"/>
  <c r="F1441" i="1"/>
  <c r="F1449" i="1"/>
  <c r="F1457" i="1"/>
  <c r="F1469" i="1"/>
  <c r="F415" i="1"/>
  <c r="F460" i="1"/>
  <c r="F782" i="1"/>
  <c r="D827" i="1"/>
  <c r="F1192" i="1"/>
  <c r="D1352" i="1"/>
  <c r="D1382" i="1"/>
  <c r="F1473" i="1"/>
  <c r="F338" i="1"/>
  <c r="F337" i="1"/>
  <c r="F334" i="1"/>
  <c r="F325" i="1"/>
  <c r="F327" i="1"/>
  <c r="F336" i="1"/>
  <c r="F335" i="1"/>
  <c r="F329" i="1"/>
  <c r="F340" i="1"/>
  <c r="F339" i="1"/>
  <c r="F330" i="1"/>
  <c r="F326" i="1"/>
  <c r="F323" i="1"/>
  <c r="F1470" i="1"/>
  <c r="D1498" i="1"/>
  <c r="D323" i="1"/>
  <c r="D325" i="1"/>
  <c r="D327" i="1"/>
  <c r="D329" i="1"/>
  <c r="D331" i="1"/>
  <c r="D333" i="1"/>
  <c r="D335" i="1"/>
  <c r="D337" i="1"/>
  <c r="D339" i="1"/>
  <c r="F1497" i="1"/>
  <c r="D1471" i="1"/>
  <c r="D336" i="1"/>
  <c r="D326" i="1"/>
  <c r="D332" i="1"/>
  <c r="D340" i="1"/>
  <c r="D1478" i="1"/>
  <c r="D1488" i="1"/>
  <c r="F1495" i="1"/>
  <c r="D324" i="1"/>
  <c r="D328" i="1"/>
  <c r="D330" i="1"/>
  <c r="D334" i="1"/>
  <c r="D338" i="1"/>
  <c r="D1492" i="1"/>
  <c r="D1500" i="1"/>
  <c r="F1496" i="1"/>
  <c r="D1493" i="1"/>
  <c r="F1468" i="1"/>
  <c r="D1476" i="1"/>
  <c r="D1481" i="1"/>
  <c r="F1461" i="1"/>
  <c r="D1462" i="1"/>
  <c r="D1423" i="1"/>
  <c r="D1431" i="1"/>
  <c r="D1439" i="1"/>
  <c r="D1447" i="1"/>
  <c r="D1455" i="1"/>
  <c r="D1379" i="1"/>
  <c r="D1387" i="1"/>
  <c r="D1395" i="1"/>
  <c r="D1403" i="1"/>
  <c r="D1411" i="1"/>
  <c r="D1369" i="1"/>
  <c r="D1252" i="1"/>
  <c r="D1258" i="1"/>
  <c r="F1276" i="1"/>
  <c r="F1284" i="1"/>
  <c r="F1300" i="1"/>
  <c r="D1360" i="1"/>
  <c r="F840" i="1"/>
  <c r="D1302" i="1"/>
  <c r="F1269" i="1"/>
  <c r="F1285" i="1"/>
  <c r="F1293" i="1"/>
  <c r="F1301" i="1"/>
  <c r="D1350" i="1"/>
  <c r="D1354" i="1"/>
  <c r="D1416" i="1"/>
  <c r="D1418" i="1"/>
  <c r="D1253" i="1"/>
  <c r="D1259" i="1"/>
  <c r="D1277" i="1"/>
  <c r="F1270" i="1"/>
  <c r="F1278" i="1"/>
  <c r="F1294" i="1"/>
  <c r="F1371" i="1"/>
  <c r="F844" i="1"/>
  <c r="F1271" i="1"/>
  <c r="F1279" i="1"/>
  <c r="F1295" i="1"/>
  <c r="F1372" i="1"/>
  <c r="D1364" i="1"/>
  <c r="D1348" i="1"/>
  <c r="D1356" i="1"/>
  <c r="D1349" i="1"/>
  <c r="D1357" i="1"/>
  <c r="D1326" i="1"/>
  <c r="F1334" i="1"/>
  <c r="D1272" i="1"/>
  <c r="D1280" i="1"/>
  <c r="D1288" i="1"/>
  <c r="D1296" i="1"/>
  <c r="D1255" i="1"/>
  <c r="D1263" i="1"/>
  <c r="F1257" i="1"/>
  <c r="D1241" i="1"/>
  <c r="D1242" i="1"/>
  <c r="D842" i="1"/>
  <c r="D1208" i="1"/>
  <c r="D1210" i="1"/>
  <c r="D1212" i="1"/>
  <c r="D1214" i="1"/>
  <c r="D1216" i="1"/>
  <c r="D1218" i="1"/>
  <c r="D1220" i="1"/>
  <c r="D1222" i="1"/>
  <c r="D1224" i="1"/>
  <c r="D1226" i="1"/>
  <c r="D1228" i="1"/>
  <c r="D1230" i="1"/>
  <c r="D1232" i="1"/>
  <c r="D1234" i="1"/>
  <c r="D847" i="1"/>
  <c r="D1209" i="1"/>
  <c r="D1211" i="1"/>
  <c r="D1213" i="1"/>
  <c r="D1215" i="1"/>
  <c r="D1217" i="1"/>
  <c r="D1219" i="1"/>
  <c r="D1221" i="1"/>
  <c r="D1223" i="1"/>
  <c r="D1225" i="1"/>
  <c r="D1227" i="1"/>
  <c r="D1229" i="1"/>
  <c r="D1231" i="1"/>
  <c r="D1235" i="1"/>
  <c r="D839" i="1"/>
  <c r="D1183" i="1"/>
  <c r="D1191" i="1"/>
  <c r="D1199" i="1"/>
  <c r="F841" i="1"/>
  <c r="D825" i="1"/>
  <c r="D792" i="1"/>
  <c r="D794" i="1"/>
  <c r="D796" i="1"/>
  <c r="D798" i="1"/>
  <c r="D800" i="1"/>
  <c r="D802" i="1"/>
  <c r="D804" i="1"/>
  <c r="D806" i="1"/>
  <c r="D808" i="1"/>
  <c r="D810" i="1"/>
  <c r="D812" i="1"/>
  <c r="D814" i="1"/>
  <c r="D816" i="1"/>
  <c r="D818" i="1"/>
  <c r="D793" i="1"/>
  <c r="D795" i="1"/>
  <c r="D797" i="1"/>
  <c r="D799" i="1"/>
  <c r="D801" i="1"/>
  <c r="D803" i="1"/>
  <c r="D805" i="1"/>
  <c r="D807" i="1"/>
  <c r="D809" i="1"/>
  <c r="D811" i="1"/>
  <c r="D813" i="1"/>
  <c r="D815" i="1"/>
  <c r="D817" i="1"/>
  <c r="D819" i="1"/>
  <c r="F779" i="1"/>
  <c r="F787" i="1"/>
  <c r="F776" i="1"/>
  <c r="F784" i="1"/>
  <c r="D776" i="1"/>
  <c r="D784" i="1"/>
  <c r="F451" i="1"/>
  <c r="F459" i="1"/>
  <c r="D451" i="1"/>
  <c r="D459" i="1"/>
  <c r="F450" i="1"/>
  <c r="F458" i="1"/>
  <c r="F427" i="1"/>
  <c r="F410" i="1"/>
  <c r="F418" i="1"/>
  <c r="F426" i="1"/>
  <c r="F439" i="1"/>
  <c r="D437" i="1"/>
  <c r="F419" i="1"/>
  <c r="F421" i="1"/>
  <c r="F429" i="1"/>
  <c r="D426" i="1"/>
  <c r="F445" i="1"/>
  <c r="D410" i="1"/>
  <c r="D418" i="1"/>
  <c r="F433" i="1"/>
  <c r="F441" i="1"/>
  <c r="D433" i="1"/>
  <c r="D441" i="1"/>
  <c r="F440" i="1"/>
  <c r="F438" i="1"/>
  <c r="F446" i="1"/>
  <c r="F408" i="1"/>
  <c r="F416" i="1"/>
  <c r="F424" i="1"/>
  <c r="F423" i="1"/>
  <c r="D408" i="1"/>
  <c r="D416" i="1"/>
  <c r="D424" i="1"/>
  <c r="D406" i="1"/>
  <c r="D414" i="1"/>
  <c r="D422" i="1"/>
  <c r="D430" i="1"/>
  <c r="F343" i="1"/>
  <c r="F367" i="1"/>
  <c r="D367" i="1"/>
  <c r="F366" i="1"/>
  <c r="D366" i="1"/>
  <c r="F365" i="1"/>
  <c r="D365" i="1"/>
  <c r="F364" i="1"/>
  <c r="D364" i="1"/>
  <c r="F363" i="1"/>
  <c r="D363" i="1"/>
  <c r="F362" i="1"/>
  <c r="D362" i="1"/>
  <c r="F361" i="1"/>
  <c r="D361" i="1"/>
  <c r="E313" i="1" l="1"/>
  <c r="B296" i="1"/>
  <c r="E312" i="1"/>
  <c r="E311" i="1"/>
  <c r="E289" i="1"/>
  <c r="E293" i="1"/>
  <c r="E295" i="1"/>
  <c r="E294" i="1"/>
  <c r="C296" i="1"/>
  <c r="B1535" i="1"/>
  <c r="H235" i="1"/>
  <c r="H234" i="1"/>
  <c r="H233" i="1"/>
  <c r="H232" i="1"/>
  <c r="D237" i="1" l="1"/>
  <c r="D231" i="1"/>
  <c r="H236" i="1"/>
  <c r="H230" i="1"/>
  <c r="D236" i="1"/>
  <c r="D230" i="1"/>
  <c r="D228" i="1"/>
  <c r="D233" i="1"/>
  <c r="D232" i="1"/>
  <c r="D235" i="1"/>
  <c r="H237" i="1"/>
  <c r="D234" i="1"/>
  <c r="H231" i="1"/>
  <c r="B131" i="2"/>
  <c r="C229" i="1" l="1"/>
  <c r="D229" i="1" s="1"/>
  <c r="C35" i="1"/>
  <c r="E228" i="1" l="1"/>
  <c r="A1534" i="1"/>
  <c r="A1535" i="1" s="1"/>
  <c r="A1536" i="1" s="1"/>
  <c r="A1537" i="1" s="1"/>
  <c r="A1538" i="1" s="1"/>
  <c r="A1539" i="1" s="1"/>
  <c r="A1540" i="1" s="1"/>
  <c r="E238" i="1" l="1"/>
  <c r="G224" i="1"/>
  <c r="B226" i="1" s="1"/>
  <c r="F360" i="1"/>
  <c r="D360" i="1"/>
  <c r="F359" i="1"/>
  <c r="D359" i="1"/>
  <c r="F358" i="1"/>
  <c r="D358" i="1"/>
  <c r="F357" i="1"/>
  <c r="D357" i="1"/>
  <c r="F356" i="1"/>
  <c r="D356" i="1"/>
  <c r="F355" i="1"/>
  <c r="D355" i="1"/>
  <c r="B301" i="1"/>
  <c r="C301" i="1"/>
  <c r="E301" i="1"/>
  <c r="B315" i="1" l="1"/>
  <c r="C315" i="1"/>
  <c r="B80" i="1" l="1"/>
  <c r="C61" i="1"/>
  <c r="C58" i="1"/>
  <c r="F774" i="1" l="1"/>
  <c r="F773" i="1"/>
  <c r="D772" i="1"/>
  <c r="F771" i="1"/>
  <c r="F770" i="1"/>
  <c r="F769" i="1"/>
  <c r="F768" i="1"/>
  <c r="F767" i="1"/>
  <c r="F766" i="1"/>
  <c r="D765" i="1"/>
  <c r="D764" i="1"/>
  <c r="F354" i="1"/>
  <c r="D353" i="1"/>
  <c r="F352" i="1"/>
  <c r="F351" i="1"/>
  <c r="F350" i="1"/>
  <c r="F349" i="1"/>
  <c r="D348" i="1"/>
  <c r="D347" i="1"/>
  <c r="D346" i="1"/>
  <c r="D345" i="1"/>
  <c r="D344" i="1"/>
  <c r="D768" i="1" l="1"/>
  <c r="F764" i="1"/>
  <c r="D773" i="1"/>
  <c r="D767" i="1"/>
  <c r="D769" i="1"/>
  <c r="F772" i="1"/>
  <c r="F765" i="1"/>
  <c r="D771" i="1"/>
  <c r="D766" i="1"/>
  <c r="D770" i="1"/>
  <c r="D774" i="1"/>
  <c r="D350" i="1"/>
  <c r="D351" i="1"/>
  <c r="D354" i="1"/>
  <c r="F345" i="1"/>
  <c r="F347" i="1"/>
  <c r="D349" i="1"/>
  <c r="F348" i="1"/>
  <c r="F346" i="1"/>
  <c r="F344" i="1"/>
  <c r="D352" i="1"/>
  <c r="F353" i="1"/>
  <c r="E290" i="1" l="1"/>
  <c r="E296" i="1" s="1"/>
  <c r="B124" i="2"/>
  <c r="M65" i="1" l="1"/>
  <c r="C1541" i="1" l="1"/>
  <c r="F763" i="1" l="1"/>
  <c r="E307" i="1" s="1"/>
  <c r="E314" i="1" s="1"/>
  <c r="E315" i="1" s="1"/>
  <c r="D763" i="1" l="1"/>
  <c r="D343" i="1"/>
  <c r="K116" i="2" l="1"/>
  <c r="K115" i="2"/>
  <c r="K114" i="2"/>
  <c r="K113" i="2"/>
  <c r="D107" i="2"/>
  <c r="F106" i="2"/>
  <c r="E116" i="2" l="1"/>
  <c r="E115" i="2"/>
  <c r="K109" i="2"/>
  <c r="E111" i="2"/>
  <c r="E114" i="2"/>
  <c r="E113" i="2"/>
  <c r="K108" i="2"/>
  <c r="E112" i="2"/>
  <c r="E118" i="2"/>
  <c r="K111" i="2"/>
  <c r="K112" i="2" s="1"/>
  <c r="K117" i="2" s="1"/>
  <c r="K118" i="2" s="1"/>
  <c r="D110" i="2" s="1"/>
  <c r="E117" i="2"/>
  <c r="K110" i="2"/>
  <c r="D109" i="2" s="1"/>
  <c r="H109" i="2" l="1"/>
  <c r="F109" i="2"/>
  <c r="J105" i="2" s="1"/>
  <c r="E110" i="2"/>
  <c r="E109" i="2"/>
  <c r="H136" i="1" l="1"/>
  <c r="H135" i="1"/>
  <c r="H134" i="1"/>
  <c r="H133" i="1"/>
  <c r="H138" i="1" l="1"/>
  <c r="C130" i="1" s="1"/>
  <c r="H137" i="1"/>
  <c r="H132" i="1"/>
  <c r="H131" i="1"/>
  <c r="D129" i="1"/>
  <c r="D137" i="1"/>
  <c r="D131" i="1"/>
  <c r="D136" i="1"/>
  <c r="D135" i="1"/>
  <c r="D133" i="1"/>
  <c r="D134" i="1"/>
  <c r="D132" i="1"/>
  <c r="D138" i="1"/>
  <c r="D130" i="1" l="1"/>
  <c r="E129" i="1" l="1"/>
  <c r="E282" i="1" s="1"/>
  <c r="C37" i="1" l="1"/>
  <c r="G125" i="1"/>
  <c r="B127" i="1" s="1"/>
</calcChain>
</file>

<file path=xl/sharedStrings.xml><?xml version="1.0" encoding="utf-8"?>
<sst xmlns="http://schemas.openxmlformats.org/spreadsheetml/2006/main" count="2010" uniqueCount="411">
  <si>
    <t>PROJECT TECHNICAL REPORT</t>
  </si>
  <si>
    <t>RBL BRANCH NAME</t>
  </si>
  <si>
    <t>TDR FSI</t>
  </si>
  <si>
    <t>QUALITY, SPECS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</si>
  <si>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</si>
  <si>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</si>
  <si>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</si>
  <si>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</si>
  <si>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</si>
  <si>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</si>
  <si>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</si>
  <si>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</si>
  <si>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Project Progress %</t>
  </si>
  <si>
    <t>Slab/Floor</t>
  </si>
  <si>
    <t>Complition %</t>
  </si>
  <si>
    <t>Progress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</si>
  <si>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</si>
  <si>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</si>
  <si>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</si>
  <si>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</si>
  <si>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</si>
  <si>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</si>
  <si>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</si>
  <si>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</si>
  <si>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Footing Completed</t>
  </si>
  <si>
    <t>Internal Plaster</t>
  </si>
  <si>
    <t>Basement 1</t>
  </si>
  <si>
    <t>Ext.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</si>
  <si>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</si>
  <si>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</si>
  <si>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</si>
  <si>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</si>
  <si>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</si>
  <si>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</si>
  <si>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</si>
  <si>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</si>
  <si>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</si>
  <si>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Completion %</t>
  </si>
  <si>
    <t>Plaster</t>
  </si>
  <si>
    <t>Electrical &amp; Plumbing</t>
  </si>
  <si>
    <t>Finishing</t>
  </si>
  <si>
    <t>Disbursement %</t>
  </si>
  <si>
    <t>Brickwork &amp; Internal Plaster</t>
  </si>
  <si>
    <t>External Plaster &amp; Plumbing</t>
  </si>
  <si>
    <t>g +7</t>
  </si>
  <si>
    <t>BUILDING/TOWERWISE UNIT - AREA DETAILS</t>
  </si>
  <si>
    <t>Building &amp; Wing</t>
  </si>
  <si>
    <t>No. of Units</t>
  </si>
  <si>
    <t>Total Carpet Area</t>
  </si>
  <si>
    <t>Total Saleable Area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</si>
  <si>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</si>
  <si>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</si>
  <si>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</si>
  <si>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</si>
  <si>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</si>
  <si>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</si>
  <si>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Builtup Area</t>
  </si>
  <si>
    <t>Saleable area
Loading:</t>
  </si>
  <si>
    <t xml:space="preserve">Details of Commercial in Building   </t>
  </si>
  <si>
    <t>VALUE PARAMETERS</t>
  </si>
  <si>
    <t>Remarks:</t>
  </si>
  <si>
    <t>Photographs Of Property :</t>
  </si>
  <si>
    <t>Layout Of Property :</t>
  </si>
  <si>
    <t xml:space="preserve">Google Map : </t>
  </si>
  <si>
    <t>Name of Engineer Visited the property</t>
  </si>
  <si>
    <r>
      <t xml:space="preserve">Shop No.
</t>
    </r>
    <r>
      <rPr>
        <b/>
        <sz val="9"/>
        <color rgb="FF000000"/>
        <rFont val="Garamond"/>
        <family val="1"/>
      </rPr>
      <t>(Approved Plan)</t>
    </r>
  </si>
  <si>
    <t>Project Name</t>
  </si>
  <si>
    <t>Valuer Details</t>
  </si>
  <si>
    <t xml:space="preserve">Name Of Valuer </t>
  </si>
  <si>
    <t>Official Email Id</t>
  </si>
  <si>
    <t>Rvo Name Of Which Valuer Is Member</t>
  </si>
  <si>
    <t>Address Of Valution Agency</t>
  </si>
  <si>
    <t>Contact Person Name  &amp; Number</t>
  </si>
  <si>
    <t>Name Of Valuation Agency/Firm</t>
  </si>
  <si>
    <t>Apf Technical Report Assignment Details</t>
  </si>
  <si>
    <t>Builder Company/Entity Details - Seller Of The Project</t>
  </si>
  <si>
    <t>Name Of Entity Formed For Current Project</t>
  </si>
  <si>
    <t>Project Address Details</t>
  </si>
  <si>
    <t>Date of Assignment</t>
  </si>
  <si>
    <t>Date of Visit</t>
  </si>
  <si>
    <t>Date of Valuation</t>
  </si>
  <si>
    <t>Street Name &amp;/No.</t>
  </si>
  <si>
    <t>State</t>
  </si>
  <si>
    <t>Pincode</t>
  </si>
  <si>
    <t>Nearest Rbl Bank Location</t>
  </si>
  <si>
    <t>Survey No.</t>
  </si>
  <si>
    <t>Landmark</t>
  </si>
  <si>
    <t>District</t>
  </si>
  <si>
    <t>Country</t>
  </si>
  <si>
    <t>Lat, Long</t>
  </si>
  <si>
    <t>Distance From Rbl Bank Location (Kms.)</t>
  </si>
  <si>
    <t>Assigned By</t>
  </si>
  <si>
    <t>Property Visited By (Name)</t>
  </si>
  <si>
    <t>Report Prepared By (Name)</t>
  </si>
  <si>
    <t>North</t>
  </si>
  <si>
    <t>South</t>
  </si>
  <si>
    <t>East</t>
  </si>
  <si>
    <t>West</t>
  </si>
  <si>
    <t>As Per Ownership Docs</t>
  </si>
  <si>
    <t>As Per Site Investigation</t>
  </si>
  <si>
    <t>Project Boundaries Verification</t>
  </si>
  <si>
    <t>General Details</t>
  </si>
  <si>
    <t>Municipal Limit</t>
  </si>
  <si>
    <t>Municipal Authority (Name)</t>
  </si>
  <si>
    <t>Approach Road To Project</t>
  </si>
  <si>
    <t>Location Type*</t>
  </si>
  <si>
    <t>Quality Of Construction*</t>
  </si>
  <si>
    <t>Overall % Completion Of Project</t>
  </si>
  <si>
    <t>Project Falling In Caution Area</t>
  </si>
  <si>
    <t>Reason For Caution</t>
  </si>
  <si>
    <t>Project Architect Name</t>
  </si>
  <si>
    <t>Square Meter</t>
  </si>
  <si>
    <t>Project Area Details ( As Per Approved Plan )</t>
  </si>
  <si>
    <t>Area Type</t>
  </si>
  <si>
    <t>Total Plot Area</t>
  </si>
  <si>
    <t>Total Built Up Area</t>
  </si>
  <si>
    <t>Total Residential Built Up Area</t>
  </si>
  <si>
    <t>Total Commercial Built Up Area</t>
  </si>
  <si>
    <t>Area Under Road</t>
  </si>
  <si>
    <t>Area Under D.P. Reservation</t>
  </si>
  <si>
    <t>Area Under R.G./Garden</t>
  </si>
  <si>
    <t>FSI / FAR Details</t>
  </si>
  <si>
    <t>Premium FSI / FAR</t>
  </si>
  <si>
    <t>Fungible FSI</t>
  </si>
  <si>
    <t>Addl .FSI Under any Other Regulation(1)</t>
  </si>
  <si>
    <t>Addl .FSI Under any Other Regulation(2)</t>
  </si>
  <si>
    <t>Total FSI/FAR</t>
  </si>
  <si>
    <t>Overall Remarks on Project Area &amp; FSI /FAR</t>
  </si>
  <si>
    <t>Total No. Of Units/Tenaments</t>
  </si>
  <si>
    <t>Total No. Of Parking</t>
  </si>
  <si>
    <t>Residential /Commercial Ratio</t>
  </si>
  <si>
    <t>Surrounding External Amenities</t>
  </si>
  <si>
    <t>Nearestr Bus Stop</t>
  </si>
  <si>
    <t>Nearest Bank</t>
  </si>
  <si>
    <t>Nearest Hospital</t>
  </si>
  <si>
    <t>Name Of The Premises/Description</t>
  </si>
  <si>
    <t>Approx. Distance From Property (In Kms)</t>
  </si>
  <si>
    <t>Nearest Multiplex / Mall/ Market</t>
  </si>
  <si>
    <t>Nearest School/ College</t>
  </si>
  <si>
    <t>Internal Project Specs - Comment On Availability &amp; Quality</t>
  </si>
  <si>
    <t>Structural Elements &amp; Wall Thickness</t>
  </si>
  <si>
    <t>Plaster &amp; Painting</t>
  </si>
  <si>
    <t>Electrification</t>
  </si>
  <si>
    <t>Plumbing &amp; Bath Fittings</t>
  </si>
  <si>
    <t>Door, Windows</t>
  </si>
  <si>
    <t>Availability (Y/N)</t>
  </si>
  <si>
    <t>Potable Water Connection</t>
  </si>
  <si>
    <t>Sewerage System</t>
  </si>
  <si>
    <t>Lift</t>
  </si>
  <si>
    <t>Power Backup</t>
  </si>
  <si>
    <t>Parking</t>
  </si>
  <si>
    <t>Clubhouse</t>
  </si>
  <si>
    <t>Gym</t>
  </si>
  <si>
    <t>Swimming Pool</t>
  </si>
  <si>
    <t>Garden</t>
  </si>
  <si>
    <t>Community Hall</t>
  </si>
  <si>
    <t>Any Additional Amenities, To Above, Pls Specify</t>
  </si>
  <si>
    <t>Technical Documents Details</t>
  </si>
  <si>
    <t>Document Name</t>
  </si>
  <si>
    <t>Approved Layout Plan</t>
  </si>
  <si>
    <t>Approved Floor Plan</t>
  </si>
  <si>
    <t>Construction  / Building Permission / Commencement Certificate</t>
  </si>
  <si>
    <t>Non Agricultural Permission / Land Conversion / Diversion</t>
  </si>
  <si>
    <t>Building Completion / Occupation Permission / Use Permission</t>
  </si>
  <si>
    <t>Location Sketch/ Certificate</t>
  </si>
  <si>
    <t>Authority Allotment Letter</t>
  </si>
  <si>
    <t>Ownership Doc 1</t>
  </si>
  <si>
    <t>Ownership Doc 2</t>
  </si>
  <si>
    <t>Remarks On Documents Verified</t>
  </si>
  <si>
    <t>Approving Authority Name</t>
  </si>
  <si>
    <t>Applicability &amp; Availability</t>
  </si>
  <si>
    <t>Approving Authority</t>
  </si>
  <si>
    <t>Details Of Approval</t>
  </si>
  <si>
    <t>Rera Details ( If Applicable)</t>
  </si>
  <si>
    <t>Rera Applicable</t>
  </si>
  <si>
    <t>Rera Registration No</t>
  </si>
  <si>
    <t>Project Start Date As Per Rera</t>
  </si>
  <si>
    <t>If Any Litigation Record On Project As Per Rera</t>
  </si>
  <si>
    <t>If Applicable, Rera Registration Status</t>
  </si>
  <si>
    <t>Project Completion Date As Per Rera</t>
  </si>
  <si>
    <t xml:space="preserve">Litigation Details As Per Rera Website </t>
  </si>
  <si>
    <t>Critical Parameters</t>
  </si>
  <si>
    <t>Flood Prone Area</t>
  </si>
  <si>
    <t>Coastal Regulatory Zone</t>
  </si>
  <si>
    <t>Falling In Present Or Proposed Road Widening</t>
  </si>
  <si>
    <t>Property Near High/Low Tension (Ht)/(Lt) Lines ?</t>
  </si>
  <si>
    <t>Presence Of Nallah/ Lake / Water Body Nearby</t>
  </si>
  <si>
    <t>Unit Deviation</t>
  </si>
  <si>
    <t>Seismic Zone</t>
  </si>
  <si>
    <t>Zoning As Per Development Plan</t>
  </si>
  <si>
    <t>Falling In Reservation As Per Development Plan</t>
  </si>
  <si>
    <t>Property Within 30 Mtrs From Railway Boundary ?</t>
  </si>
  <si>
    <t>Fsi Deviation</t>
  </si>
  <si>
    <t>Vertical Deviation</t>
  </si>
  <si>
    <t>Habitation In ( % ) Within 1 Kms Around Project</t>
  </si>
  <si>
    <t>Remarks In Case Project Affected By Any Of Critical Parameter</t>
  </si>
  <si>
    <t>Technical Deviations Observed In Project</t>
  </si>
  <si>
    <t>Demolition Risk</t>
  </si>
  <si>
    <t>Detail Of Deviation, If Any</t>
  </si>
  <si>
    <t>Total Phases</t>
  </si>
  <si>
    <t>Total No. Of Buildings</t>
  </si>
  <si>
    <t>Total No. Of Wings</t>
  </si>
  <si>
    <t>Total No. Of Approved Units (A)</t>
  </si>
  <si>
    <t>Total No. Of Unapproved Units (B)</t>
  </si>
  <si>
    <t>Total No. Of (A+B) Units</t>
  </si>
  <si>
    <t>Is The Project Technically Acceptable ?</t>
  </si>
  <si>
    <t>Is The Project Marketable ?</t>
  </si>
  <si>
    <t>Comment On Builder Group Involved In Project Development</t>
  </si>
  <si>
    <t>Overall Comments On Project Acceptability &amp; Marketablity</t>
  </si>
  <si>
    <t>FOUNDATION WIP</t>
  </si>
  <si>
    <t>PLINTH WIP</t>
  </si>
  <si>
    <t>YET TO START</t>
  </si>
  <si>
    <t>Sr.No.</t>
  </si>
  <si>
    <t>Base Rate Psf Rs.</t>
  </si>
  <si>
    <t>Floor Rise
(If Applicable)</t>
  </si>
  <si>
    <t>In Rs. Psf
(If Applicable)</t>
  </si>
  <si>
    <t>In Lumpsum Basis
(If Applicable)</t>
  </si>
  <si>
    <t>Applicable From Floor No.</t>
  </si>
  <si>
    <t>Applicable To Floor No.</t>
  </si>
  <si>
    <t>Applicable To Building /W ing</t>
  </si>
  <si>
    <t xml:space="preserve">Floor Rise 1 </t>
  </si>
  <si>
    <t>Floor Rise 2</t>
  </si>
  <si>
    <t>Floor Rise 3</t>
  </si>
  <si>
    <t>Floor Rise 4</t>
  </si>
  <si>
    <t>Plc Charges
(If Applicable)</t>
  </si>
  <si>
    <t>Details Of Plc/View</t>
  </si>
  <si>
    <t>List Of Unit Nos - Plc Applicable</t>
  </si>
  <si>
    <t>PLC Type 1</t>
  </si>
  <si>
    <t>PLC Type 2</t>
  </si>
  <si>
    <t>PLC Type 3</t>
  </si>
  <si>
    <t>Amenities Details</t>
  </si>
  <si>
    <t>Details Of Amenity Cost - Optional/Compulsory To Buyer, No Of Years, Etc</t>
  </si>
  <si>
    <t>Remarks, If Any</t>
  </si>
  <si>
    <t>Clubhouse &amp; 
Recreational</t>
  </si>
  <si>
    <t>Electricity &amp; Water Con.</t>
  </si>
  <si>
    <t>Infra</t>
  </si>
  <si>
    <t>Development</t>
  </si>
  <si>
    <t>Maintenance</t>
  </si>
  <si>
    <t>Any Other Amenity 1</t>
  </si>
  <si>
    <t>Any Other Amenity 2</t>
  </si>
  <si>
    <t>Any Other Amenity 3</t>
  </si>
  <si>
    <t>Maharashtra</t>
  </si>
  <si>
    <t>India</t>
  </si>
  <si>
    <t>Yes</t>
  </si>
  <si>
    <t>V.S Jadon &amp; Co.Valuers LLP</t>
  </si>
  <si>
    <t>Mr. Vishwajeet Singh Jadon</t>
  </si>
  <si>
    <t>vsjc.apf@gmail.com</t>
  </si>
  <si>
    <t>Mr. Sachin Sawant - 9820058999</t>
  </si>
  <si>
    <t>NA</t>
  </si>
  <si>
    <t>Taluka</t>
  </si>
  <si>
    <t>City</t>
  </si>
  <si>
    <t>Village</t>
  </si>
  <si>
    <t>As Per Layout Plan</t>
  </si>
  <si>
    <t>Same</t>
  </si>
  <si>
    <t>Location Link</t>
  </si>
  <si>
    <t>Palghar</t>
  </si>
  <si>
    <t>Good</t>
  </si>
  <si>
    <t>No</t>
  </si>
  <si>
    <t>Fire Noc &amp; Plans</t>
  </si>
  <si>
    <t>Environmental Clearance</t>
  </si>
  <si>
    <t>Coastal Regulatory Zonex ( Crz ) Noc</t>
  </si>
  <si>
    <t>Registered</t>
  </si>
  <si>
    <t>Zone III</t>
  </si>
  <si>
    <t>Approved no of Floors</t>
  </si>
  <si>
    <t>Proposed no of Floors</t>
  </si>
  <si>
    <t>Commercial Area Details : Shops</t>
  </si>
  <si>
    <t>1st Floor</t>
  </si>
  <si>
    <t>Commercial Area Details : Office</t>
  </si>
  <si>
    <t>2nd Floor</t>
  </si>
  <si>
    <t>Grand Total</t>
  </si>
  <si>
    <t>Residential Area Details : Flats</t>
  </si>
  <si>
    <r>
      <t xml:space="preserve">Flat No.
</t>
    </r>
    <r>
      <rPr>
        <b/>
        <sz val="9"/>
        <color rgb="FF000000"/>
        <rFont val="Garamond"/>
        <family val="1"/>
      </rPr>
      <t>(Approved Plan)</t>
    </r>
  </si>
  <si>
    <t>Building /Wing - Name /No</t>
  </si>
  <si>
    <t xml:space="preserve">Base Rate Considered On Area - 
Carpet/ Bua/ Saleale </t>
  </si>
  <si>
    <t>Saleable Area</t>
  </si>
  <si>
    <t>Construction Work is in process at the time of visit.</t>
  </si>
  <si>
    <t>We have considered rate by verifying it from market inquire.</t>
  </si>
  <si>
    <t>Car parking is subjected to authentic documentation.</t>
  </si>
  <si>
    <t>Recommended rate should be considered as all inclusive rate if other charges are not mentioned. (Excluding GST &amp; other government Taxes)</t>
  </si>
  <si>
    <t>Documents received on:</t>
  </si>
  <si>
    <t>Yes &amp; 0.15m</t>
  </si>
  <si>
    <t>Excavation in Process</t>
  </si>
  <si>
    <t>Foundation in Process</t>
  </si>
  <si>
    <t xml:space="preserve">Labours &amp; Materials were found on site at the time of visit. </t>
  </si>
  <si>
    <t>Saleable area Loading :</t>
  </si>
  <si>
    <t>Mr. Navnath Bhatkar</t>
  </si>
  <si>
    <t xml:space="preserve">  Conceptual Advisory Services Llp</t>
  </si>
  <si>
    <t>Suraksha Smart City ­ Phase I</t>
  </si>
  <si>
    <t>Internal Rd</t>
  </si>
  <si>
    <t>Vasai East</t>
  </si>
  <si>
    <t>CASL RMC Plant</t>
  </si>
  <si>
    <t>Rajavali</t>
  </si>
  <si>
    <t>Vasai</t>
  </si>
  <si>
    <t>19.387155, 72.848348</t>
  </si>
  <si>
    <t>https://goo.gl/maps/DCiBbPQQkCcNaoQT6</t>
  </si>
  <si>
    <t>RBL Bank Ltd, Ambadi Rd, Sai Nagar, Vasai West, Vasai-Virar, Maharashtra 401202</t>
  </si>
  <si>
    <t>4.3Km</t>
  </si>
  <si>
    <t>Road</t>
  </si>
  <si>
    <t>Rd/Water Body</t>
  </si>
  <si>
    <t>Rd/Open Plot</t>
  </si>
  <si>
    <t>Vasai-Virar City Municipal Corporation</t>
  </si>
  <si>
    <t>Mr. Sanat Mehta</t>
  </si>
  <si>
    <t>Rajawali Gaon</t>
  </si>
  <si>
    <t>1.3Km</t>
  </si>
  <si>
    <t>ICICI Bank East</t>
  </si>
  <si>
    <t>2Km</t>
  </si>
  <si>
    <t>2.2Km</t>
  </si>
  <si>
    <t>Platinum Hospital Vasai</t>
  </si>
  <si>
    <t>3.1Km</t>
  </si>
  <si>
    <t>The Capital Mall</t>
  </si>
  <si>
    <t>4.6Km</t>
  </si>
  <si>
    <t>Basketball Court, Skating Rink, Organic Farming, Outdoor Gym, Nature Trail, Cricket Turfs
Kids Play Area, Yoga, Jogging Track, Amphitheatre, Badminton Court, Themed Garden</t>
  </si>
  <si>
    <t>VVCMC/TP/AMEND/VP/PMAY-1/102/2021-22
Date: 30/04/2021</t>
  </si>
  <si>
    <t>Applicable and Received</t>
  </si>
  <si>
    <t>VVCMC</t>
  </si>
  <si>
    <t>VVCMC/TP/RDP/VP-PMAY-1/102/2021-22
Date: 30/04/2021</t>
  </si>
  <si>
    <t>Valid Upto: Sector IVA (Building No. 8, 9, 10, 14, 15, &amp; 16) = G/St + 1st to 23rd Floor.
 Sector IVB (Building No. 17 to 20) = G/St + 1st to 23rd Floor.</t>
  </si>
  <si>
    <t>SIA/MH/NCP/51464/2020
Date: 23/08/2021</t>
  </si>
  <si>
    <t>CRZ2015/CR60/TC4
Date: 13/01/2016</t>
  </si>
  <si>
    <t>VVCMC/FIRE/HQ/044/2019-20
Date: 07/12/2019
Valid Upto: 
(Building No. 8, 9, 10 &amp; 14 to 20) = G/St + 1st to 23rd Floor.(69.90M Height)</t>
  </si>
  <si>
    <t>Verified by Adv. G. P. Pai</t>
  </si>
  <si>
    <t>P99000023396</t>
  </si>
  <si>
    <t>Sector lVA</t>
  </si>
  <si>
    <t>Building No. 14</t>
  </si>
  <si>
    <t>Ground Floor for Entrance Lobby, Meter Room, Society Office, Commercial &amp; Parking</t>
  </si>
  <si>
    <t>Shop</t>
  </si>
  <si>
    <t>Attached Loft area</t>
  </si>
  <si>
    <t>Sector lVB, Building No. 18</t>
  </si>
  <si>
    <t>Ground Floor for Commercial &amp; Parking</t>
  </si>
  <si>
    <t>Sector lVB, Building No. 19</t>
  </si>
  <si>
    <t>Sector lVB Building No. 20</t>
  </si>
  <si>
    <t>1BHK</t>
  </si>
  <si>
    <t>1st Floor for Residential</t>
  </si>
  <si>
    <t xml:space="preserve">2nd to 7th, 9th to 11th, 13rd to 15th, 17th to 19th, 21st to 23rd Floor </t>
  </si>
  <si>
    <t>8th, 12th, 16th &amp; 20th Floor (Part refuge area)</t>
  </si>
  <si>
    <t>Refuge Area</t>
  </si>
  <si>
    <t>Sector lVB, Building No. 20</t>
  </si>
  <si>
    <t>We considered Gross carpet area = Net carpet + Enclose balcony + C.B Area + A.F Area.</t>
  </si>
  <si>
    <t>Sector lVA Building No. 14</t>
  </si>
  <si>
    <t>Building No. 8</t>
  </si>
  <si>
    <t>Ground Floor for Entrance Lobby, Meter Room, Society Office, Fire Control Room, Commercial &amp; Parking</t>
  </si>
  <si>
    <t>Building No. 9</t>
  </si>
  <si>
    <t>Gound Floor For Entrance Lobby, Meter Room, Letter Box, Fire Control Room &amp; Parking</t>
  </si>
  <si>
    <t>Building No. 10</t>
  </si>
  <si>
    <t>Sector lVA Building No. 15</t>
  </si>
  <si>
    <t>Sector lVA Building No. 16</t>
  </si>
  <si>
    <t>Building No. 16</t>
  </si>
  <si>
    <t>Sector lVB, Building No. 17</t>
  </si>
  <si>
    <t>Ground Floor for Entrance Lobby, Meter Room, Fire Control Roo, Commercial &amp; Parking</t>
  </si>
  <si>
    <t>Building No. 17</t>
  </si>
  <si>
    <t>Building No. 18</t>
  </si>
  <si>
    <t>Building No. 19</t>
  </si>
  <si>
    <t>Building No. 20</t>
  </si>
  <si>
    <t>Building No.8</t>
  </si>
  <si>
    <t>Building No.9</t>
  </si>
  <si>
    <t>Building No.10</t>
  </si>
  <si>
    <t>Building No.14</t>
  </si>
  <si>
    <t>Building No.15</t>
  </si>
  <si>
    <t>Building No.16</t>
  </si>
  <si>
    <t>Building No.17</t>
  </si>
  <si>
    <t>Building No.18</t>
  </si>
  <si>
    <t>Building No.19</t>
  </si>
  <si>
    <t>Building No.20</t>
  </si>
  <si>
    <t>Building No. 15</t>
  </si>
  <si>
    <t>Navnath Bhatkar</t>
  </si>
  <si>
    <t>Airoli</t>
  </si>
  <si>
    <t>-</t>
  </si>
  <si>
    <t>Shops = 115
 Flats = 7423</t>
  </si>
  <si>
    <t>Building No. 8, 9, 10, 14, 15, 16, 17, 18, 19, &amp; 20 = Gr + 1st to 23rd Floor</t>
  </si>
  <si>
    <t>98:02</t>
  </si>
  <si>
    <t>Permissible FSI / FAR</t>
  </si>
  <si>
    <t>Not Applicable</t>
  </si>
  <si>
    <t>Buildable Net Plot Area</t>
  </si>
  <si>
    <t>Office No. 1031, Wing J, Akshar Business Park, Plot No. 03 Sector 25, Near APMC Market, Vashi, Navi Mumbai, Maharashtra 400703 TEL: 022-46090378/79/80</t>
  </si>
  <si>
    <t xml:space="preserve"> Imperial Splendora, Nicon Infinity, Sterling Heights Gokhivare</t>
  </si>
  <si>
    <t>Sector lVB</t>
  </si>
  <si>
    <t>Sector lVA, Building No. 16</t>
  </si>
  <si>
    <t>Sector lVA, Building No. 15</t>
  </si>
  <si>
    <t>Sector lVA, Building No. 14</t>
  </si>
  <si>
    <t>Sector lVA, Building No. 10</t>
  </si>
  <si>
    <t>Sector lVA, Building No. 9</t>
  </si>
  <si>
    <t>Sector lVA, Building No. 8</t>
  </si>
  <si>
    <t>Vasai Virar City Municipal Corporation Fire And Emergency Department</t>
  </si>
  <si>
    <t>State Level Environment Impact Assessment Authority</t>
  </si>
  <si>
    <t>Maharashtra Coastal Zone Management Authority</t>
  </si>
  <si>
    <t>Mother Bless English High School &amp; Jr.College</t>
  </si>
  <si>
    <t>S. No. 3, S.No. 4, S.No. 5, Hissa No. 1,2,3,4…, others</t>
  </si>
  <si>
    <t>Scooter = 7481, Car = 2066</t>
  </si>
  <si>
    <t>The Project Suraksha Smart City Is Approved By VVCMC</t>
  </si>
  <si>
    <t>All Buildings</t>
  </si>
  <si>
    <t xml:space="preserve">Authorized Signatory
Name &amp; Seal of the agency                         </t>
  </si>
  <si>
    <t>Building No. 18 = Gr + 1st to 23rd Floor</t>
  </si>
  <si>
    <t>Building No. 19 = Gr + 1st to 23rd Floor</t>
  </si>
  <si>
    <t>Building No. 20 = Gr + 1st to 23rd Floor</t>
  </si>
  <si>
    <t>Average Progress of Building No. 17 
(Part I &amp; II)</t>
  </si>
  <si>
    <t>Building No. 17 (Part I) = Gr + 1st to 23rd Floor</t>
  </si>
  <si>
    <t>Building No. 17 (Part II)= Gr + 1st to 23rd Floor</t>
  </si>
  <si>
    <t>Building No. 10 = Gr + 1st to 23rd Floor</t>
  </si>
  <si>
    <t>Extra Work given 1st slab completed (on28/02/2025)</t>
  </si>
  <si>
    <t>Extra Work given of Building No 10, 1st slab completed (on28/02/2025)</t>
  </si>
  <si>
    <t>Suraksha Smart City - Phase I</t>
  </si>
  <si>
    <t>Building No. 8 = Gr + 1st to 23rd Floor</t>
  </si>
  <si>
    <t>Building No. 14 = Gr + 1st to 23rd Floor</t>
  </si>
  <si>
    <t>Building No. 9 = Gr + 1st to 23rd Floor</t>
  </si>
  <si>
    <t xml:space="preserve"> 8, 9, 10, 14, 15, 16, 17, 18, 19, &amp; 20</t>
  </si>
  <si>
    <t>Building No. 16 = Gr + 1st to 23rd Floor</t>
  </si>
  <si>
    <t>Building No. 15 = Gr + 1st to 23rd Floor</t>
  </si>
  <si>
    <t>Mr. Abhishek Manjrekar</t>
  </si>
  <si>
    <t>Kunal Kadam</t>
  </si>
  <si>
    <t>Mr. Kuldeep 8087094471</t>
  </si>
  <si>
    <t>On Site, we meet Ms. Vaishali 7208068001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</si>
</sst>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Garamond"/>
      <family val="1"/>
    </font>
    <font>
      <sz val="11"/>
      <color theme="1"/>
      <name val="Garamond"/>
      <family val="1"/>
    </font>
    <font>
      <sz val="11"/>
      <color rgb="FF000000"/>
      <name val="Book Antiqua"/>
      <family val="1"/>
    </font>
    <font>
      <sz val="9"/>
      <color rgb="FF000000"/>
      <name val="Garamond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9"/>
      <color indexed="8"/>
      <name val="Garamond"/>
      <family val="1"/>
    </font>
    <font>
      <u/>
      <sz val="11"/>
      <color theme="10"/>
      <name val="Calibri"/>
      <family val="2"/>
      <scheme val="minor"/>
    </font>
    <font>
      <b/>
      <sz val="10"/>
      <color rgb="FF000000"/>
      <name val="Garamond"/>
      <family val="1"/>
    </font>
    <font>
      <b/>
      <sz val="11"/>
      <color rgb="FF000000"/>
      <name val="Garamond"/>
      <family val="1"/>
    </font>
    <font>
      <sz val="11"/>
      <color rgb="FFFF0000"/>
      <name val="Garamond"/>
      <family val="1"/>
    </font>
    <font>
      <sz val="11"/>
      <color rgb="FF000000"/>
      <name val="Garamond"/>
      <family val="1"/>
    </font>
    <font>
      <sz val="10"/>
      <color theme="1"/>
      <name val="Garamond"/>
      <family val="1"/>
    </font>
    <font>
      <b/>
      <sz val="11"/>
      <color theme="1"/>
      <name val="Garamond"/>
      <family val="1"/>
    </font>
    <font>
      <sz val="10"/>
      <color indexed="8"/>
      <name val="Garamond"/>
      <family val="1"/>
    </font>
    <font>
      <sz val="11"/>
      <color indexed="8"/>
      <name val="Garamond"/>
      <family val="1"/>
    </font>
    <font>
      <b/>
      <sz val="11"/>
      <color indexed="8"/>
      <name val="Garamond"/>
      <family val="1"/>
    </font>
    <font>
      <sz val="11"/>
      <name val="Garamond"/>
      <family val="1"/>
    </font>
    <font>
      <b/>
      <sz val="9"/>
      <name val="Garamond"/>
      <family val="1"/>
    </font>
    <font>
      <sz val="10"/>
      <name val="Garamond"/>
      <family val="1"/>
    </font>
    <font>
      <sz val="9"/>
      <name val="Garamond"/>
      <family val="1"/>
    </font>
    <font>
      <b/>
      <sz val="10"/>
      <name val="Garamond"/>
      <family val="1"/>
    </font>
    <font>
      <sz val="1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theme="1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14" fillId="0" borderId="0"/>
    <xf numFmtId="0" fontId="20" fillId="0" borderId="0" applyNumberFormat="0" applyFill="0" applyBorder="0" applyAlignment="0" applyProtection="0"/>
  </cellStyleXfs>
  <cellXfs count="427">
    <xf numFmtId="0" fontId="0" fillId="0" borderId="0" xfId="0"/>
    <xf numFmtId="0" fontId="6" fillId="0" borderId="0" xfId="0" applyFont="1"/>
    <xf numFmtId="0" fontId="6" fillId="0" borderId="20" xfId="2" applyFont="1" applyBorder="1" applyProtection="1">
      <protection hidden="1"/>
    </xf>
    <xf numFmtId="0" fontId="6" fillId="0" borderId="21" xfId="2" applyFont="1" applyBorder="1" applyProtection="1">
      <protection hidden="1"/>
    </xf>
    <xf numFmtId="0" fontId="6" fillId="0" borderId="0" xfId="2" applyFont="1" applyProtection="1">
      <protection hidden="1"/>
    </xf>
    <xf numFmtId="0" fontId="6" fillId="0" borderId="2" xfId="2" applyFont="1" applyBorder="1" applyProtection="1">
      <protection hidden="1"/>
    </xf>
    <xf numFmtId="0" fontId="7" fillId="0" borderId="0" xfId="0" applyFont="1" applyProtection="1">
      <protection hidden="1"/>
    </xf>
    <xf numFmtId="0" fontId="6" fillId="0" borderId="2" xfId="2" applyFont="1" applyBorder="1"/>
    <xf numFmtId="0" fontId="7" fillId="0" borderId="2" xfId="0" applyFont="1" applyBorder="1" applyProtection="1">
      <protection hidden="1"/>
    </xf>
    <xf numFmtId="1" fontId="6" fillId="0" borderId="2" xfId="0" applyNumberFormat="1" applyFont="1" applyBorder="1"/>
    <xf numFmtId="1" fontId="6" fillId="0" borderId="2" xfId="0" applyNumberFormat="1" applyFont="1" applyBorder="1" applyAlignment="1">
      <alignment horizontal="right"/>
    </xf>
    <xf numFmtId="0" fontId="7" fillId="0" borderId="25" xfId="0" applyFont="1" applyBorder="1" applyProtection="1">
      <protection hidden="1"/>
    </xf>
    <xf numFmtId="1" fontId="6" fillId="0" borderId="24" xfId="0" applyNumberFormat="1" applyFont="1" applyBorder="1"/>
    <xf numFmtId="0" fontId="9" fillId="0" borderId="20" xfId="2" applyFont="1" applyBorder="1" applyProtection="1">
      <protection hidden="1"/>
    </xf>
    <xf numFmtId="0" fontId="9" fillId="0" borderId="21" xfId="2" applyFont="1" applyBorder="1" applyProtection="1">
      <protection hidden="1"/>
    </xf>
    <xf numFmtId="0" fontId="9" fillId="0" borderId="9" xfId="2" applyFont="1" applyBorder="1" applyAlignment="1" applyProtection="1">
      <alignment horizontal="center" vertical="top"/>
      <protection locked="0"/>
    </xf>
    <xf numFmtId="0" fontId="9" fillId="0" borderId="10" xfId="2" applyFont="1" applyBorder="1" applyAlignment="1" applyProtection="1">
      <alignment horizontal="center" vertical="top"/>
      <protection locked="0"/>
    </xf>
    <xf numFmtId="0" fontId="9" fillId="0" borderId="0" xfId="2" applyFont="1" applyProtection="1">
      <protection hidden="1"/>
    </xf>
    <xf numFmtId="0" fontId="9" fillId="0" borderId="2" xfId="2" applyFont="1" applyBorder="1" applyProtection="1">
      <protection hidden="1"/>
    </xf>
    <xf numFmtId="0" fontId="9" fillId="0" borderId="10" xfId="2" applyFont="1" applyBorder="1" applyAlignment="1" applyProtection="1">
      <alignment horizontal="center" vertical="top" wrapText="1"/>
      <protection locked="0"/>
    </xf>
    <xf numFmtId="0" fontId="10" fillId="0" borderId="0" xfId="0" applyFont="1" applyProtection="1">
      <protection hidden="1"/>
    </xf>
    <xf numFmtId="0" fontId="9" fillId="0" borderId="2" xfId="2" applyFont="1" applyBorder="1"/>
    <xf numFmtId="0" fontId="9" fillId="0" borderId="10" xfId="2" applyFont="1" applyBorder="1" applyAlignment="1" applyProtection="1">
      <alignment horizontal="center" wrapText="1"/>
      <protection locked="0"/>
    </xf>
    <xf numFmtId="9" fontId="9" fillId="3" borderId="10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Border="1" applyProtection="1">
      <protection hidden="1"/>
    </xf>
    <xf numFmtId="1" fontId="9" fillId="0" borderId="10" xfId="2" applyNumberFormat="1" applyFont="1" applyBorder="1" applyAlignment="1" applyProtection="1">
      <alignment horizontal="center" wrapText="1"/>
      <protection locked="0"/>
    </xf>
    <xf numFmtId="1" fontId="11" fillId="0" borderId="2" xfId="0" applyNumberFormat="1" applyFont="1" applyBorder="1"/>
    <xf numFmtId="1" fontId="11" fillId="0" borderId="2" xfId="0" applyNumberFormat="1" applyFont="1" applyBorder="1" applyAlignment="1">
      <alignment horizontal="right"/>
    </xf>
    <xf numFmtId="0" fontId="9" fillId="0" borderId="23" xfId="2" applyFont="1" applyBorder="1" applyAlignment="1" applyProtection="1">
      <alignment horizontal="center" wrapText="1"/>
      <protection locked="0"/>
    </xf>
    <xf numFmtId="9" fontId="9" fillId="3" borderId="23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5" xfId="0" applyFont="1" applyBorder="1" applyProtection="1">
      <protection hidden="1"/>
    </xf>
    <xf numFmtId="1" fontId="11" fillId="0" borderId="24" xfId="0" applyNumberFormat="1" applyFont="1" applyBorder="1"/>
    <xf numFmtId="0" fontId="9" fillId="0" borderId="13" xfId="2" applyFont="1" applyBorder="1" applyAlignment="1" applyProtection="1">
      <alignment vertical="top"/>
      <protection locked="0"/>
    </xf>
    <xf numFmtId="0" fontId="9" fillId="0" borderId="6" xfId="2" applyFont="1" applyBorder="1" applyAlignment="1" applyProtection="1">
      <alignment vertical="top"/>
      <protection locked="0"/>
    </xf>
    <xf numFmtId="0" fontId="9" fillId="0" borderId="3" xfId="2" applyFont="1" applyBorder="1" applyAlignment="1" applyProtection="1">
      <alignment vertical="top"/>
      <protection locked="0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3" fillId="0" borderId="0" xfId="3" applyFont="1"/>
    <xf numFmtId="0" fontId="9" fillId="0" borderId="0" xfId="2" applyFont="1"/>
    <xf numFmtId="0" fontId="9" fillId="0" borderId="0" xfId="2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top"/>
      <protection locked="0"/>
    </xf>
    <xf numFmtId="1" fontId="12" fillId="0" borderId="0" xfId="2" applyNumberFormat="1" applyFont="1" applyAlignment="1" applyProtection="1">
      <alignment vertical="center" wrapText="1"/>
      <protection locked="0"/>
    </xf>
    <xf numFmtId="0" fontId="15" fillId="0" borderId="0" xfId="0" applyFont="1"/>
    <xf numFmtId="0" fontId="2" fillId="4" borderId="10" xfId="0" applyFont="1" applyFill="1" applyBorder="1" applyAlignment="1">
      <alignment horizontal="left" vertical="top" wrapText="1"/>
    </xf>
    <xf numFmtId="1" fontId="19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4" borderId="0" xfId="0" applyFont="1" applyFill="1" applyAlignment="1">
      <alignment vertical="top" wrapText="1"/>
    </xf>
    <xf numFmtId="2" fontId="9" fillId="0" borderId="0" xfId="2" applyNumberFormat="1" applyFont="1" applyAlignment="1">
      <alignment horizontal="center" vertical="center"/>
    </xf>
    <xf numFmtId="0" fontId="21" fillId="4" borderId="1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1" fontId="6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" fontId="19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>
      <alignment horizontal="left" vertical="center" wrapText="1"/>
    </xf>
    <xf numFmtId="0" fontId="3" fillId="4" borderId="18" xfId="2" applyFont="1" applyFill="1" applyBorder="1" applyAlignment="1" applyProtection="1">
      <alignment horizontal="center" vertical="center"/>
      <protection locked="0"/>
    </xf>
    <xf numFmtId="0" fontId="3" fillId="4" borderId="19" xfId="2" applyFont="1" applyFill="1" applyBorder="1" applyAlignment="1" applyProtection="1">
      <alignment horizontal="center" vertical="center"/>
      <protection locked="0"/>
    </xf>
    <xf numFmtId="0" fontId="3" fillId="4" borderId="10" xfId="2" applyFont="1" applyFill="1" applyBorder="1" applyAlignment="1" applyProtection="1">
      <alignment horizontal="center" vertical="center"/>
      <protection locked="0"/>
    </xf>
    <xf numFmtId="0" fontId="3" fillId="4" borderId="11" xfId="2" applyFont="1" applyFill="1" applyBorder="1" applyAlignment="1" applyProtection="1">
      <alignment horizontal="center" vertical="center"/>
      <protection locked="0"/>
    </xf>
    <xf numFmtId="0" fontId="26" fillId="4" borderId="4" xfId="0" applyFont="1" applyFill="1" applyBorder="1" applyAlignment="1">
      <alignment horizontal="left" vertical="top"/>
    </xf>
    <xf numFmtId="0" fontId="3" fillId="4" borderId="9" xfId="2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>
      <alignment horizontal="center"/>
    </xf>
    <xf numFmtId="0" fontId="3" fillId="4" borderId="10" xfId="2" applyFont="1" applyFill="1" applyBorder="1" applyAlignment="1" applyProtection="1">
      <alignment horizontal="center" vertical="top" wrapText="1"/>
      <protection locked="0"/>
    </xf>
    <xf numFmtId="9" fontId="3" fillId="4" borderId="10" xfId="0" applyNumberFormat="1" applyFont="1" applyFill="1" applyBorder="1" applyAlignment="1">
      <alignment horizontal="center" vertical="center"/>
    </xf>
    <xf numFmtId="0" fontId="3" fillId="4" borderId="10" xfId="2" applyFont="1" applyFill="1" applyBorder="1" applyAlignment="1" applyProtection="1">
      <alignment horizontal="center" wrapText="1"/>
      <protection locked="0"/>
    </xf>
    <xf numFmtId="9" fontId="3" fillId="4" borderId="10" xfId="2" applyNumberFormat="1" applyFont="1" applyFill="1" applyBorder="1" applyAlignment="1" applyProtection="1">
      <alignment horizontal="center" vertical="center" wrapText="1"/>
      <protection hidden="1"/>
    </xf>
    <xf numFmtId="1" fontId="3" fillId="4" borderId="10" xfId="2" applyNumberFormat="1" applyFont="1" applyFill="1" applyBorder="1" applyAlignment="1" applyProtection="1">
      <alignment horizontal="center" wrapText="1"/>
      <protection locked="0"/>
    </xf>
    <xf numFmtId="0" fontId="3" fillId="4" borderId="42" xfId="2" applyFont="1" applyFill="1" applyBorder="1" applyAlignment="1" applyProtection="1">
      <alignment horizontal="left" vertical="top" wrapText="1"/>
      <protection locked="0"/>
    </xf>
    <xf numFmtId="9" fontId="3" fillId="4" borderId="16" xfId="0" applyNumberFormat="1" applyFont="1" applyFill="1" applyBorder="1" applyAlignment="1">
      <alignment horizontal="center" vertical="center"/>
    </xf>
    <xf numFmtId="0" fontId="3" fillId="4" borderId="16" xfId="2" applyFont="1" applyFill="1" applyBorder="1" applyAlignment="1" applyProtection="1">
      <alignment horizontal="center" wrapText="1"/>
      <protection locked="0"/>
    </xf>
    <xf numFmtId="9" fontId="3" fillId="4" borderId="16" xfId="2" applyNumberFormat="1" applyFont="1" applyFill="1" applyBorder="1" applyAlignment="1" applyProtection="1">
      <alignment horizontal="center" vertical="center" wrapText="1"/>
      <protection hidden="1"/>
    </xf>
    <xf numFmtId="1" fontId="28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28" fillId="0" borderId="10" xfId="0" applyNumberFormat="1" applyFont="1" applyBorder="1" applyAlignment="1" applyProtection="1">
      <alignment horizontal="center" vertical="center" wrapText="1"/>
      <protection locked="0"/>
    </xf>
    <xf numFmtId="1" fontId="29" fillId="4" borderId="22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23" xfId="0" applyNumberFormat="1" applyFont="1" applyBorder="1" applyAlignment="1" applyProtection="1">
      <alignment horizontal="center" vertical="center" wrapText="1"/>
      <protection locked="0"/>
    </xf>
    <xf numFmtId="1" fontId="29" fillId="4" borderId="42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16" xfId="0" applyNumberFormat="1" applyFont="1" applyBorder="1" applyAlignment="1" applyProtection="1">
      <alignment horizontal="center" vertical="center" wrapText="1"/>
      <protection locked="0"/>
    </xf>
    <xf numFmtId="1" fontId="29" fillId="4" borderId="47" xfId="0" applyNumberFormat="1" applyFont="1" applyFill="1" applyBorder="1" applyAlignment="1" applyProtection="1">
      <alignment horizontal="center" vertical="center" wrapText="1"/>
      <protection locked="0"/>
    </xf>
    <xf numFmtId="1" fontId="29" fillId="0" borderId="48" xfId="0" applyNumberFormat="1" applyFont="1" applyBorder="1" applyAlignment="1" applyProtection="1">
      <alignment horizontal="center" vertical="center" wrapText="1"/>
      <protection locked="0"/>
    </xf>
    <xf numFmtId="1" fontId="27" fillId="0" borderId="10" xfId="2" applyNumberFormat="1" applyFont="1" applyBorder="1" applyAlignment="1" applyProtection="1">
      <alignment horizontal="center" vertical="center" wrapText="1"/>
      <protection locked="0"/>
    </xf>
    <xf numFmtId="1" fontId="25" fillId="0" borderId="10" xfId="2" applyNumberFormat="1" applyFont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1" fillId="4" borderId="10" xfId="0" applyFont="1" applyFill="1" applyBorder="1" applyAlignment="1">
      <alignment horizontal="left" vertical="top" wrapText="1"/>
    </xf>
    <xf numFmtId="0" fontId="30" fillId="0" borderId="13" xfId="0" applyFont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 wrapText="1"/>
    </xf>
    <xf numFmtId="1" fontId="3" fillId="4" borderId="10" xfId="2" applyNumberFormat="1" applyFont="1" applyFill="1" applyBorder="1" applyAlignment="1" applyProtection="1">
      <alignment horizontal="center" vertical="center" wrapText="1"/>
      <protection locked="0"/>
    </xf>
    <xf numFmtId="1" fontId="25" fillId="0" borderId="10" xfId="2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 wrapText="1"/>
    </xf>
    <xf numFmtId="1" fontId="2" fillId="0" borderId="0" xfId="0" applyNumberFormat="1" applyFont="1" applyAlignment="1">
      <alignment vertical="center" wrapText="1"/>
    </xf>
    <xf numFmtId="1" fontId="0" fillId="0" borderId="0" xfId="0" applyNumberFormat="1"/>
    <xf numFmtId="0" fontId="16" fillId="5" borderId="10" xfId="0" applyFont="1" applyFill="1" applyBorder="1" applyAlignment="1">
      <alignment horizontal="center" vertical="center" wrapText="1"/>
    </xf>
    <xf numFmtId="14" fontId="5" fillId="2" borderId="1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2" fillId="4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left" vertical="top"/>
    </xf>
    <xf numFmtId="0" fontId="24" fillId="0" borderId="10" xfId="0" applyFont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" fillId="4" borderId="9" xfId="1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0" fontId="30" fillId="0" borderId="1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" fontId="19" fillId="0" borderId="44" xfId="2" applyNumberFormat="1" applyFont="1" applyBorder="1" applyAlignment="1" applyProtection="1">
      <alignment horizontal="center" vertical="center" wrapText="1"/>
      <protection locked="0"/>
    </xf>
    <xf numFmtId="9" fontId="19" fillId="0" borderId="46" xfId="2" applyNumberFormat="1" applyFont="1" applyBorder="1" applyAlignment="1" applyProtection="1">
      <alignment horizontal="center" vertical="center" wrapText="1"/>
      <protection locked="0"/>
    </xf>
    <xf numFmtId="1" fontId="27" fillId="0" borderId="9" xfId="2" applyNumberFormat="1" applyFont="1" applyBorder="1" applyAlignment="1" applyProtection="1">
      <alignment horizontal="center" vertical="center" wrapText="1"/>
      <protection locked="0"/>
    </xf>
    <xf numFmtId="1" fontId="27" fillId="0" borderId="11" xfId="2" applyNumberFormat="1" applyFont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3" fillId="4" borderId="12" xfId="2" applyFont="1" applyFill="1" applyBorder="1" applyAlignment="1" applyProtection="1">
      <alignment horizontal="center" vertical="center"/>
      <protection locked="0"/>
    </xf>
    <xf numFmtId="0" fontId="3" fillId="4" borderId="46" xfId="2" applyFont="1" applyFill="1" applyBorder="1" applyAlignment="1" applyProtection="1">
      <alignment horizontal="center" vertical="center"/>
      <protection locked="0"/>
    </xf>
    <xf numFmtId="0" fontId="36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" fontId="19" fillId="0" borderId="42" xfId="2" applyNumberFormat="1" applyFont="1" applyBorder="1" applyAlignment="1" applyProtection="1">
      <alignment horizontal="center" vertical="center" wrapText="1"/>
      <protection locked="0"/>
    </xf>
    <xf numFmtId="1" fontId="19" fillId="0" borderId="45" xfId="2" applyNumberFormat="1" applyFont="1" applyBorder="1" applyAlignment="1" applyProtection="1">
      <alignment horizontal="center" vertical="center" wrapText="1"/>
      <protection locked="0"/>
    </xf>
    <xf numFmtId="0" fontId="19" fillId="4" borderId="8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3" xfId="2" applyFont="1" applyFill="1" applyBorder="1" applyAlignment="1" applyProtection="1">
      <alignment horizontal="center" vertical="center"/>
      <protection locked="0"/>
    </xf>
    <xf numFmtId="0" fontId="17" fillId="0" borderId="59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1" fontId="19" fillId="0" borderId="8" xfId="2" applyNumberFormat="1" applyFont="1" applyBorder="1" applyAlignment="1" applyProtection="1">
      <alignment horizontal="center" vertical="center" wrapText="1"/>
      <protection locked="0"/>
    </xf>
    <xf numFmtId="1" fontId="19" fillId="0" borderId="6" xfId="2" applyNumberFormat="1" applyFont="1" applyBorder="1" applyAlignment="1" applyProtection="1">
      <alignment horizontal="center" vertical="center" wrapText="1"/>
      <protection locked="0"/>
    </xf>
    <xf numFmtId="1" fontId="19" fillId="0" borderId="3" xfId="2" applyNumberFormat="1" applyFont="1" applyBorder="1" applyAlignment="1" applyProtection="1">
      <alignment horizontal="center" vertical="center" wrapText="1"/>
      <protection locked="0"/>
    </xf>
    <xf numFmtId="1" fontId="19" fillId="0" borderId="16" xfId="2" applyNumberFormat="1" applyFont="1" applyBorder="1" applyAlignment="1" applyProtection="1">
      <alignment horizontal="center" vertical="center" wrapText="1"/>
      <protection locked="0"/>
    </xf>
    <xf numFmtId="1" fontId="19" fillId="0" borderId="12" xfId="2" applyNumberFormat="1" applyFont="1" applyBorder="1" applyAlignment="1" applyProtection="1">
      <alignment horizontal="center" vertical="center" wrapText="1"/>
      <protection locked="0"/>
    </xf>
    <xf numFmtId="1" fontId="12" fillId="0" borderId="0" xfId="2" applyNumberFormat="1" applyFont="1" applyAlignment="1" applyProtection="1">
      <alignment horizontal="center" vertical="top" wrapText="1"/>
      <protection locked="0"/>
    </xf>
    <xf numFmtId="1" fontId="13" fillId="0" borderId="0" xfId="2" applyNumberFormat="1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top"/>
      <protection locked="0"/>
    </xf>
    <xf numFmtId="1" fontId="27" fillId="0" borderId="15" xfId="2" applyNumberFormat="1" applyFont="1" applyBorder="1" applyAlignment="1" applyProtection="1">
      <alignment horizontal="center" vertical="center" wrapText="1"/>
      <protection locked="0"/>
    </xf>
    <xf numFmtId="1" fontId="27" fillId="0" borderId="40" xfId="2" applyNumberFormat="1" applyFont="1" applyBorder="1" applyAlignment="1" applyProtection="1">
      <alignment horizontal="center" vertical="center" wrapText="1"/>
      <protection locked="0"/>
    </xf>
    <xf numFmtId="1" fontId="27" fillId="0" borderId="51" xfId="2" applyNumberFormat="1" applyFont="1" applyBorder="1" applyAlignment="1" applyProtection="1">
      <alignment horizontal="center" vertical="center" wrapText="1"/>
      <protection locked="0"/>
    </xf>
    <xf numFmtId="1" fontId="27" fillId="0" borderId="14" xfId="2" applyNumberFormat="1" applyFont="1" applyBorder="1" applyAlignment="1" applyProtection="1">
      <alignment horizontal="center" vertical="center" wrapText="1"/>
      <protection locked="0"/>
    </xf>
    <xf numFmtId="1" fontId="27" fillId="0" borderId="0" xfId="2" applyNumberFormat="1" applyFont="1" applyAlignment="1" applyProtection="1">
      <alignment horizontal="center" vertical="center" wrapText="1"/>
      <protection locked="0"/>
    </xf>
    <xf numFmtId="1" fontId="27" fillId="0" borderId="43" xfId="2" applyNumberFormat="1" applyFont="1" applyBorder="1" applyAlignment="1" applyProtection="1">
      <alignment horizontal="center" vertical="center" wrapText="1"/>
      <protection locked="0"/>
    </xf>
    <xf numFmtId="1" fontId="27" fillId="0" borderId="32" xfId="2" applyNumberFormat="1" applyFont="1" applyBorder="1" applyAlignment="1" applyProtection="1">
      <alignment horizontal="center" vertical="center" wrapText="1"/>
      <protection locked="0"/>
    </xf>
    <xf numFmtId="1" fontId="27" fillId="0" borderId="41" xfId="2" applyNumberFormat="1" applyFont="1" applyBorder="1" applyAlignment="1" applyProtection="1">
      <alignment horizontal="center" vertical="center" wrapText="1"/>
      <protection locked="0"/>
    </xf>
    <xf numFmtId="1" fontId="27" fillId="0" borderId="50" xfId="2" applyNumberFormat="1" applyFont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1" fontId="27" fillId="0" borderId="13" xfId="2" applyNumberFormat="1" applyFont="1" applyBorder="1" applyAlignment="1" applyProtection="1">
      <alignment horizontal="center" vertical="center" wrapText="1"/>
      <protection locked="0"/>
    </xf>
    <xf numFmtId="1" fontId="27" fillId="0" borderId="6" xfId="2" applyNumberFormat="1" applyFont="1" applyBorder="1" applyAlignment="1" applyProtection="1">
      <alignment horizontal="center" vertical="center" wrapText="1"/>
      <protection locked="0"/>
    </xf>
    <xf numFmtId="1" fontId="27" fillId="0" borderId="7" xfId="2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" fontId="9" fillId="0" borderId="0" xfId="0" applyNumberFormat="1" applyFont="1" applyAlignment="1" applyProtection="1">
      <alignment horizontal="center" vertical="top" wrapText="1"/>
      <protection locked="0"/>
    </xf>
    <xf numFmtId="1" fontId="26" fillId="0" borderId="16" xfId="0" applyNumberFormat="1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1" fontId="26" fillId="0" borderId="16" xfId="0" applyNumberFormat="1" applyFont="1" applyBorder="1" applyAlignment="1" applyProtection="1">
      <alignment horizontal="center" vertical="center" wrapText="1"/>
      <protection locked="0"/>
    </xf>
    <xf numFmtId="0" fontId="26" fillId="0" borderId="44" xfId="0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19" fillId="5" borderId="56" xfId="2" applyFont="1" applyFill="1" applyBorder="1" applyAlignment="1" applyProtection="1">
      <alignment horizontal="center" vertical="center"/>
      <protection locked="0"/>
    </xf>
    <xf numFmtId="0" fontId="19" fillId="5" borderId="41" xfId="2" applyFont="1" applyFill="1" applyBorder="1" applyAlignment="1" applyProtection="1">
      <alignment horizontal="center" vertical="center"/>
      <protection locked="0"/>
    </xf>
    <xf numFmtId="0" fontId="19" fillId="5" borderId="57" xfId="2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30" fillId="0" borderId="10" xfId="0" applyFont="1" applyBorder="1" applyAlignment="1">
      <alignment horizontal="center" vertical="top"/>
    </xf>
    <xf numFmtId="0" fontId="24" fillId="0" borderId="1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/>
    </xf>
    <xf numFmtId="0" fontId="32" fillId="0" borderId="10" xfId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top"/>
    </xf>
    <xf numFmtId="0" fontId="30" fillId="0" borderId="7" xfId="0" applyFont="1" applyBorder="1" applyAlignment="1">
      <alignment horizontal="center" vertical="top"/>
    </xf>
    <xf numFmtId="0" fontId="30" fillId="0" borderId="3" xfId="0" applyFont="1" applyBorder="1" applyAlignment="1">
      <alignment horizontal="center" vertical="top"/>
    </xf>
    <xf numFmtId="0" fontId="32" fillId="0" borderId="11" xfId="1" applyFont="1" applyBorder="1" applyAlignment="1" applyProtection="1">
      <alignment horizontal="center" vertical="top"/>
      <protection locked="0"/>
    </xf>
    <xf numFmtId="14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5" borderId="36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30" fillId="3" borderId="10" xfId="0" applyFont="1" applyFill="1" applyBorder="1" applyAlignment="1">
      <alignment horizontal="center" vertical="top" wrapText="1"/>
    </xf>
    <xf numFmtId="0" fontId="30" fillId="3" borderId="11" xfId="0" applyFont="1" applyFill="1" applyBorder="1" applyAlignment="1">
      <alignment horizontal="center" vertical="top" wrapText="1"/>
    </xf>
    <xf numFmtId="0" fontId="2" fillId="4" borderId="45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3" fillId="3" borderId="32" xfId="0" applyFont="1" applyFill="1" applyBorder="1" applyAlignment="1">
      <alignment horizontal="center" vertical="top" wrapText="1"/>
    </xf>
    <xf numFmtId="0" fontId="23" fillId="3" borderId="41" xfId="0" applyFont="1" applyFill="1" applyBorder="1" applyAlignment="1">
      <alignment horizontal="center" vertical="top" wrapText="1"/>
    </xf>
    <xf numFmtId="0" fontId="23" fillId="3" borderId="57" xfId="0" applyFont="1" applyFill="1" applyBorder="1" applyAlignment="1">
      <alignment horizontal="center" vertical="top" wrapText="1"/>
    </xf>
    <xf numFmtId="0" fontId="26" fillId="4" borderId="17" xfId="2" applyFont="1" applyFill="1" applyBorder="1" applyAlignment="1" applyProtection="1">
      <alignment horizontal="left" vertical="top" wrapText="1"/>
      <protection locked="0"/>
    </xf>
    <xf numFmtId="0" fontId="26" fillId="4" borderId="18" xfId="2" applyFont="1" applyFill="1" applyBorder="1" applyAlignment="1" applyProtection="1">
      <alignment horizontal="left" vertical="top" wrapText="1"/>
      <protection locked="0"/>
    </xf>
    <xf numFmtId="0" fontId="26" fillId="4" borderId="9" xfId="2" applyFont="1" applyFill="1" applyBorder="1" applyAlignment="1" applyProtection="1">
      <alignment horizontal="left" vertical="top" wrapText="1"/>
      <protection locked="0"/>
    </xf>
    <xf numFmtId="0" fontId="26" fillId="4" borderId="10" xfId="2" applyFont="1" applyFill="1" applyBorder="1" applyAlignment="1" applyProtection="1">
      <alignment horizontal="left" vertical="top" wrapText="1"/>
      <protection locked="0"/>
    </xf>
    <xf numFmtId="0" fontId="18" fillId="5" borderId="9" xfId="0" applyFont="1" applyFill="1" applyBorder="1" applyAlignment="1">
      <alignment horizontal="left"/>
    </xf>
    <xf numFmtId="0" fontId="18" fillId="5" borderId="10" xfId="0" applyFont="1" applyFill="1" applyBorder="1" applyAlignment="1">
      <alignment horizontal="left"/>
    </xf>
    <xf numFmtId="0" fontId="18" fillId="5" borderId="11" xfId="0" applyFont="1" applyFill="1" applyBorder="1" applyAlignment="1">
      <alignment horizontal="left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1" fontId="26" fillId="0" borderId="23" xfId="0" applyNumberFormat="1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1" fontId="26" fillId="0" borderId="23" xfId="0" applyNumberFormat="1" applyFont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1" fontId="19" fillId="0" borderId="15" xfId="2" applyNumberFormat="1" applyFont="1" applyBorder="1" applyAlignment="1" applyProtection="1">
      <alignment horizontal="center" vertical="center" wrapText="1"/>
      <protection locked="0"/>
    </xf>
    <xf numFmtId="1" fontId="19" fillId="0" borderId="32" xfId="2" applyNumberFormat="1" applyFont="1" applyBorder="1" applyAlignment="1" applyProtection="1">
      <alignment horizontal="center" vertical="center" wrapText="1"/>
      <protection locked="0"/>
    </xf>
    <xf numFmtId="0" fontId="16" fillId="5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 wrapText="1"/>
    </xf>
    <xf numFmtId="0" fontId="19" fillId="0" borderId="8" xfId="2" applyFont="1" applyBorder="1" applyAlignment="1" applyProtection="1">
      <alignment horizontal="center" vertical="top"/>
      <protection locked="0"/>
    </xf>
    <xf numFmtId="0" fontId="19" fillId="0" borderId="6" xfId="2" applyFont="1" applyBorder="1" applyAlignment="1" applyProtection="1">
      <alignment horizontal="center" vertical="top"/>
      <protection locked="0"/>
    </xf>
    <xf numFmtId="0" fontId="19" fillId="0" borderId="3" xfId="2" applyFont="1" applyBorder="1" applyAlignment="1" applyProtection="1">
      <alignment horizontal="center" vertical="top"/>
      <protection locked="0"/>
    </xf>
    <xf numFmtId="1" fontId="26" fillId="0" borderId="48" xfId="0" applyNumberFormat="1" applyFont="1" applyBorder="1" applyAlignment="1" applyProtection="1">
      <alignment horizontal="center" vertical="center"/>
      <protection locked="0"/>
    </xf>
    <xf numFmtId="0" fontId="26" fillId="0" borderId="48" xfId="0" applyFont="1" applyBorder="1" applyAlignment="1" applyProtection="1">
      <alignment horizontal="center" vertical="center"/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1" fontId="12" fillId="0" borderId="0" xfId="0" applyNumberFormat="1" applyFont="1" applyAlignment="1" applyProtection="1">
      <alignment horizontal="center" vertical="top" wrapText="1"/>
      <protection locked="0"/>
    </xf>
    <xf numFmtId="0" fontId="17" fillId="6" borderId="33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52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left" vertical="top"/>
    </xf>
    <xf numFmtId="0" fontId="2" fillId="5" borderId="9" xfId="1" applyFont="1" applyFill="1" applyBorder="1" applyAlignment="1">
      <alignment horizontal="center" vertical="center"/>
    </xf>
    <xf numFmtId="0" fontId="2" fillId="5" borderId="10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left" vertical="top" wrapText="1"/>
    </xf>
    <xf numFmtId="0" fontId="2" fillId="4" borderId="10" xfId="1" applyFont="1" applyFill="1" applyBorder="1" applyAlignment="1">
      <alignment horizontal="left" vertical="top" wrapText="1"/>
    </xf>
    <xf numFmtId="0" fontId="22" fillId="3" borderId="10" xfId="0" applyFont="1" applyFill="1" applyBorder="1" applyAlignment="1">
      <alignment horizontal="center" vertical="top" wrapText="1"/>
    </xf>
    <xf numFmtId="0" fontId="22" fillId="3" borderId="11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2" fillId="4" borderId="8" xfId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left" vertical="center" wrapText="1"/>
    </xf>
    <xf numFmtId="0" fontId="2" fillId="4" borderId="9" xfId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left" vertical="center" wrapText="1"/>
    </xf>
    <xf numFmtId="0" fontId="20" fillId="4" borderId="13" xfId="4" applyFill="1" applyBorder="1" applyAlignment="1">
      <alignment horizontal="left" vertical="center" wrapText="1"/>
    </xf>
    <xf numFmtId="0" fontId="20" fillId="4" borderId="6" xfId="4" applyFill="1" applyBorder="1" applyAlignment="1">
      <alignment horizontal="left" vertical="center" wrapText="1"/>
    </xf>
    <xf numFmtId="0" fontId="20" fillId="4" borderId="3" xfId="4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4" fillId="3" borderId="10" xfId="0" applyFont="1" applyFill="1" applyBorder="1" applyAlignment="1">
      <alignment horizontal="left" vertical="top" wrapText="1"/>
    </xf>
    <xf numFmtId="0" fontId="24" fillId="3" borderId="11" xfId="0" applyFont="1" applyFill="1" applyBorder="1" applyAlignment="1">
      <alignment horizontal="left" vertical="top" wrapText="1"/>
    </xf>
    <xf numFmtId="0" fontId="24" fillId="3" borderId="13" xfId="0" applyFont="1" applyFill="1" applyBorder="1" applyAlignment="1">
      <alignment horizontal="left" vertical="top" wrapText="1"/>
    </xf>
    <xf numFmtId="0" fontId="24" fillId="3" borderId="6" xfId="0" applyFont="1" applyFill="1" applyBorder="1" applyAlignment="1">
      <alignment horizontal="left" vertical="top" wrapText="1"/>
    </xf>
    <xf numFmtId="0" fontId="24" fillId="3" borderId="3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5" fillId="4" borderId="13" xfId="1" applyFont="1" applyFill="1" applyBorder="1" applyAlignment="1">
      <alignment horizontal="left" vertical="top" wrapText="1"/>
    </xf>
    <xf numFmtId="0" fontId="5" fillId="4" borderId="6" xfId="1" applyFont="1" applyFill="1" applyBorder="1" applyAlignment="1">
      <alignment horizontal="left" vertical="top" wrapText="1"/>
    </xf>
    <xf numFmtId="0" fontId="5" fillId="4" borderId="3" xfId="1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9" fontId="24" fillId="3" borderId="10" xfId="0" applyNumberFormat="1" applyFont="1" applyFill="1" applyBorder="1" applyAlignment="1">
      <alignment horizontal="left" vertical="top" wrapText="1"/>
    </xf>
    <xf numFmtId="0" fontId="30" fillId="3" borderId="16" xfId="0" applyFont="1" applyFill="1" applyBorder="1" applyAlignment="1">
      <alignment horizontal="center" vertical="top" wrapText="1"/>
    </xf>
    <xf numFmtId="0" fontId="30" fillId="3" borderId="44" xfId="0" applyFont="1" applyFill="1" applyBorder="1" applyAlignment="1">
      <alignment horizontal="center" vertical="top" wrapText="1"/>
    </xf>
    <xf numFmtId="0" fontId="20" fillId="0" borderId="13" xfId="4" applyBorder="1" applyAlignment="1">
      <alignment horizontal="left" vertical="center"/>
    </xf>
    <xf numFmtId="0" fontId="3" fillId="0" borderId="8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" fillId="4" borderId="42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top" wrapText="1"/>
    </xf>
    <xf numFmtId="0" fontId="26" fillId="4" borderId="8" xfId="2" applyFont="1" applyFill="1" applyBorder="1" applyAlignment="1" applyProtection="1">
      <alignment horizontal="left" vertical="top" wrapText="1"/>
      <protection locked="0"/>
    </xf>
    <xf numFmtId="0" fontId="26" fillId="4" borderId="6" xfId="2" applyFont="1" applyFill="1" applyBorder="1" applyAlignment="1" applyProtection="1">
      <alignment horizontal="left" vertical="top" wrapText="1"/>
      <protection locked="0"/>
    </xf>
    <xf numFmtId="0" fontId="26" fillId="4" borderId="3" xfId="2" applyFont="1" applyFill="1" applyBorder="1" applyAlignment="1" applyProtection="1">
      <alignment horizontal="left" vertical="top" wrapText="1"/>
      <protection locked="0"/>
    </xf>
    <xf numFmtId="0" fontId="3" fillId="4" borderId="13" xfId="2" applyFont="1" applyFill="1" applyBorder="1" applyAlignment="1" applyProtection="1">
      <alignment horizontal="center" vertical="center" wrapText="1"/>
      <protection locked="0"/>
    </xf>
    <xf numFmtId="0" fontId="3" fillId="4" borderId="3" xfId="2" applyFont="1" applyFill="1" applyBorder="1" applyAlignment="1" applyProtection="1">
      <alignment horizontal="center" vertical="center" wrapText="1"/>
      <protection locked="0"/>
    </xf>
    <xf numFmtId="9" fontId="3" fillId="4" borderId="1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14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26" fillId="4" borderId="45" xfId="2" applyFont="1" applyFill="1" applyBorder="1" applyAlignment="1" applyProtection="1">
      <alignment horizontal="left" vertical="top" wrapText="1"/>
      <protection locked="0"/>
    </xf>
    <xf numFmtId="0" fontId="26" fillId="4" borderId="12" xfId="2" applyFont="1" applyFill="1" applyBorder="1" applyAlignment="1" applyProtection="1">
      <alignment horizontal="left" vertical="top" wrapText="1"/>
      <protection locked="0"/>
    </xf>
    <xf numFmtId="0" fontId="26" fillId="4" borderId="7" xfId="2" applyFont="1" applyFill="1" applyBorder="1" applyAlignment="1" applyProtection="1">
      <alignment horizontal="left" vertical="top" wrapText="1"/>
      <protection locked="0"/>
    </xf>
    <xf numFmtId="9" fontId="3" fillId="4" borderId="61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24" xfId="2" applyNumberFormat="1" applyFont="1" applyFill="1" applyBorder="1" applyAlignment="1" applyProtection="1">
      <alignment horizontal="center" vertical="center" wrapText="1"/>
      <protection hidden="1"/>
    </xf>
    <xf numFmtId="0" fontId="26" fillId="4" borderId="62" xfId="2" applyFont="1" applyFill="1" applyBorder="1" applyAlignment="1" applyProtection="1">
      <alignment horizontal="center" vertical="top" wrapText="1"/>
      <protection locked="0"/>
    </xf>
    <xf numFmtId="0" fontId="26" fillId="4" borderId="20" xfId="2" applyFont="1" applyFill="1" applyBorder="1" applyAlignment="1" applyProtection="1">
      <alignment horizontal="center" vertical="top" wrapText="1"/>
      <protection locked="0"/>
    </xf>
    <xf numFmtId="0" fontId="26" fillId="4" borderId="63" xfId="2" applyFont="1" applyFill="1" applyBorder="1" applyAlignment="1" applyProtection="1">
      <alignment horizontal="center" vertical="top" wrapText="1"/>
      <protection locked="0"/>
    </xf>
    <xf numFmtId="0" fontId="26" fillId="4" borderId="64" xfId="2" applyFont="1" applyFill="1" applyBorder="1" applyAlignment="1" applyProtection="1">
      <alignment horizontal="center" vertical="top" wrapText="1"/>
      <protection locked="0"/>
    </xf>
    <xf numFmtId="0" fontId="26" fillId="4" borderId="25" xfId="2" applyFont="1" applyFill="1" applyBorder="1" applyAlignment="1" applyProtection="1">
      <alignment horizontal="center" vertical="top" wrapText="1"/>
      <protection locked="0"/>
    </xf>
    <xf numFmtId="0" fontId="26" fillId="4" borderId="65" xfId="2" applyFont="1" applyFill="1" applyBorder="1" applyAlignment="1" applyProtection="1">
      <alignment horizontal="center" vertical="top" wrapText="1"/>
      <protection locked="0"/>
    </xf>
    <xf numFmtId="9" fontId="26" fillId="4" borderId="60" xfId="2" applyNumberFormat="1" applyFont="1" applyFill="1" applyBorder="1" applyAlignment="1" applyProtection="1">
      <alignment horizontal="center" vertical="center" wrapText="1"/>
      <protection hidden="1"/>
    </xf>
    <xf numFmtId="9" fontId="26" fillId="4" borderId="21" xfId="2" applyNumberFormat="1" applyFont="1" applyFill="1" applyBorder="1" applyAlignment="1" applyProtection="1">
      <alignment horizontal="center" vertical="center" wrapText="1"/>
      <protection hidden="1"/>
    </xf>
    <xf numFmtId="9" fontId="26" fillId="4" borderId="61" xfId="2" applyNumberFormat="1" applyFont="1" applyFill="1" applyBorder="1" applyAlignment="1" applyProtection="1">
      <alignment horizontal="center" vertical="center" wrapText="1"/>
      <protection hidden="1"/>
    </xf>
    <xf numFmtId="9" fontId="26" fillId="4" borderId="24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center" vertical="center" wrapText="1"/>
    </xf>
    <xf numFmtId="1" fontId="19" fillId="5" borderId="45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46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 wrapText="1"/>
    </xf>
    <xf numFmtId="0" fontId="2" fillId="4" borderId="39" xfId="0" applyFont="1" applyFill="1" applyBorder="1" applyAlignment="1">
      <alignment horizontal="center" vertical="top" wrapText="1"/>
    </xf>
    <xf numFmtId="0" fontId="2" fillId="4" borderId="58" xfId="0" applyFont="1" applyFill="1" applyBorder="1" applyAlignment="1">
      <alignment horizontal="center" vertical="top" wrapText="1"/>
    </xf>
    <xf numFmtId="1" fontId="19" fillId="7" borderId="9" xfId="0" applyNumberFormat="1" applyFont="1" applyFill="1" applyBorder="1" applyAlignment="1" applyProtection="1">
      <alignment horizontal="center" vertical="center" wrapText="1"/>
      <protection locked="0"/>
    </xf>
    <xf numFmtId="1" fontId="19" fillId="7" borderId="10" xfId="0" applyNumberFormat="1" applyFont="1" applyFill="1" applyBorder="1" applyAlignment="1" applyProtection="1">
      <alignment horizontal="center" vertical="center" wrapText="1"/>
      <protection locked="0"/>
    </xf>
    <xf numFmtId="1" fontId="19" fillId="7" borderId="11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7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8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0" fontId="2" fillId="4" borderId="55" xfId="0" applyFont="1" applyFill="1" applyBorder="1" applyAlignment="1">
      <alignment horizontal="center" vertical="top" wrapText="1"/>
    </xf>
    <xf numFmtId="0" fontId="2" fillId="4" borderId="40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56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0" borderId="9" xfId="2" applyFont="1" applyBorder="1" applyAlignment="1" applyProtection="1">
      <alignment horizontal="center" vertical="top" wrapText="1"/>
      <protection locked="0"/>
    </xf>
    <xf numFmtId="0" fontId="9" fillId="0" borderId="10" xfId="2" applyFont="1" applyBorder="1" applyAlignment="1" applyProtection="1">
      <alignment horizontal="center" vertical="top" wrapText="1"/>
      <protection locked="0"/>
    </xf>
    <xf numFmtId="0" fontId="9" fillId="0" borderId="22" xfId="2" applyFont="1" applyBorder="1" applyAlignment="1" applyProtection="1">
      <alignment horizontal="center" vertical="top" wrapText="1"/>
      <protection locked="0"/>
    </xf>
    <xf numFmtId="0" fontId="9" fillId="0" borderId="23" xfId="2" applyFont="1" applyBorder="1" applyAlignment="1" applyProtection="1">
      <alignment horizontal="center" vertical="top" wrapText="1"/>
      <protection locked="0"/>
    </xf>
    <xf numFmtId="9" fontId="9" fillId="3" borderId="10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23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11" xfId="2" applyNumberFormat="1" applyFont="1" applyFill="1" applyBorder="1" applyAlignment="1" applyProtection="1">
      <alignment horizontal="center" vertical="center" wrapText="1"/>
      <protection hidden="1"/>
    </xf>
    <xf numFmtId="9" fontId="9" fillId="3" borderId="31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9" xfId="2" applyFont="1" applyBorder="1" applyAlignment="1" applyProtection="1">
      <alignment horizontal="center" vertical="top"/>
      <protection locked="0"/>
    </xf>
    <xf numFmtId="0" fontId="9" fillId="0" borderId="10" xfId="2" applyFont="1" applyBorder="1" applyAlignment="1" applyProtection="1">
      <alignment horizontal="center" vertical="top"/>
      <protection locked="0"/>
    </xf>
    <xf numFmtId="0" fontId="8" fillId="0" borderId="26" xfId="2" applyFont="1" applyBorder="1" applyAlignment="1" applyProtection="1">
      <alignment horizontal="left" vertical="top" wrapText="1"/>
      <protection locked="0"/>
    </xf>
    <xf numFmtId="0" fontId="8" fillId="0" borderId="27" xfId="2" applyFont="1" applyBorder="1" applyAlignment="1" applyProtection="1">
      <alignment horizontal="left" vertical="top" wrapText="1"/>
      <protection locked="0"/>
    </xf>
    <xf numFmtId="0" fontId="8" fillId="0" borderId="28" xfId="2" applyFont="1" applyBorder="1" applyAlignment="1" applyProtection="1">
      <alignment horizontal="left" vertical="top" wrapText="1"/>
      <protection locked="0"/>
    </xf>
    <xf numFmtId="0" fontId="8" fillId="0" borderId="29" xfId="2" applyFont="1" applyBorder="1" applyAlignment="1" applyProtection="1">
      <alignment horizontal="left" vertical="top" wrapText="1"/>
      <protection locked="0"/>
    </xf>
    <xf numFmtId="0" fontId="8" fillId="0" borderId="30" xfId="2" applyFont="1" applyBorder="1" applyAlignment="1" applyProtection="1">
      <alignment horizontal="left" vertical="top" wrapText="1"/>
      <protection locked="0"/>
    </xf>
    <xf numFmtId="0" fontId="8" fillId="0" borderId="9" xfId="2" applyFont="1" applyBorder="1" applyAlignment="1" applyProtection="1">
      <alignment horizontal="left" vertical="top"/>
      <protection locked="0"/>
    </xf>
    <xf numFmtId="0" fontId="8" fillId="0" borderId="10" xfId="2" applyFont="1" applyBorder="1" applyAlignment="1" applyProtection="1">
      <alignment horizontal="left" vertical="top"/>
      <protection locked="0"/>
    </xf>
    <xf numFmtId="0" fontId="8" fillId="0" borderId="10" xfId="2" applyFont="1" applyBorder="1" applyAlignment="1" applyProtection="1">
      <alignment horizontal="left" vertical="top" wrapText="1"/>
      <protection locked="0"/>
    </xf>
    <xf numFmtId="0" fontId="8" fillId="0" borderId="11" xfId="2" applyFont="1" applyBorder="1" applyAlignment="1" applyProtection="1">
      <alignment horizontal="left" vertical="top" wrapText="1"/>
      <protection locked="0"/>
    </xf>
    <xf numFmtId="0" fontId="9" fillId="0" borderId="11" xfId="2" applyFont="1" applyBorder="1" applyAlignment="1" applyProtection="1">
      <alignment horizontal="center" vertical="top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" fillId="4" borderId="9" xfId="2" applyFont="1" applyFill="1" applyBorder="1" applyAlignment="1" applyProtection="1">
      <alignment horizontal="left" vertical="center" wrapText="1"/>
      <protection locked="0"/>
    </xf>
    <xf numFmtId="0" fontId="3" fillId="4" borderId="10" xfId="2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center" wrapText="1"/>
      <protection locked="0"/>
    </xf>
    <xf numFmtId="14" fontId="33" fillId="2" borderId="11" xfId="1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159684</xdr:colOff>
      <xdr:row>1539</xdr:row>
      <xdr:rowOff>117099</xdr:rowOff>
    </xdr:from>
    <xdr:to>
      <xdr:col>8</xdr:col>
      <xdr:colOff>730063</xdr:colOff>
      <xdr:row>1544</xdr:row>
      <xdr:rowOff>62191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531909" y="283723974"/>
          <a:ext cx="1789579" cy="10309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 b="1">
              <a:ln>
                <a:noFill/>
              </a:ln>
              <a:solidFill>
                <a:srgbClr val="FF0000"/>
              </a:solidFill>
            </a:rPr>
            <a:t>Bldg No.</a:t>
          </a:r>
          <a:r>
            <a:rPr lang="en-US" sz="2800" b="1" baseline="0">
              <a:ln>
                <a:noFill/>
              </a:ln>
              <a:solidFill>
                <a:srgbClr val="FF0000"/>
              </a:solidFill>
            </a:rPr>
            <a:t> 8</a:t>
          </a:r>
          <a:endParaRPr lang="en-US" sz="2800" b="1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1076883</xdr:colOff>
      <xdr:row>1532</xdr:row>
      <xdr:rowOff>105894</xdr:rowOff>
    </xdr:from>
    <xdr:to>
      <xdr:col>11</xdr:col>
      <xdr:colOff>235323</xdr:colOff>
      <xdr:row>1537</xdr:row>
      <xdr:rowOff>185456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9189942" y="296165306"/>
          <a:ext cx="2240057" cy="10320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 b="1">
              <a:ln>
                <a:noFill/>
              </a:ln>
              <a:solidFill>
                <a:srgbClr val="FF0000"/>
              </a:solidFill>
            </a:rPr>
            <a:t>Bldg No. 8 &amp;</a:t>
          </a:r>
          <a:r>
            <a:rPr lang="en-US" sz="2800" b="1" baseline="0">
              <a:ln>
                <a:noFill/>
              </a:ln>
              <a:solidFill>
                <a:srgbClr val="FF0000"/>
              </a:solidFill>
            </a:rPr>
            <a:t> 9</a:t>
          </a:r>
          <a:endParaRPr lang="en-US" sz="2800" b="1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585508</xdr:colOff>
      <xdr:row>1636</xdr:row>
      <xdr:rowOff>129429</xdr:rowOff>
    </xdr:from>
    <xdr:to>
      <xdr:col>9</xdr:col>
      <xdr:colOff>192181</xdr:colOff>
      <xdr:row>1642</xdr:row>
      <xdr:rowOff>17371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093449" y="306800811"/>
          <a:ext cx="1780614" cy="10309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 b="1">
              <a:ln>
                <a:noFill/>
              </a:ln>
              <a:solidFill>
                <a:srgbClr val="FF0000"/>
              </a:solidFill>
            </a:rPr>
            <a:t>Bldg No.</a:t>
          </a:r>
          <a:r>
            <a:rPr lang="en-US" sz="2800" b="1" baseline="0">
              <a:ln>
                <a:noFill/>
              </a:ln>
              <a:solidFill>
                <a:srgbClr val="FF0000"/>
              </a:solidFill>
            </a:rPr>
            <a:t> 17 (Part I)</a:t>
          </a:r>
          <a:endParaRPr lang="en-US" sz="2800" b="1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236444</xdr:colOff>
      <xdr:row>1553</xdr:row>
      <xdr:rowOff>50987</xdr:rowOff>
    </xdr:from>
    <xdr:to>
      <xdr:col>13</xdr:col>
      <xdr:colOff>0</xdr:colOff>
      <xdr:row>1558</xdr:row>
      <xdr:rowOff>129429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399494" y="286458212"/>
          <a:ext cx="2497231" cy="10309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 b="1">
              <a:ln>
                <a:noFill/>
              </a:ln>
              <a:solidFill>
                <a:srgbClr val="FF0000"/>
              </a:solidFill>
            </a:rPr>
            <a:t>Bldg No.</a:t>
          </a:r>
          <a:r>
            <a:rPr lang="en-US" sz="2800" b="1" baseline="0">
              <a:ln>
                <a:noFill/>
              </a:ln>
              <a:solidFill>
                <a:srgbClr val="FF0000"/>
              </a:solidFill>
            </a:rPr>
            <a:t> 14 &amp; 15</a:t>
          </a:r>
          <a:endParaRPr lang="en-US" sz="2800" b="1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175932</xdr:colOff>
      <xdr:row>1566</xdr:row>
      <xdr:rowOff>53788</xdr:rowOff>
    </xdr:from>
    <xdr:to>
      <xdr:col>8</xdr:col>
      <xdr:colOff>1355911</xdr:colOff>
      <xdr:row>1571</xdr:row>
      <xdr:rowOff>132230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300632" y="303272638"/>
          <a:ext cx="1789579" cy="10309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ln>
                <a:noFill/>
              </a:ln>
              <a:solidFill>
                <a:srgbClr val="FF0000"/>
              </a:solidFill>
            </a:rPr>
            <a:t>Bldg No.</a:t>
          </a:r>
          <a:r>
            <a:rPr lang="en-US" sz="1800" b="1" baseline="0">
              <a:ln>
                <a:noFill/>
              </a:ln>
              <a:solidFill>
                <a:srgbClr val="FF0000"/>
              </a:solidFill>
            </a:rPr>
            <a:t> 14, 15 &amp; 16</a:t>
          </a:r>
          <a:endParaRPr lang="en-US" sz="1800" b="1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617444</xdr:colOff>
      <xdr:row>1566</xdr:row>
      <xdr:rowOff>84604</xdr:rowOff>
    </xdr:from>
    <xdr:to>
      <xdr:col>12</xdr:col>
      <xdr:colOff>295835</xdr:colOff>
      <xdr:row>1571</xdr:row>
      <xdr:rowOff>163046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9780494" y="288968329"/>
          <a:ext cx="1802466" cy="10309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 b="1">
              <a:ln>
                <a:noFill/>
              </a:ln>
              <a:solidFill>
                <a:srgbClr val="FF0000"/>
              </a:solidFill>
            </a:rPr>
            <a:t>Bldg No.</a:t>
          </a:r>
          <a:r>
            <a:rPr lang="en-US" sz="2800" b="1" baseline="0">
              <a:ln>
                <a:noFill/>
              </a:ln>
              <a:solidFill>
                <a:srgbClr val="FF0000"/>
              </a:solidFill>
            </a:rPr>
            <a:t> 17</a:t>
          </a:r>
          <a:endParaRPr lang="en-US" sz="2800" b="1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99172</xdr:colOff>
      <xdr:row>1589</xdr:row>
      <xdr:rowOff>48746</xdr:rowOff>
    </xdr:from>
    <xdr:to>
      <xdr:col>8</xdr:col>
      <xdr:colOff>669551</xdr:colOff>
      <xdr:row>1594</xdr:row>
      <xdr:rowOff>127188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471397" y="292742471"/>
          <a:ext cx="1789579" cy="10309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 b="1">
              <a:ln>
                <a:noFill/>
              </a:ln>
              <a:solidFill>
                <a:srgbClr val="FF0000"/>
              </a:solidFill>
            </a:rPr>
            <a:t>Bldg No.</a:t>
          </a:r>
          <a:r>
            <a:rPr lang="en-US" sz="2800" b="1" baseline="0">
              <a:ln>
                <a:noFill/>
              </a:ln>
              <a:solidFill>
                <a:srgbClr val="FF0000"/>
              </a:solidFill>
            </a:rPr>
            <a:t> 18</a:t>
          </a:r>
          <a:endParaRPr lang="en-US" sz="2800" b="1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344021</xdr:colOff>
      <xdr:row>1588</xdr:row>
      <xdr:rowOff>82363</xdr:rowOff>
    </xdr:from>
    <xdr:to>
      <xdr:col>12</xdr:col>
      <xdr:colOff>22412</xdr:colOff>
      <xdr:row>1593</xdr:row>
      <xdr:rowOff>160805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9507071" y="292585588"/>
          <a:ext cx="1802466" cy="10309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 b="1">
              <a:ln>
                <a:noFill/>
              </a:ln>
              <a:solidFill>
                <a:srgbClr val="FF0000"/>
              </a:solidFill>
            </a:rPr>
            <a:t>Bldg No.</a:t>
          </a:r>
          <a:r>
            <a:rPr lang="en-US" sz="2800" b="1" baseline="0">
              <a:ln>
                <a:noFill/>
              </a:ln>
              <a:solidFill>
                <a:srgbClr val="FF0000"/>
              </a:solidFill>
            </a:rPr>
            <a:t> 19</a:t>
          </a:r>
          <a:endParaRPr lang="en-US" sz="2800" b="1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43143</xdr:colOff>
      <xdr:row>1602</xdr:row>
      <xdr:rowOff>48747</xdr:rowOff>
    </xdr:from>
    <xdr:to>
      <xdr:col>8</xdr:col>
      <xdr:colOff>613522</xdr:colOff>
      <xdr:row>1607</xdr:row>
      <xdr:rowOff>127189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415368" y="295218972"/>
          <a:ext cx="1789579" cy="10309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 b="1">
              <a:ln>
                <a:noFill/>
              </a:ln>
              <a:solidFill>
                <a:srgbClr val="FF0000"/>
              </a:solidFill>
            </a:rPr>
            <a:t>Bldg No.</a:t>
          </a:r>
          <a:r>
            <a:rPr lang="en-US" sz="2800" b="1" baseline="0">
              <a:ln>
                <a:noFill/>
              </a:ln>
              <a:solidFill>
                <a:srgbClr val="FF0000"/>
              </a:solidFill>
            </a:rPr>
            <a:t> 20</a:t>
          </a:r>
          <a:endParaRPr lang="en-US" sz="2800" b="1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950257</xdr:colOff>
      <xdr:row>1683</xdr:row>
      <xdr:rowOff>53340</xdr:rowOff>
    </xdr:from>
    <xdr:to>
      <xdr:col>5</xdr:col>
      <xdr:colOff>1356360</xdr:colOff>
      <xdr:row>1721</xdr:row>
      <xdr:rowOff>152399</xdr:rowOff>
    </xdr:to>
    <xdr:grpSp>
      <xdr:nvGrpSpPr>
        <xdr:cNvPr id="159" name="Group 158">
          <a:extLst>
            <a:ext uri="{FF2B5EF4-FFF2-40B4-BE49-F238E27FC236}">
              <a16:creationId xmlns:a16="http://schemas.microsoft.com/office/drawing/2014/main" id="{241242EB-6122-C7AD-1676-4A7DA9786A1E}"/>
            </a:ext>
          </a:extLst>
        </xdr:cNvPr>
        <xdr:cNvGrpSpPr/>
      </xdr:nvGrpSpPr>
      <xdr:grpSpPr>
        <a:xfrm>
          <a:off x="950257" y="330784200"/>
          <a:ext cx="5854403" cy="7048499"/>
          <a:chOff x="493057" y="330581597"/>
          <a:chExt cx="5661919" cy="6717826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10243" y="334489313"/>
            <a:ext cx="4376209" cy="281011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42873" t="29481" r="22386" b="29010"/>
          <a:stretch/>
        </xdr:blipFill>
        <xdr:spPr>
          <a:xfrm>
            <a:off x="493057" y="330581597"/>
            <a:ext cx="5661919" cy="38076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 rot="20052870">
            <a:off x="2494501" y="332804376"/>
            <a:ext cx="975705" cy="722353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0</xdr:col>
      <xdr:colOff>1235780</xdr:colOff>
      <xdr:row>1637</xdr:row>
      <xdr:rowOff>34066</xdr:rowOff>
    </xdr:from>
    <xdr:to>
      <xdr:col>5</xdr:col>
      <xdr:colOff>1043802</xdr:colOff>
      <xdr:row>1665</xdr:row>
      <xdr:rowOff>100066</xdr:rowOff>
    </xdr:to>
    <xdr:grpSp>
      <xdr:nvGrpSpPr>
        <xdr:cNvPr id="158" name="Group 157">
          <a:extLst>
            <a:ext uri="{FF2B5EF4-FFF2-40B4-BE49-F238E27FC236}">
              <a16:creationId xmlns:a16="http://schemas.microsoft.com/office/drawing/2014/main" id="{A941C30F-1A49-B88D-DD9F-08F68F3F00BD}"/>
            </a:ext>
          </a:extLst>
        </xdr:cNvPr>
        <xdr:cNvGrpSpPr/>
      </xdr:nvGrpSpPr>
      <xdr:grpSpPr>
        <a:xfrm>
          <a:off x="1235780" y="322352446"/>
          <a:ext cx="5256322" cy="5186640"/>
          <a:chOff x="694760" y="322329586"/>
          <a:chExt cx="5256322" cy="5186640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35314" t="21463" r="23977" b="7996"/>
          <a:stretch/>
        </xdr:blipFill>
        <xdr:spPr>
          <a:xfrm>
            <a:off x="694760" y="322329586"/>
            <a:ext cx="5256322" cy="518664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 rot="20257986">
            <a:off x="3002023" y="324112904"/>
            <a:ext cx="956499" cy="619461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8</xdr:col>
      <xdr:colOff>648260</xdr:colOff>
      <xdr:row>1586</xdr:row>
      <xdr:rowOff>169770</xdr:rowOff>
    </xdr:from>
    <xdr:to>
      <xdr:col>9</xdr:col>
      <xdr:colOff>860051</xdr:colOff>
      <xdr:row>1638</xdr:row>
      <xdr:rowOff>57712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8761319" y="306079152"/>
          <a:ext cx="1780614" cy="10309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 b="1" baseline="0">
              <a:ln>
                <a:noFill/>
              </a:ln>
              <a:solidFill>
                <a:srgbClr val="FF0000"/>
              </a:solidFill>
            </a:rPr>
            <a:t>Part I</a:t>
          </a:r>
          <a:endParaRPr lang="en-US" sz="2800" b="1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1566581</xdr:colOff>
      <xdr:row>1452</xdr:row>
      <xdr:rowOff>80681</xdr:rowOff>
    </xdr:from>
    <xdr:to>
      <xdr:col>12</xdr:col>
      <xdr:colOff>119903</xdr:colOff>
      <xdr:row>1457</xdr:row>
      <xdr:rowOff>104213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679640" y="283813622"/>
          <a:ext cx="2240057" cy="10320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800" b="1">
              <a:ln>
                <a:noFill/>
              </a:ln>
              <a:solidFill>
                <a:srgbClr val="FF0000"/>
              </a:solidFill>
            </a:rPr>
            <a:t>Bldg No. 8 &amp;</a:t>
          </a:r>
          <a:r>
            <a:rPr lang="en-US" sz="2800" b="1" baseline="0">
              <a:ln>
                <a:noFill/>
              </a:ln>
              <a:solidFill>
                <a:srgbClr val="FF0000"/>
              </a:solidFill>
            </a:rPr>
            <a:t> 9</a:t>
          </a:r>
          <a:endParaRPr lang="en-US" sz="2800" b="1">
            <a:ln>
              <a:noFill/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133354</xdr:colOff>
      <xdr:row>1592</xdr:row>
      <xdr:rowOff>149700</xdr:rowOff>
    </xdr:from>
    <xdr:to>
      <xdr:col>14</xdr:col>
      <xdr:colOff>313504</xdr:colOff>
      <xdr:row>1626</xdr:row>
      <xdr:rowOff>156210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9086854" y="314238480"/>
          <a:ext cx="5163630" cy="6224430"/>
          <a:chOff x="1223014" y="321909915"/>
          <a:chExt cx="5039805" cy="6483510"/>
        </a:xfrm>
      </xdr:grpSpPr>
      <xdr:pic>
        <xdr:nvPicPr>
          <xdr:cNvPr id="36" name="Picture 35" descr="https://vsjcllp.vsjadon.com/upload/insp-234557-1525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85032" y="325315725"/>
            <a:ext cx="2302493" cy="3068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34557-916.jp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00058" y="325308864"/>
            <a:ext cx="2303389" cy="308456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4557-849.jpg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95160" y="321910331"/>
            <a:ext cx="2467659" cy="33112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1223014" y="321909915"/>
            <a:ext cx="2486397" cy="3313839"/>
            <a:chOff x="2604139" y="318252316"/>
            <a:chExt cx="2321641" cy="3088116"/>
          </a:xfrm>
        </xdr:grpSpPr>
        <xdr:pic>
          <xdr:nvPicPr>
            <xdr:cNvPr id="39" name="Picture 38" descr="https://vsjcllp.vsjadon.com/upload/insp-234557-843.jpg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604139" y="318252316"/>
              <a:ext cx="2321641" cy="308811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4" name="Rectangle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/>
          </xdr:nvSpPr>
          <xdr:spPr>
            <a:xfrm>
              <a:off x="3038474" y="318477900"/>
              <a:ext cx="923925" cy="33851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r>
                <a:rPr lang="en-US" sz="1400" b="1">
                  <a:ln>
                    <a:noFill/>
                  </a:ln>
                  <a:solidFill>
                    <a:sysClr val="windowText" lastClr="000000"/>
                  </a:solidFill>
                </a:rPr>
                <a:t>Bldg 20</a:t>
              </a:r>
            </a:p>
          </xdr:txBody>
        </xdr:sp>
      </xdr:grpSp>
    </xdr:grpSp>
    <xdr:clientData/>
  </xdr:twoCellAnchor>
  <xdr:twoCellAnchor>
    <xdr:from>
      <xdr:col>6</xdr:col>
      <xdr:colOff>565785</xdr:colOff>
      <xdr:row>1539</xdr:row>
      <xdr:rowOff>111647</xdr:rowOff>
    </xdr:from>
    <xdr:to>
      <xdr:col>16</xdr:col>
      <xdr:colOff>167106</xdr:colOff>
      <xdr:row>1586</xdr:row>
      <xdr:rowOff>7965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8300085" y="304370627"/>
          <a:ext cx="7023201" cy="8628838"/>
          <a:chOff x="285750" y="312434492"/>
          <a:chExt cx="6861276" cy="8986978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3080385" y="312449990"/>
            <a:ext cx="3844290" cy="3094210"/>
            <a:chOff x="3270885" y="312508625"/>
            <a:chExt cx="4135281" cy="3102249"/>
          </a:xfrm>
        </xdr:grpSpPr>
        <xdr:pic>
          <xdr:nvPicPr>
            <xdr:cNvPr id="56" name="Picture 55" descr="https://vsjcllp.vsjadon.com/upload/insp-234557-860.jpg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70885" y="312508625"/>
              <a:ext cx="4135281" cy="310224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7" name="Rectangle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>
            <a:xfrm>
              <a:off x="4042330" y="312667720"/>
              <a:ext cx="1269909" cy="33851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r>
                <a:rPr lang="en-US" sz="1400" b="1">
                  <a:ln>
                    <a:noFill/>
                  </a:ln>
                  <a:solidFill>
                    <a:sysClr val="windowText" lastClr="000000"/>
                  </a:solidFill>
                </a:rPr>
                <a:t>Bldg No.</a:t>
              </a:r>
              <a:r>
                <a:rPr lang="en-US" sz="1400" b="1" baseline="0">
                  <a:ln>
                    <a:noFill/>
                  </a:ln>
                  <a:solidFill>
                    <a:sysClr val="windowText" lastClr="000000"/>
                  </a:solidFill>
                </a:rPr>
                <a:t> 10</a:t>
              </a:r>
              <a:endParaRPr lang="en-US" sz="1400" b="1">
                <a:ln>
                  <a:noFill/>
                </a:ln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613458" y="312434492"/>
            <a:ext cx="2472642" cy="3109707"/>
            <a:chOff x="2166033" y="312501168"/>
            <a:chExt cx="1914930" cy="2466996"/>
          </a:xfrm>
        </xdr:grpSpPr>
        <xdr:pic>
          <xdr:nvPicPr>
            <xdr:cNvPr id="44" name="Picture 43" descr="https://vsjcllp.vsjadon.com/upload/insp-234557-862.jpg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66033" y="312501168"/>
              <a:ext cx="1843034" cy="246699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0" name="Rectangle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/>
          </xdr:nvSpPr>
          <xdr:spPr>
            <a:xfrm>
              <a:off x="2653212" y="312509037"/>
              <a:ext cx="680538" cy="33851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r>
                <a:rPr lang="en-US" sz="1400" b="1">
                  <a:ln>
                    <a:noFill/>
                  </a:ln>
                  <a:solidFill>
                    <a:sysClr val="windowText" lastClr="000000"/>
                  </a:solidFill>
                </a:rPr>
                <a:t>Bldg 8</a:t>
              </a:r>
            </a:p>
          </xdr:txBody>
        </xdr:sp>
        <xdr:sp macro="" textlink="">
          <xdr:nvSpPr>
            <xdr:cNvPr id="61" name="Rectangle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/>
          </xdr:nvSpPr>
          <xdr:spPr>
            <a:xfrm>
              <a:off x="3400425" y="313258200"/>
              <a:ext cx="680538" cy="33851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r>
                <a:rPr lang="en-US" sz="1400" b="1">
                  <a:ln>
                    <a:noFill/>
                  </a:ln>
                  <a:solidFill>
                    <a:sysClr val="windowText" lastClr="000000"/>
                  </a:solidFill>
                </a:rPr>
                <a:t>Bldg 9</a:t>
              </a:r>
            </a:p>
          </xdr:txBody>
        </xdr:sp>
      </xdr:grp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/>
        </xdr:nvGrpSpPr>
        <xdr:grpSpPr>
          <a:xfrm>
            <a:off x="285750" y="315620400"/>
            <a:ext cx="6861276" cy="5801070"/>
            <a:chOff x="285750" y="315620400"/>
            <a:chExt cx="6861276" cy="5801070"/>
          </a:xfrm>
        </xdr:grpSpPr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285750" y="315633237"/>
              <a:ext cx="2221498" cy="2958964"/>
              <a:chOff x="237526" y="312499512"/>
              <a:chExt cx="1853675" cy="2466996"/>
            </a:xfrm>
          </xdr:grpSpPr>
          <xdr:pic>
            <xdr:nvPicPr>
              <xdr:cNvPr id="41" name="Picture 40" descr="https://vsjcllp.vsjadon.com/upload/insp-234557-847.jpg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37526" y="312499512"/>
                <a:ext cx="1853675" cy="246699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62" name="Rectangle 61">
                <a:extLst>
                  <a:ext uri="{FF2B5EF4-FFF2-40B4-BE49-F238E27FC236}">
                    <a16:creationId xmlns:a16="http://schemas.microsoft.com/office/drawing/2014/main" id="{00000000-0008-0000-0000-00003E000000}"/>
                  </a:ext>
                </a:extLst>
              </xdr:cNvPr>
              <xdr:cNvSpPr/>
            </xdr:nvSpPr>
            <xdr:spPr>
              <a:xfrm>
                <a:off x="1295400" y="312505725"/>
                <a:ext cx="680538" cy="33851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r>
                  <a:rPr lang="en-US" sz="1400" b="1">
                    <a:ln>
                      <a:noFill/>
                    </a:ln>
                    <a:solidFill>
                      <a:sysClr val="windowText" lastClr="000000"/>
                    </a:solidFill>
                  </a:rPr>
                  <a:t>Bldg 8</a:t>
                </a:r>
              </a:p>
            </xdr:txBody>
          </xdr:sp>
        </xdr:grpSp>
        <xdr:grpSp>
          <xdr:nvGrpSpPr>
            <xdr:cNvPr id="14" name="Group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1511551" y="318699139"/>
              <a:ext cx="2026641" cy="2722331"/>
              <a:chOff x="5445376" y="315001657"/>
              <a:chExt cx="2322169" cy="3095630"/>
            </a:xfrm>
          </xdr:grpSpPr>
          <xdr:pic>
            <xdr:nvPicPr>
              <xdr:cNvPr id="46" name="Picture 45" descr="https://vsjcllp.vsjadon.com/upload/insp-234557-880.jpg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5445376" y="315002458"/>
                <a:ext cx="2322169" cy="3094829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65" name="Rectangle 64">
                <a:extLst>
                  <a:ext uri="{FF2B5EF4-FFF2-40B4-BE49-F238E27FC236}">
                    <a16:creationId xmlns:a16="http://schemas.microsoft.com/office/drawing/2014/main" id="{00000000-0008-0000-0000-000041000000}"/>
                  </a:ext>
                </a:extLst>
              </xdr:cNvPr>
              <xdr:cNvSpPr/>
            </xdr:nvSpPr>
            <xdr:spPr>
              <a:xfrm>
                <a:off x="5831479" y="315001657"/>
                <a:ext cx="883266" cy="338517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r>
                  <a:rPr lang="en-US" sz="1400" b="1">
                    <a:ln>
                      <a:noFill/>
                    </a:ln>
                    <a:solidFill>
                      <a:sysClr val="windowText" lastClr="000000"/>
                    </a:solidFill>
                  </a:rPr>
                  <a:t>Bldg 17</a:t>
                </a:r>
              </a:p>
            </xdr:txBody>
          </xdr:sp>
        </xdr:grpSp>
        <xdr:grpSp>
          <xdr:nvGrpSpPr>
            <xdr:cNvPr id="13" name="Group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4953001" y="315632923"/>
              <a:ext cx="2194025" cy="2968757"/>
              <a:chOff x="2567488" y="315082384"/>
              <a:chExt cx="2303979" cy="3070584"/>
            </a:xfrm>
          </xdr:grpSpPr>
          <xdr:pic>
            <xdr:nvPicPr>
              <xdr:cNvPr id="47" name="Picture 46" descr="https://vsjcllp.vsjadon.com/upload/insp-234557-883.jpg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567488" y="315082384"/>
                <a:ext cx="2303979" cy="3070584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66" name="Rectangle 65">
                <a:extLst>
                  <a:ext uri="{FF2B5EF4-FFF2-40B4-BE49-F238E27FC236}">
                    <a16:creationId xmlns:a16="http://schemas.microsoft.com/office/drawing/2014/main" id="{00000000-0008-0000-0000-000042000000}"/>
                  </a:ext>
                </a:extLst>
              </xdr:cNvPr>
              <xdr:cNvSpPr/>
            </xdr:nvSpPr>
            <xdr:spPr>
              <a:xfrm>
                <a:off x="2590800" y="315106050"/>
                <a:ext cx="876899" cy="33851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r>
                  <a:rPr lang="en-US" sz="1400" b="1">
                    <a:ln>
                      <a:noFill/>
                    </a:ln>
                    <a:solidFill>
                      <a:sysClr val="windowText" lastClr="000000"/>
                    </a:solidFill>
                  </a:rPr>
                  <a:t>Bldg 16</a:t>
                </a:r>
              </a:p>
            </xdr:txBody>
          </xdr:sp>
        </xdr:grpSp>
        <xdr:grpSp>
          <xdr:nvGrpSpPr>
            <xdr:cNvPr id="12" name="Group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2476501" y="315620400"/>
              <a:ext cx="2390774" cy="2990850"/>
              <a:chOff x="95250" y="315010800"/>
              <a:chExt cx="2432815" cy="3114104"/>
            </a:xfrm>
          </xdr:grpSpPr>
          <xdr:pic>
            <xdr:nvPicPr>
              <xdr:cNvPr id="43" name="Picture 42" descr="https://vsjcllp.vsjadon.com/upload/insp-234557-861.jpg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3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14205" y="315028606"/>
                <a:ext cx="2313860" cy="3096298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63" name="Rectangle 62">
                <a:extLst>
                  <a:ext uri="{FF2B5EF4-FFF2-40B4-BE49-F238E27FC236}">
                    <a16:creationId xmlns:a16="http://schemas.microsoft.com/office/drawing/2014/main" id="{00000000-0008-0000-0000-00003F000000}"/>
                  </a:ext>
                </a:extLst>
              </xdr:cNvPr>
              <xdr:cNvSpPr/>
            </xdr:nvSpPr>
            <xdr:spPr>
              <a:xfrm>
                <a:off x="495299" y="315010800"/>
                <a:ext cx="847725" cy="33851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r>
                  <a:rPr lang="en-US" sz="1400" b="1">
                    <a:ln>
                      <a:noFill/>
                    </a:ln>
                    <a:solidFill>
                      <a:sysClr val="windowText" lastClr="000000"/>
                    </a:solidFill>
                  </a:rPr>
                  <a:t>Bldg 14</a:t>
                </a:r>
              </a:p>
            </xdr:txBody>
          </xdr:sp>
          <xdr:sp macro="" textlink="">
            <xdr:nvSpPr>
              <xdr:cNvPr id="67" name="Rectangle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/>
            </xdr:nvSpPr>
            <xdr:spPr>
              <a:xfrm>
                <a:off x="95250" y="315601350"/>
                <a:ext cx="895350" cy="33851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r>
                  <a:rPr lang="en-US" sz="1400" b="1">
                    <a:ln>
                      <a:noFill/>
                    </a:ln>
                    <a:solidFill>
                      <a:sysClr val="windowText" lastClr="000000"/>
                    </a:solidFill>
                  </a:rPr>
                  <a:t>Bldg 15</a:t>
                </a:r>
              </a:p>
            </xdr:txBody>
          </xdr:sp>
        </xdr:grp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3605727" y="318639825"/>
              <a:ext cx="2090223" cy="2778499"/>
              <a:chOff x="214826" y="318154050"/>
              <a:chExt cx="2395023" cy="3159500"/>
            </a:xfrm>
          </xdr:grpSpPr>
          <xdr:pic>
            <xdr:nvPicPr>
              <xdr:cNvPr id="40" name="Picture 39" descr="https://vsjcllp.vsjadon.com/upload/insp-234557-844.jpg">
                <a:extLst>
                  <a:ext uri="{FF2B5EF4-FFF2-40B4-BE49-F238E27FC236}">
                    <a16:creationId xmlns:a16="http://schemas.microsoft.com/office/drawing/2014/main" id="{00000000-0008-0000-0000-000028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14826" y="318219600"/>
                <a:ext cx="2312103" cy="309395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68" name="Rectangle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/>
            </xdr:nvSpPr>
            <xdr:spPr>
              <a:xfrm>
                <a:off x="1704974" y="318611250"/>
                <a:ext cx="904875" cy="33851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r>
                  <a:rPr lang="en-US" sz="1400" b="1">
                    <a:ln>
                      <a:noFill/>
                    </a:ln>
                    <a:solidFill>
                      <a:sysClr val="windowText" lastClr="000000"/>
                    </a:solidFill>
                  </a:rPr>
                  <a:t>Bldg 18</a:t>
                </a:r>
              </a:p>
            </xdr:txBody>
          </xdr:sp>
          <xdr:sp macro="" textlink="">
            <xdr:nvSpPr>
              <xdr:cNvPr id="69" name="Rectangl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SpPr/>
            </xdr:nvSpPr>
            <xdr:spPr>
              <a:xfrm>
                <a:off x="1171575" y="318154050"/>
                <a:ext cx="858136" cy="338518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ctr"/>
                <a:r>
                  <a:rPr lang="en-US" sz="1400" b="1">
                    <a:ln>
                      <a:noFill/>
                    </a:ln>
                    <a:solidFill>
                      <a:sysClr val="windowText" lastClr="000000"/>
                    </a:solidFill>
                  </a:rPr>
                  <a:t>Bldg 19</a:t>
                </a:r>
              </a:p>
            </xdr:txBody>
          </xdr:sp>
        </xdr:grpSp>
      </xdr:grpSp>
    </xdr:grpSp>
    <xdr:clientData/>
  </xdr:twoCellAnchor>
  <xdr:twoCellAnchor>
    <xdr:from>
      <xdr:col>0</xdr:col>
      <xdr:colOff>167640</xdr:colOff>
      <xdr:row>1542</xdr:row>
      <xdr:rowOff>22860</xdr:rowOff>
    </xdr:from>
    <xdr:to>
      <xdr:col>5</xdr:col>
      <xdr:colOff>2087880</xdr:colOff>
      <xdr:row>1578</xdr:row>
      <xdr:rowOff>99060</xdr:rowOff>
    </xdr:to>
    <xdr:grpSp>
      <xdr:nvGrpSpPr>
        <xdr:cNvPr id="111" name="Group 110">
          <a:extLst>
            <a:ext uri="{FF2B5EF4-FFF2-40B4-BE49-F238E27FC236}">
              <a16:creationId xmlns:a16="http://schemas.microsoft.com/office/drawing/2014/main" id="{17BD0DC4-C235-0009-93A4-24577AB26DDF}"/>
            </a:ext>
          </a:extLst>
        </xdr:cNvPr>
        <xdr:cNvGrpSpPr/>
      </xdr:nvGrpSpPr>
      <xdr:grpSpPr>
        <a:xfrm>
          <a:off x="167640" y="304967640"/>
          <a:ext cx="7368540" cy="6659880"/>
          <a:chOff x="13290" y="740288"/>
          <a:chExt cx="6052851" cy="5229922"/>
        </a:xfrm>
      </xdr:grpSpPr>
      <xdr:grpSp>
        <xdr:nvGrpSpPr>
          <xdr:cNvPr id="112" name="Group 111">
            <a:extLst>
              <a:ext uri="{FF2B5EF4-FFF2-40B4-BE49-F238E27FC236}">
                <a16:creationId xmlns:a16="http://schemas.microsoft.com/office/drawing/2014/main" id="{6DA62A0D-F278-EC5B-D501-3AD52A6CE3BC}"/>
              </a:ext>
            </a:extLst>
          </xdr:cNvPr>
          <xdr:cNvGrpSpPr/>
        </xdr:nvGrpSpPr>
        <xdr:grpSpPr>
          <a:xfrm>
            <a:off x="39301" y="740288"/>
            <a:ext cx="6000828" cy="2520000"/>
            <a:chOff x="13290" y="740288"/>
            <a:chExt cx="6000828" cy="2520000"/>
          </a:xfrm>
        </xdr:grpSpPr>
        <xdr:pic>
          <xdr:nvPicPr>
            <xdr:cNvPr id="123" name="Picture 122">
              <a:extLst>
                <a:ext uri="{FF2B5EF4-FFF2-40B4-BE49-F238E27FC236}">
                  <a16:creationId xmlns:a16="http://schemas.microsoft.com/office/drawing/2014/main" id="{F80F9D12-C004-9316-18F3-7A37840D1D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290" y="74028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4" name="Picture 123">
              <a:extLst>
                <a:ext uri="{FF2B5EF4-FFF2-40B4-BE49-F238E27FC236}">
                  <a16:creationId xmlns:a16="http://schemas.microsoft.com/office/drawing/2014/main" id="{2EA34439-9D4B-4A42-BA23-5E573D96DB6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87892" y="74028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5" name="Picture 124">
              <a:extLst>
                <a:ext uri="{FF2B5EF4-FFF2-40B4-BE49-F238E27FC236}">
                  <a16:creationId xmlns:a16="http://schemas.microsoft.com/office/drawing/2014/main" id="{11F300D1-F52C-A230-3BF9-0B7EBF059B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r="40464"/>
            <a:stretch/>
          </xdr:blipFill>
          <xdr:spPr>
            <a:xfrm>
              <a:off x="4162495" y="740288"/>
              <a:ext cx="1851623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26" name="TextBox 31">
              <a:extLst>
                <a:ext uri="{FF2B5EF4-FFF2-40B4-BE49-F238E27FC236}">
                  <a16:creationId xmlns:a16="http://schemas.microsoft.com/office/drawing/2014/main" id="{8A176DD4-C806-7FA4-1AF1-A7B572CB0AE2}"/>
                </a:ext>
              </a:extLst>
            </xdr:cNvPr>
            <xdr:cNvSpPr txBox="1"/>
          </xdr:nvSpPr>
          <xdr:spPr>
            <a:xfrm>
              <a:off x="1558087" y="740288"/>
              <a:ext cx="346570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B8</a:t>
              </a:r>
              <a:endParaRPr lang="en-IN" sz="1200" b="1"/>
            </a:p>
          </xdr:txBody>
        </xdr:sp>
        <xdr:sp macro="" textlink="">
          <xdr:nvSpPr>
            <xdr:cNvPr id="127" name="TextBox 32">
              <a:extLst>
                <a:ext uri="{FF2B5EF4-FFF2-40B4-BE49-F238E27FC236}">
                  <a16:creationId xmlns:a16="http://schemas.microsoft.com/office/drawing/2014/main" id="{2FB4947F-B7C2-1923-2C07-2D3FF79C7D3F}"/>
                </a:ext>
              </a:extLst>
            </xdr:cNvPr>
            <xdr:cNvSpPr txBox="1"/>
          </xdr:nvSpPr>
          <xdr:spPr>
            <a:xfrm>
              <a:off x="3031907" y="1270640"/>
              <a:ext cx="346570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B9</a:t>
              </a:r>
              <a:endParaRPr lang="en-IN" sz="1200" b="1"/>
            </a:p>
          </xdr:txBody>
        </xdr:sp>
        <xdr:sp macro="" textlink="">
          <xdr:nvSpPr>
            <xdr:cNvPr id="128" name="TextBox 33">
              <a:extLst>
                <a:ext uri="{FF2B5EF4-FFF2-40B4-BE49-F238E27FC236}">
                  <a16:creationId xmlns:a16="http://schemas.microsoft.com/office/drawing/2014/main" id="{4978B985-F745-27B3-D723-83388E27043E}"/>
                </a:ext>
              </a:extLst>
            </xdr:cNvPr>
            <xdr:cNvSpPr txBox="1"/>
          </xdr:nvSpPr>
          <xdr:spPr>
            <a:xfrm>
              <a:off x="4897854" y="1404351"/>
              <a:ext cx="42832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B10</a:t>
              </a:r>
              <a:endParaRPr lang="en-IN" sz="1200" b="1"/>
            </a:p>
          </xdr:txBody>
        </xdr:sp>
      </xdr:grpSp>
      <xdr:grpSp>
        <xdr:nvGrpSpPr>
          <xdr:cNvPr id="113" name="Group 112">
            <a:extLst>
              <a:ext uri="{FF2B5EF4-FFF2-40B4-BE49-F238E27FC236}">
                <a16:creationId xmlns:a16="http://schemas.microsoft.com/office/drawing/2014/main" id="{6DB04B7D-E855-4A52-370B-A428C5D24E7F}"/>
              </a:ext>
            </a:extLst>
          </xdr:cNvPr>
          <xdr:cNvGrpSpPr/>
        </xdr:nvGrpSpPr>
        <xdr:grpSpPr>
          <a:xfrm>
            <a:off x="13290" y="3450210"/>
            <a:ext cx="6052851" cy="2520000"/>
            <a:chOff x="-23117" y="3363713"/>
            <a:chExt cx="6052851" cy="2520000"/>
          </a:xfrm>
        </xdr:grpSpPr>
        <xdr:grpSp>
          <xdr:nvGrpSpPr>
            <xdr:cNvPr id="114" name="Group 113">
              <a:extLst>
                <a:ext uri="{FF2B5EF4-FFF2-40B4-BE49-F238E27FC236}">
                  <a16:creationId xmlns:a16="http://schemas.microsoft.com/office/drawing/2014/main" id="{9AE9E21F-6AA6-29A6-5656-C64B146C098E}"/>
                </a:ext>
              </a:extLst>
            </xdr:cNvPr>
            <xdr:cNvGrpSpPr/>
          </xdr:nvGrpSpPr>
          <xdr:grpSpPr>
            <a:xfrm>
              <a:off x="-23117" y="3363713"/>
              <a:ext cx="6052851" cy="2520000"/>
              <a:chOff x="224522" y="3105780"/>
              <a:chExt cx="6052851" cy="2520000"/>
            </a:xfrm>
          </xdr:grpSpPr>
          <xdr:pic>
            <xdr:nvPicPr>
              <xdr:cNvPr id="120" name="Picture 119">
                <a:extLst>
                  <a:ext uri="{FF2B5EF4-FFF2-40B4-BE49-F238E27FC236}">
                    <a16:creationId xmlns:a16="http://schemas.microsoft.com/office/drawing/2014/main" id="{5D105687-5E2F-0C8C-E580-42C173242C3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8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299124" y="3105780"/>
                <a:ext cx="1888031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121" name="Picture 120">
                <a:extLst>
                  <a:ext uri="{FF2B5EF4-FFF2-40B4-BE49-F238E27FC236}">
                    <a16:creationId xmlns:a16="http://schemas.microsoft.com/office/drawing/2014/main" id="{94417A68-2685-8493-8B26-6695B360A93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9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24522" y="3105780"/>
                <a:ext cx="1888031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122" name="Picture 121">
                <a:extLst>
                  <a:ext uri="{FF2B5EF4-FFF2-40B4-BE49-F238E27FC236}">
                    <a16:creationId xmlns:a16="http://schemas.microsoft.com/office/drawing/2014/main" id="{F0B91340-4775-A1C8-B4F3-C8B1481968C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0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4389342" y="3105780"/>
                <a:ext cx="1888031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sp macro="" textlink="">
          <xdr:nvSpPr>
            <xdr:cNvPr id="115" name="TextBox 34">
              <a:extLst>
                <a:ext uri="{FF2B5EF4-FFF2-40B4-BE49-F238E27FC236}">
                  <a16:creationId xmlns:a16="http://schemas.microsoft.com/office/drawing/2014/main" id="{A8605BC1-C176-02B1-CC8E-CA09D0A8A7DB}"/>
                </a:ext>
              </a:extLst>
            </xdr:cNvPr>
            <xdr:cNvSpPr txBox="1"/>
          </xdr:nvSpPr>
          <xdr:spPr>
            <a:xfrm>
              <a:off x="1281285" y="3542228"/>
              <a:ext cx="42832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B14</a:t>
              </a:r>
              <a:endParaRPr lang="en-IN" sz="1200" b="1"/>
            </a:p>
          </xdr:txBody>
        </xdr:sp>
        <xdr:sp macro="" textlink="">
          <xdr:nvSpPr>
            <xdr:cNvPr id="116" name="TextBox 35">
              <a:extLst>
                <a:ext uri="{FF2B5EF4-FFF2-40B4-BE49-F238E27FC236}">
                  <a16:creationId xmlns:a16="http://schemas.microsoft.com/office/drawing/2014/main" id="{973CE9B2-88EA-17A3-1DE4-A4DC0C79BD95}"/>
                </a:ext>
              </a:extLst>
            </xdr:cNvPr>
            <xdr:cNvSpPr txBox="1"/>
          </xdr:nvSpPr>
          <xdr:spPr>
            <a:xfrm>
              <a:off x="4823163" y="3610613"/>
              <a:ext cx="42832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B15</a:t>
              </a:r>
              <a:endParaRPr lang="en-IN" sz="1200" b="1"/>
            </a:p>
          </xdr:txBody>
        </xdr:sp>
        <xdr:sp macro="" textlink="">
          <xdr:nvSpPr>
            <xdr:cNvPr id="117" name="TextBox 36">
              <a:extLst>
                <a:ext uri="{FF2B5EF4-FFF2-40B4-BE49-F238E27FC236}">
                  <a16:creationId xmlns:a16="http://schemas.microsoft.com/office/drawing/2014/main" id="{3EF6BDA0-1E63-86F6-E4DE-7508EFB6AC08}"/>
                </a:ext>
              </a:extLst>
            </xdr:cNvPr>
            <xdr:cNvSpPr txBox="1"/>
          </xdr:nvSpPr>
          <xdr:spPr>
            <a:xfrm>
              <a:off x="5601412" y="4255059"/>
              <a:ext cx="42832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B16</a:t>
              </a:r>
              <a:endParaRPr lang="en-IN" sz="1200" b="1"/>
            </a:p>
          </xdr:txBody>
        </xdr:sp>
        <xdr:sp macro="" textlink="">
          <xdr:nvSpPr>
            <xdr:cNvPr id="118" name="TextBox 37">
              <a:extLst>
                <a:ext uri="{FF2B5EF4-FFF2-40B4-BE49-F238E27FC236}">
                  <a16:creationId xmlns:a16="http://schemas.microsoft.com/office/drawing/2014/main" id="{98AA9D15-0C79-389C-CB6D-A83EE093C8A9}"/>
                </a:ext>
              </a:extLst>
            </xdr:cNvPr>
            <xdr:cNvSpPr txBox="1"/>
          </xdr:nvSpPr>
          <xdr:spPr>
            <a:xfrm>
              <a:off x="2627481" y="3610613"/>
              <a:ext cx="42832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B16</a:t>
              </a:r>
              <a:endParaRPr lang="en-IN" sz="1200" b="1"/>
            </a:p>
          </xdr:txBody>
        </xdr:sp>
        <xdr:sp macro="" textlink="">
          <xdr:nvSpPr>
            <xdr:cNvPr id="119" name="TextBox 38">
              <a:extLst>
                <a:ext uri="{FF2B5EF4-FFF2-40B4-BE49-F238E27FC236}">
                  <a16:creationId xmlns:a16="http://schemas.microsoft.com/office/drawing/2014/main" id="{E5C5CD7A-88C9-7C75-D557-EF61BC6C3D48}"/>
                </a:ext>
              </a:extLst>
            </xdr:cNvPr>
            <xdr:cNvSpPr txBox="1"/>
          </xdr:nvSpPr>
          <xdr:spPr>
            <a:xfrm>
              <a:off x="2491313" y="4264820"/>
              <a:ext cx="42832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B15</a:t>
              </a:r>
              <a:endParaRPr lang="en-IN" sz="1200" b="1"/>
            </a:p>
          </xdr:txBody>
        </xdr:sp>
      </xdr:grpSp>
    </xdr:grpSp>
    <xdr:clientData/>
  </xdr:twoCellAnchor>
  <xdr:twoCellAnchor>
    <xdr:from>
      <xdr:col>0</xdr:col>
      <xdr:colOff>480060</xdr:colOff>
      <xdr:row>1591</xdr:row>
      <xdr:rowOff>38100</xdr:rowOff>
    </xdr:from>
    <xdr:to>
      <xdr:col>5</xdr:col>
      <xdr:colOff>1813560</xdr:colOff>
      <xdr:row>1626</xdr:row>
      <xdr:rowOff>60960</xdr:rowOff>
    </xdr:to>
    <xdr:grpSp>
      <xdr:nvGrpSpPr>
        <xdr:cNvPr id="143" name="Group 142">
          <a:extLst>
            <a:ext uri="{FF2B5EF4-FFF2-40B4-BE49-F238E27FC236}">
              <a16:creationId xmlns:a16="http://schemas.microsoft.com/office/drawing/2014/main" id="{0C82D555-9A51-8A7F-BA11-C3330AE49DBE}"/>
            </a:ext>
          </a:extLst>
        </xdr:cNvPr>
        <xdr:cNvGrpSpPr/>
      </xdr:nvGrpSpPr>
      <xdr:grpSpPr>
        <a:xfrm>
          <a:off x="480060" y="313944000"/>
          <a:ext cx="6781800" cy="6423660"/>
          <a:chOff x="7468146" y="1057603"/>
          <a:chExt cx="6033899" cy="5232240"/>
        </a:xfrm>
      </xdr:grpSpPr>
      <xdr:pic>
        <xdr:nvPicPr>
          <xdr:cNvPr id="144" name="Picture 143">
            <a:extLst>
              <a:ext uri="{FF2B5EF4-FFF2-40B4-BE49-F238E27FC236}">
                <a16:creationId xmlns:a16="http://schemas.microsoft.com/office/drawing/2014/main" id="{811D9BAC-F8AF-59A5-E23D-CDAE57E946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14014" y="1057603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5" name="Picture 144">
            <a:extLst>
              <a:ext uri="{FF2B5EF4-FFF2-40B4-BE49-F238E27FC236}">
                <a16:creationId xmlns:a16="http://schemas.microsoft.com/office/drawing/2014/main" id="{88983768-2EFB-FA02-0845-51BC84777B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39412" y="1057603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46" name="TextBox 40">
            <a:extLst>
              <a:ext uri="{FF2B5EF4-FFF2-40B4-BE49-F238E27FC236}">
                <a16:creationId xmlns:a16="http://schemas.microsoft.com/office/drawing/2014/main" id="{E610CF77-07E6-C0B8-9882-41F1AF8BC4CA}"/>
              </a:ext>
            </a:extLst>
          </xdr:cNvPr>
          <xdr:cNvSpPr txBox="1"/>
        </xdr:nvSpPr>
        <xdr:spPr>
          <a:xfrm>
            <a:off x="10959584" y="1197003"/>
            <a:ext cx="42832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B18</a:t>
            </a:r>
            <a:endParaRPr lang="en-IN" sz="1200" b="1"/>
          </a:p>
        </xdr:txBody>
      </xdr:sp>
      <xdr:sp macro="" textlink="">
        <xdr:nvSpPr>
          <xdr:cNvPr id="147" name="TextBox 41">
            <a:extLst>
              <a:ext uri="{FF2B5EF4-FFF2-40B4-BE49-F238E27FC236}">
                <a16:creationId xmlns:a16="http://schemas.microsoft.com/office/drawing/2014/main" id="{49E0826A-E23F-0122-202C-0464F146E61B}"/>
              </a:ext>
            </a:extLst>
          </xdr:cNvPr>
          <xdr:cNvSpPr txBox="1"/>
        </xdr:nvSpPr>
        <xdr:spPr>
          <a:xfrm>
            <a:off x="12222993" y="1057603"/>
            <a:ext cx="42832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B19</a:t>
            </a:r>
            <a:endParaRPr lang="en-IN" sz="1200" b="1"/>
          </a:p>
        </xdr:txBody>
      </xdr:sp>
      <xdr:sp macro="" textlink="">
        <xdr:nvSpPr>
          <xdr:cNvPr id="148" name="TextBox 42">
            <a:extLst>
              <a:ext uri="{FF2B5EF4-FFF2-40B4-BE49-F238E27FC236}">
                <a16:creationId xmlns:a16="http://schemas.microsoft.com/office/drawing/2014/main" id="{5D559278-0E2C-CF77-4E0E-B4F3B5593A36}"/>
              </a:ext>
            </a:extLst>
          </xdr:cNvPr>
          <xdr:cNvSpPr txBox="1"/>
        </xdr:nvSpPr>
        <xdr:spPr>
          <a:xfrm>
            <a:off x="11990181" y="1571365"/>
            <a:ext cx="42832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B20</a:t>
            </a:r>
            <a:endParaRPr lang="en-IN" sz="1200" b="1"/>
          </a:p>
        </xdr:txBody>
      </xdr:sp>
      <xdr:pic>
        <xdr:nvPicPr>
          <xdr:cNvPr id="149" name="Picture 148">
            <a:extLst>
              <a:ext uri="{FF2B5EF4-FFF2-40B4-BE49-F238E27FC236}">
                <a16:creationId xmlns:a16="http://schemas.microsoft.com/office/drawing/2014/main" id="{66CBCDF2-DE69-3149-71DA-5EE759BB03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53282" y="3769843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0" name="Picture 149">
            <a:extLst>
              <a:ext uri="{FF2B5EF4-FFF2-40B4-BE49-F238E27FC236}">
                <a16:creationId xmlns:a16="http://schemas.microsoft.com/office/drawing/2014/main" id="{3944788E-A205-B65B-2142-CAD258DFB9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614013" y="3769843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1" name="Picture 150">
            <a:extLst>
              <a:ext uri="{FF2B5EF4-FFF2-40B4-BE49-F238E27FC236}">
                <a16:creationId xmlns:a16="http://schemas.microsoft.com/office/drawing/2014/main" id="{CC88C098-D9A2-7FDB-2739-282ADA6080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492552" y="3769843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52" name="TextBox 43">
            <a:extLst>
              <a:ext uri="{FF2B5EF4-FFF2-40B4-BE49-F238E27FC236}">
                <a16:creationId xmlns:a16="http://schemas.microsoft.com/office/drawing/2014/main" id="{7FD0E0FC-2B6C-37A2-F7F6-67876E0BB2E6}"/>
              </a:ext>
            </a:extLst>
          </xdr:cNvPr>
          <xdr:cNvSpPr txBox="1"/>
        </xdr:nvSpPr>
        <xdr:spPr>
          <a:xfrm>
            <a:off x="7517185" y="3957436"/>
            <a:ext cx="42832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B20</a:t>
            </a:r>
            <a:endParaRPr lang="en-IN" sz="1200" b="1"/>
          </a:p>
        </xdr:txBody>
      </xdr:sp>
      <xdr:grpSp>
        <xdr:nvGrpSpPr>
          <xdr:cNvPr id="153" name="Group 152">
            <a:extLst>
              <a:ext uri="{FF2B5EF4-FFF2-40B4-BE49-F238E27FC236}">
                <a16:creationId xmlns:a16="http://schemas.microsoft.com/office/drawing/2014/main" id="{FE13BB04-97AB-FF0C-1127-82FD907C35A7}"/>
              </a:ext>
            </a:extLst>
          </xdr:cNvPr>
          <xdr:cNvGrpSpPr/>
        </xdr:nvGrpSpPr>
        <xdr:grpSpPr>
          <a:xfrm>
            <a:off x="7468146" y="1078810"/>
            <a:ext cx="1888031" cy="2580791"/>
            <a:chOff x="-4524183" y="2714109"/>
            <a:chExt cx="1888031" cy="2580791"/>
          </a:xfrm>
        </xdr:grpSpPr>
        <xdr:pic>
          <xdr:nvPicPr>
            <xdr:cNvPr id="154" name="Picture 153">
              <a:extLst>
                <a:ext uri="{FF2B5EF4-FFF2-40B4-BE49-F238E27FC236}">
                  <a16:creationId xmlns:a16="http://schemas.microsoft.com/office/drawing/2014/main" id="{39322E96-7EE0-2FF7-1D13-C9D0D96083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4524183" y="271410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55" name="TextBox 62">
              <a:extLst>
                <a:ext uri="{FF2B5EF4-FFF2-40B4-BE49-F238E27FC236}">
                  <a16:creationId xmlns:a16="http://schemas.microsoft.com/office/drawing/2014/main" id="{D28CFF41-646B-1799-CBCB-E1D8818C692D}"/>
                </a:ext>
              </a:extLst>
            </xdr:cNvPr>
            <xdr:cNvSpPr txBox="1"/>
          </xdr:nvSpPr>
          <xdr:spPr>
            <a:xfrm>
              <a:off x="-3326065" y="4925568"/>
              <a:ext cx="543739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FF00"/>
                  </a:solidFill>
                </a:rPr>
                <a:t>B17</a:t>
              </a:r>
              <a:endParaRPr lang="en-IN" b="1">
                <a:solidFill>
                  <a:srgbClr val="FFFF00"/>
                </a:solidFill>
              </a:endParaRPr>
            </a:p>
          </xdr:txBody>
        </xdr:sp>
        <xdr:sp macro="" textlink="">
          <xdr:nvSpPr>
            <xdr:cNvPr id="156" name="TextBox 63">
              <a:extLst>
                <a:ext uri="{FF2B5EF4-FFF2-40B4-BE49-F238E27FC236}">
                  <a16:creationId xmlns:a16="http://schemas.microsoft.com/office/drawing/2014/main" id="{24488412-0946-400D-AAA1-C951A77DF3B6}"/>
                </a:ext>
              </a:extLst>
            </xdr:cNvPr>
            <xdr:cNvSpPr txBox="1"/>
          </xdr:nvSpPr>
          <xdr:spPr>
            <a:xfrm>
              <a:off x="-4067802" y="2714109"/>
              <a:ext cx="487634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/>
                <a:t>Part I</a:t>
              </a:r>
              <a:endParaRPr lang="en-IN" sz="1050" b="1"/>
            </a:p>
          </xdr:txBody>
        </xdr:sp>
        <xdr:sp macro="" textlink="">
          <xdr:nvSpPr>
            <xdr:cNvPr id="157" name="TextBox 64">
              <a:extLst>
                <a:ext uri="{FF2B5EF4-FFF2-40B4-BE49-F238E27FC236}">
                  <a16:creationId xmlns:a16="http://schemas.microsoft.com/office/drawing/2014/main" id="{161EDD56-461D-07C0-ECDD-22D6541847A0}"/>
                </a:ext>
              </a:extLst>
            </xdr:cNvPr>
            <xdr:cNvSpPr txBox="1"/>
          </xdr:nvSpPr>
          <xdr:spPr>
            <a:xfrm>
              <a:off x="-4342076" y="3133330"/>
              <a:ext cx="518091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00" b="1"/>
                <a:t>Part II</a:t>
              </a:r>
              <a:endParaRPr lang="en-IN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o.gl/maps/DCiBbPQQkCcNaoQT6" TargetMode="External"/><Relationship Id="rId1" Type="http://schemas.openxmlformats.org/officeDocument/2006/relationships/hyperlink" Target="mailto:vsjc.apf@gmail.com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27"/>
  <sheetViews>
    <sheetView tabSelected="1" view="pageBreakPreview" topLeftCell="A2" zoomScaleNormal="100" zoomScaleSheetLayoutView="100" zoomScalePageLayoutView="115" workbookViewId="0">
      <selection activeCell="I17" sqref="I17"/>
    </sheetView>
  </sheetViews>
  <sheetFormatPr defaultRowHeight="14.4" x14ac:dyDescent="0.3"/>
  <cols>
    <col min="1" max="1" width="18.33203125" style="49" customWidth="1"/>
    <col min="2" max="2" width="16.33203125" customWidth="1"/>
    <col min="3" max="3" width="13.109375" customWidth="1"/>
    <col min="4" max="4" width="17.33203125" customWidth="1"/>
    <col min="5" max="5" width="14.33203125" customWidth="1"/>
    <col min="6" max="6" width="33.33203125" customWidth="1"/>
    <col min="9" max="9" width="23.5546875" customWidth="1"/>
    <col min="10" max="10" width="13.5546875" bestFit="1" customWidth="1"/>
  </cols>
  <sheetData>
    <row r="1" spans="1:12" x14ac:dyDescent="0.3">
      <c r="A1" s="274" t="s">
        <v>0</v>
      </c>
      <c r="B1" s="275"/>
      <c r="C1" s="275"/>
      <c r="D1" s="275"/>
      <c r="E1" s="275"/>
      <c r="F1" s="276"/>
    </row>
    <row r="2" spans="1:12" ht="32.25" customHeight="1" x14ac:dyDescent="0.3">
      <c r="A2" s="111" t="s">
        <v>66</v>
      </c>
      <c r="B2" s="277" t="s">
        <v>400</v>
      </c>
      <c r="C2" s="277"/>
      <c r="D2" s="277"/>
      <c r="E2" s="55" t="s">
        <v>1</v>
      </c>
      <c r="F2" s="112" t="s">
        <v>365</v>
      </c>
      <c r="G2" t="s">
        <v>399</v>
      </c>
    </row>
    <row r="3" spans="1:12" x14ac:dyDescent="0.3">
      <c r="A3" s="278" t="s">
        <v>67</v>
      </c>
      <c r="B3" s="279"/>
      <c r="C3" s="279"/>
      <c r="D3" s="279"/>
      <c r="E3" s="279"/>
      <c r="F3" s="280"/>
    </row>
    <row r="4" spans="1:12" ht="15" customHeight="1" x14ac:dyDescent="0.3">
      <c r="A4" s="281" t="s">
        <v>73</v>
      </c>
      <c r="B4" s="282"/>
      <c r="C4" s="288" t="s">
        <v>244</v>
      </c>
      <c r="D4" s="289"/>
      <c r="E4" s="289"/>
      <c r="F4" s="290"/>
    </row>
    <row r="5" spans="1:12" ht="15" customHeight="1" x14ac:dyDescent="0.3">
      <c r="A5" s="291" t="s">
        <v>68</v>
      </c>
      <c r="B5" s="292"/>
      <c r="C5" s="288" t="s">
        <v>245</v>
      </c>
      <c r="D5" s="289"/>
      <c r="E5" s="289"/>
      <c r="F5" s="290"/>
    </row>
    <row r="6" spans="1:12" ht="15" customHeight="1" x14ac:dyDescent="0.3">
      <c r="A6" s="293" t="s">
        <v>69</v>
      </c>
      <c r="B6" s="294"/>
      <c r="C6" s="295" t="s">
        <v>246</v>
      </c>
      <c r="D6" s="296"/>
      <c r="E6" s="296"/>
      <c r="F6" s="297"/>
    </row>
    <row r="7" spans="1:12" ht="15" customHeight="1" x14ac:dyDescent="0.3">
      <c r="A7" s="293" t="s">
        <v>72</v>
      </c>
      <c r="B7" s="294"/>
      <c r="C7" s="288" t="s">
        <v>247</v>
      </c>
      <c r="D7" s="289"/>
      <c r="E7" s="289"/>
      <c r="F7" s="290"/>
    </row>
    <row r="8" spans="1:12" ht="15" customHeight="1" x14ac:dyDescent="0.3">
      <c r="A8" s="293" t="s">
        <v>70</v>
      </c>
      <c r="B8" s="294"/>
      <c r="C8" s="288"/>
      <c r="D8" s="289"/>
      <c r="E8" s="289"/>
      <c r="F8" s="290"/>
    </row>
    <row r="9" spans="1:12" ht="27.75" customHeight="1" x14ac:dyDescent="0.3">
      <c r="A9" s="293" t="s">
        <v>71</v>
      </c>
      <c r="B9" s="294"/>
      <c r="C9" s="312" t="s">
        <v>373</v>
      </c>
      <c r="D9" s="313"/>
      <c r="E9" s="313"/>
      <c r="F9" s="314"/>
    </row>
    <row r="10" spans="1:12" x14ac:dyDescent="0.3">
      <c r="A10" s="278" t="s">
        <v>74</v>
      </c>
      <c r="B10" s="279"/>
      <c r="C10" s="279"/>
      <c r="D10" s="279"/>
      <c r="E10" s="279"/>
      <c r="F10" s="280"/>
    </row>
    <row r="11" spans="1:12" ht="24" x14ac:dyDescent="0.3">
      <c r="A11" s="113" t="s">
        <v>78</v>
      </c>
      <c r="B11" s="104">
        <v>45894</v>
      </c>
      <c r="C11" s="106" t="s">
        <v>91</v>
      </c>
      <c r="D11" s="107" t="s">
        <v>407</v>
      </c>
      <c r="E11" s="106" t="s">
        <v>279</v>
      </c>
      <c r="F11" s="424">
        <v>45113</v>
      </c>
      <c r="I11" s="93"/>
      <c r="J11" s="93"/>
      <c r="K11" s="93"/>
      <c r="L11" s="93"/>
    </row>
    <row r="12" spans="1:12" x14ac:dyDescent="0.3">
      <c r="A12" s="113" t="s">
        <v>79</v>
      </c>
      <c r="B12" s="104">
        <v>45897</v>
      </c>
      <c r="C12" s="282" t="s">
        <v>92</v>
      </c>
      <c r="D12" s="282"/>
      <c r="E12" s="417" t="s">
        <v>285</v>
      </c>
      <c r="F12" s="418"/>
      <c r="I12" s="323"/>
      <c r="J12" s="323"/>
      <c r="K12" s="93"/>
      <c r="L12" s="93"/>
    </row>
    <row r="13" spans="1:12" x14ac:dyDescent="0.3">
      <c r="A13" s="113" t="s">
        <v>80</v>
      </c>
      <c r="B13" s="104" t="str">
        <f ca="1">TEXT(TODAY(),"DD/MM/YYYY")</f>
        <v>28/08/2025</v>
      </c>
      <c r="C13" s="282" t="s">
        <v>93</v>
      </c>
      <c r="D13" s="282"/>
      <c r="E13" s="417" t="s">
        <v>408</v>
      </c>
      <c r="F13" s="418"/>
      <c r="I13" s="323"/>
      <c r="J13" s="323"/>
      <c r="K13" s="93"/>
      <c r="L13" s="93"/>
    </row>
    <row r="14" spans="1:12" x14ac:dyDescent="0.3">
      <c r="A14" s="285" t="s">
        <v>75</v>
      </c>
      <c r="B14" s="286"/>
      <c r="C14" s="286"/>
      <c r="D14" s="286"/>
      <c r="E14" s="286"/>
      <c r="F14" s="287"/>
    </row>
    <row r="15" spans="1:12" ht="21.75" customHeight="1" x14ac:dyDescent="0.3">
      <c r="A15" s="425" t="s">
        <v>76</v>
      </c>
      <c r="B15" s="426"/>
      <c r="C15" s="233" t="s">
        <v>286</v>
      </c>
      <c r="D15" s="233"/>
      <c r="E15" s="233"/>
      <c r="F15" s="234"/>
    </row>
    <row r="16" spans="1:12" x14ac:dyDescent="0.3">
      <c r="A16" s="285" t="s">
        <v>77</v>
      </c>
      <c r="B16" s="286"/>
      <c r="C16" s="286"/>
      <c r="D16" s="286"/>
      <c r="E16" s="286"/>
      <c r="F16" s="287"/>
    </row>
    <row r="17" spans="1:10" x14ac:dyDescent="0.3">
      <c r="A17" s="114" t="s">
        <v>66</v>
      </c>
      <c r="B17" s="317" t="s">
        <v>287</v>
      </c>
      <c r="C17" s="318"/>
      <c r="D17" s="318"/>
      <c r="E17" s="318"/>
      <c r="F17" s="319"/>
    </row>
    <row r="18" spans="1:10" x14ac:dyDescent="0.3">
      <c r="A18" s="114" t="s">
        <v>85</v>
      </c>
      <c r="B18" s="309" t="s">
        <v>386</v>
      </c>
      <c r="C18" s="310"/>
      <c r="D18" s="310"/>
      <c r="E18" s="310"/>
      <c r="F18" s="311"/>
      <c r="J18" s="51"/>
    </row>
    <row r="19" spans="1:10" x14ac:dyDescent="0.3">
      <c r="A19" s="114" t="s">
        <v>81</v>
      </c>
      <c r="B19" s="301" t="s">
        <v>288</v>
      </c>
      <c r="C19" s="301"/>
      <c r="D19" s="65" t="s">
        <v>250</v>
      </c>
      <c r="E19" s="301" t="s">
        <v>289</v>
      </c>
      <c r="F19" s="302"/>
      <c r="J19" s="51"/>
    </row>
    <row r="20" spans="1:10" x14ac:dyDescent="0.3">
      <c r="A20" s="114" t="s">
        <v>251</v>
      </c>
      <c r="B20" s="301" t="s">
        <v>291</v>
      </c>
      <c r="C20" s="301"/>
      <c r="D20" s="65" t="s">
        <v>86</v>
      </c>
      <c r="E20" s="301" t="s">
        <v>290</v>
      </c>
      <c r="F20" s="302"/>
      <c r="J20" s="51"/>
    </row>
    <row r="21" spans="1:10" x14ac:dyDescent="0.3">
      <c r="A21" s="114" t="s">
        <v>249</v>
      </c>
      <c r="B21" s="301" t="s">
        <v>292</v>
      </c>
      <c r="C21" s="301"/>
      <c r="D21" s="65" t="s">
        <v>87</v>
      </c>
      <c r="E21" s="301" t="s">
        <v>255</v>
      </c>
      <c r="F21" s="302"/>
      <c r="J21" s="51"/>
    </row>
    <row r="22" spans="1:10" x14ac:dyDescent="0.3">
      <c r="A22" s="114" t="s">
        <v>82</v>
      </c>
      <c r="B22" s="301" t="s">
        <v>241</v>
      </c>
      <c r="C22" s="301"/>
      <c r="D22" s="65" t="s">
        <v>88</v>
      </c>
      <c r="E22" s="301" t="s">
        <v>242</v>
      </c>
      <c r="F22" s="302"/>
      <c r="J22" s="51"/>
    </row>
    <row r="23" spans="1:10" x14ac:dyDescent="0.3">
      <c r="A23" s="114" t="s">
        <v>83</v>
      </c>
      <c r="B23" s="301">
        <v>401208</v>
      </c>
      <c r="C23" s="301"/>
      <c r="D23" s="65" t="s">
        <v>89</v>
      </c>
      <c r="E23" s="301" t="s">
        <v>293</v>
      </c>
      <c r="F23" s="302"/>
      <c r="J23" s="51"/>
    </row>
    <row r="24" spans="1:10" x14ac:dyDescent="0.3">
      <c r="A24" s="114" t="s">
        <v>254</v>
      </c>
      <c r="B24" s="328" t="s">
        <v>294</v>
      </c>
      <c r="C24" s="318"/>
      <c r="D24" s="318"/>
      <c r="E24" s="318"/>
      <c r="F24" s="319"/>
      <c r="J24" s="51"/>
    </row>
    <row r="25" spans="1:10" ht="50.25" customHeight="1" x14ac:dyDescent="0.3">
      <c r="A25" s="114" t="s">
        <v>84</v>
      </c>
      <c r="B25" s="316" t="s">
        <v>295</v>
      </c>
      <c r="C25" s="316"/>
      <c r="D25" s="65" t="s">
        <v>90</v>
      </c>
      <c r="E25" s="301" t="s">
        <v>296</v>
      </c>
      <c r="F25" s="302"/>
      <c r="J25" s="51"/>
    </row>
    <row r="26" spans="1:10" x14ac:dyDescent="0.3">
      <c r="A26" s="285" t="s">
        <v>100</v>
      </c>
      <c r="B26" s="286"/>
      <c r="C26" s="286"/>
      <c r="D26" s="286"/>
      <c r="E26" s="286"/>
      <c r="F26" s="287"/>
    </row>
    <row r="27" spans="1:10" x14ac:dyDescent="0.3">
      <c r="A27" s="308"/>
      <c r="B27" s="169"/>
      <c r="C27" s="47" t="s">
        <v>94</v>
      </c>
      <c r="D27" s="47" t="s">
        <v>95</v>
      </c>
      <c r="E27" s="47" t="s">
        <v>96</v>
      </c>
      <c r="F27" s="115" t="s">
        <v>97</v>
      </c>
    </row>
    <row r="28" spans="1:10" ht="30" customHeight="1" x14ac:dyDescent="0.3">
      <c r="A28" s="308" t="s">
        <v>98</v>
      </c>
      <c r="B28" s="169"/>
      <c r="C28" s="105" t="s">
        <v>248</v>
      </c>
      <c r="D28" s="105" t="s">
        <v>248</v>
      </c>
      <c r="E28" s="105" t="s">
        <v>248</v>
      </c>
      <c r="F28" s="116" t="s">
        <v>248</v>
      </c>
      <c r="G28" s="174"/>
      <c r="H28" s="174"/>
    </row>
    <row r="29" spans="1:10" ht="30" customHeight="1" x14ac:dyDescent="0.3">
      <c r="A29" s="308" t="s">
        <v>252</v>
      </c>
      <c r="B29" s="169"/>
      <c r="C29" s="105" t="s">
        <v>297</v>
      </c>
      <c r="D29" s="105" t="s">
        <v>297</v>
      </c>
      <c r="E29" s="105" t="s">
        <v>297</v>
      </c>
      <c r="F29" s="116" t="s">
        <v>297</v>
      </c>
      <c r="G29" s="174"/>
      <c r="H29" s="174"/>
    </row>
    <row r="30" spans="1:10" ht="30" customHeight="1" x14ac:dyDescent="0.3">
      <c r="A30" s="308" t="s">
        <v>99</v>
      </c>
      <c r="B30" s="169"/>
      <c r="C30" s="105" t="s">
        <v>298</v>
      </c>
      <c r="D30" s="105" t="s">
        <v>299</v>
      </c>
      <c r="E30" s="105" t="s">
        <v>298</v>
      </c>
      <c r="F30" s="116" t="s">
        <v>299</v>
      </c>
      <c r="G30" s="174"/>
      <c r="H30" s="174"/>
    </row>
    <row r="31" spans="1:10" x14ac:dyDescent="0.3">
      <c r="A31" s="285" t="s">
        <v>101</v>
      </c>
      <c r="B31" s="286"/>
      <c r="C31" s="286"/>
      <c r="D31" s="286"/>
      <c r="E31" s="286"/>
      <c r="F31" s="287"/>
      <c r="G31" s="174"/>
      <c r="H31" s="174"/>
    </row>
    <row r="32" spans="1:10" x14ac:dyDescent="0.3">
      <c r="A32" s="217" t="s">
        <v>102</v>
      </c>
      <c r="B32" s="218"/>
      <c r="C32" s="303" t="s">
        <v>300</v>
      </c>
      <c r="D32" s="303"/>
      <c r="E32" s="303"/>
      <c r="F32" s="304"/>
      <c r="G32" s="324" t="s">
        <v>253</v>
      </c>
      <c r="H32" s="324"/>
    </row>
    <row r="33" spans="1:9" ht="15" customHeight="1" x14ac:dyDescent="0.3">
      <c r="A33" s="217" t="s">
        <v>103</v>
      </c>
      <c r="B33" s="218"/>
      <c r="C33" s="303" t="s">
        <v>300</v>
      </c>
      <c r="D33" s="303"/>
      <c r="E33" s="303"/>
      <c r="F33" s="304"/>
      <c r="G33" s="324"/>
      <c r="H33" s="324"/>
    </row>
    <row r="34" spans="1:9" ht="15" customHeight="1" x14ac:dyDescent="0.3">
      <c r="A34" s="217" t="s">
        <v>104</v>
      </c>
      <c r="B34" s="218"/>
      <c r="C34" s="303" t="s">
        <v>288</v>
      </c>
      <c r="D34" s="303"/>
      <c r="E34" s="303"/>
      <c r="F34" s="304"/>
      <c r="G34" s="174"/>
      <c r="H34" s="174"/>
    </row>
    <row r="35" spans="1:9" x14ac:dyDescent="0.3">
      <c r="A35" s="217" t="s">
        <v>105</v>
      </c>
      <c r="B35" s="218"/>
      <c r="C35" s="305" t="str">
        <f>IF(AND(E21="Mumbai"),"Developed","Developing")</f>
        <v>Developing</v>
      </c>
      <c r="D35" s="306"/>
      <c r="E35" s="306"/>
      <c r="F35" s="307"/>
      <c r="G35" s="174"/>
      <c r="H35" s="174"/>
    </row>
    <row r="36" spans="1:9" ht="15" customHeight="1" x14ac:dyDescent="0.3">
      <c r="A36" s="217" t="s">
        <v>106</v>
      </c>
      <c r="B36" s="218"/>
      <c r="C36" s="303" t="s">
        <v>256</v>
      </c>
      <c r="D36" s="303"/>
      <c r="E36" s="303"/>
      <c r="F36" s="304"/>
      <c r="G36" s="174"/>
      <c r="H36" s="174"/>
    </row>
    <row r="37" spans="1:9" x14ac:dyDescent="0.3">
      <c r="A37" s="217" t="s">
        <v>107</v>
      </c>
      <c r="B37" s="218"/>
      <c r="C37" s="325">
        <f>E282</f>
        <v>0.75802453886693011</v>
      </c>
      <c r="D37" s="303"/>
      <c r="E37" s="303"/>
      <c r="F37" s="304"/>
      <c r="G37" s="174"/>
      <c r="H37" s="174"/>
    </row>
    <row r="38" spans="1:9" ht="15" customHeight="1" x14ac:dyDescent="0.3">
      <c r="A38" s="217" t="s">
        <v>108</v>
      </c>
      <c r="B38" s="218"/>
      <c r="C38" s="303" t="s">
        <v>257</v>
      </c>
      <c r="D38" s="303"/>
      <c r="E38" s="303"/>
      <c r="F38" s="304"/>
      <c r="G38" s="174"/>
      <c r="H38" s="174"/>
    </row>
    <row r="39" spans="1:9" x14ac:dyDescent="0.3">
      <c r="A39" s="217" t="s">
        <v>109</v>
      </c>
      <c r="B39" s="218"/>
      <c r="C39" s="303" t="s">
        <v>257</v>
      </c>
      <c r="D39" s="303"/>
      <c r="E39" s="303"/>
      <c r="F39" s="304"/>
      <c r="G39" s="174"/>
      <c r="H39" s="174"/>
    </row>
    <row r="40" spans="1:9" x14ac:dyDescent="0.3">
      <c r="A40" s="217" t="s">
        <v>110</v>
      </c>
      <c r="B40" s="218"/>
      <c r="C40" s="303" t="s">
        <v>301</v>
      </c>
      <c r="D40" s="303"/>
      <c r="E40" s="303"/>
      <c r="F40" s="304"/>
      <c r="G40" s="174"/>
      <c r="H40" s="174"/>
    </row>
    <row r="41" spans="1:9" x14ac:dyDescent="0.3">
      <c r="A41" s="285" t="s">
        <v>112</v>
      </c>
      <c r="B41" s="286"/>
      <c r="C41" s="286"/>
      <c r="D41" s="286"/>
      <c r="E41" s="286"/>
      <c r="F41" s="287"/>
      <c r="G41" s="174"/>
      <c r="H41" s="174"/>
    </row>
    <row r="42" spans="1:9" x14ac:dyDescent="0.3">
      <c r="A42" s="226" t="s">
        <v>113</v>
      </c>
      <c r="B42" s="227"/>
      <c r="C42" s="218" t="s">
        <v>111</v>
      </c>
      <c r="D42" s="218"/>
      <c r="E42" s="218"/>
      <c r="F42" s="315"/>
      <c r="G42" s="174"/>
      <c r="H42" s="174"/>
    </row>
    <row r="43" spans="1:9" x14ac:dyDescent="0.3">
      <c r="A43" s="226" t="s">
        <v>114</v>
      </c>
      <c r="B43" s="227"/>
      <c r="C43" s="206">
        <v>1467400</v>
      </c>
      <c r="D43" s="206"/>
      <c r="E43" s="206"/>
      <c r="F43" s="207"/>
      <c r="G43" s="174"/>
      <c r="H43" s="174"/>
    </row>
    <row r="44" spans="1:9" x14ac:dyDescent="0.3">
      <c r="A44" s="226" t="s">
        <v>372</v>
      </c>
      <c r="B44" s="227"/>
      <c r="C44" s="206">
        <v>816269.08</v>
      </c>
      <c r="D44" s="206"/>
      <c r="E44" s="206"/>
      <c r="F44" s="207"/>
      <c r="G44" s="174"/>
      <c r="H44" s="174"/>
    </row>
    <row r="45" spans="1:9" x14ac:dyDescent="0.3">
      <c r="A45" s="226" t="s">
        <v>115</v>
      </c>
      <c r="B45" s="227"/>
      <c r="C45" s="206">
        <f>2118218.25</f>
        <v>2118218.25</v>
      </c>
      <c r="D45" s="206"/>
      <c r="E45" s="206"/>
      <c r="F45" s="207"/>
      <c r="G45" s="336">
        <f>C45/C44</f>
        <v>2.594999984563914</v>
      </c>
      <c r="H45" s="336"/>
      <c r="I45">
        <f>2040672.69/2.5</f>
        <v>816269.076</v>
      </c>
    </row>
    <row r="46" spans="1:9" x14ac:dyDescent="0.3">
      <c r="A46" s="226" t="s">
        <v>116</v>
      </c>
      <c r="B46" s="227"/>
      <c r="C46" s="206">
        <f>17599.25+22602.65+17599.25+17599.25+22602.65+17599.25+25841.74+17599.25+22602.65+25216.01</f>
        <v>206861.94999999998</v>
      </c>
      <c r="D46" s="206"/>
      <c r="E46" s="206"/>
      <c r="F46" s="207"/>
      <c r="G46" s="174"/>
      <c r="H46" s="174"/>
    </row>
    <row r="47" spans="1:9" x14ac:dyDescent="0.3">
      <c r="A47" s="226" t="s">
        <v>117</v>
      </c>
      <c r="B47" s="227"/>
      <c r="C47" s="206">
        <f>407.25+544+282.03+142.14+208.66+553.9+282.03+368.41</f>
        <v>2788.42</v>
      </c>
      <c r="D47" s="206"/>
      <c r="E47" s="206"/>
      <c r="F47" s="207"/>
      <c r="G47" s="174">
        <f>C46+C47</f>
        <v>209650.37</v>
      </c>
      <c r="H47" s="174"/>
    </row>
    <row r="48" spans="1:9" x14ac:dyDescent="0.3">
      <c r="A48" s="226" t="s">
        <v>118</v>
      </c>
      <c r="B48" s="227"/>
      <c r="C48" s="206">
        <v>0</v>
      </c>
      <c r="D48" s="206"/>
      <c r="E48" s="206"/>
      <c r="F48" s="207"/>
      <c r="G48" s="174"/>
      <c r="H48" s="174"/>
    </row>
    <row r="49" spans="1:11" x14ac:dyDescent="0.3">
      <c r="A49" s="226" t="s">
        <v>119</v>
      </c>
      <c r="B49" s="227"/>
      <c r="C49" s="206">
        <v>216097.85</v>
      </c>
      <c r="D49" s="206"/>
      <c r="E49" s="206"/>
      <c r="F49" s="207"/>
      <c r="G49" s="174"/>
      <c r="H49" s="174"/>
    </row>
    <row r="50" spans="1:11" x14ac:dyDescent="0.3">
      <c r="A50" s="226" t="s">
        <v>120</v>
      </c>
      <c r="B50" s="227"/>
      <c r="C50" s="206">
        <v>0</v>
      </c>
      <c r="D50" s="206"/>
      <c r="E50" s="206"/>
      <c r="F50" s="207"/>
      <c r="G50" s="174"/>
      <c r="H50" s="174"/>
    </row>
    <row r="51" spans="1:11" x14ac:dyDescent="0.3">
      <c r="A51" s="298" t="s">
        <v>121</v>
      </c>
      <c r="B51" s="299"/>
      <c r="C51" s="299"/>
      <c r="D51" s="299"/>
      <c r="E51" s="299"/>
      <c r="F51" s="300"/>
      <c r="G51" s="174"/>
      <c r="H51" s="174"/>
    </row>
    <row r="52" spans="1:11" x14ac:dyDescent="0.3">
      <c r="A52" s="217" t="s">
        <v>370</v>
      </c>
      <c r="B52" s="218"/>
      <c r="C52" s="206">
        <v>2.5</v>
      </c>
      <c r="D52" s="206"/>
      <c r="E52" s="206"/>
      <c r="F52" s="207"/>
      <c r="G52" s="174"/>
      <c r="H52" s="174"/>
    </row>
    <row r="53" spans="1:11" x14ac:dyDescent="0.3">
      <c r="A53" s="217" t="s">
        <v>122</v>
      </c>
      <c r="B53" s="218"/>
      <c r="C53" s="206">
        <v>0</v>
      </c>
      <c r="D53" s="206"/>
      <c r="E53" s="206"/>
      <c r="F53" s="207"/>
      <c r="G53" s="174"/>
      <c r="H53" s="174"/>
    </row>
    <row r="54" spans="1:11" x14ac:dyDescent="0.3">
      <c r="A54" s="217" t="s">
        <v>2</v>
      </c>
      <c r="B54" s="218"/>
      <c r="C54" s="206">
        <v>0</v>
      </c>
      <c r="D54" s="206"/>
      <c r="E54" s="206"/>
      <c r="F54" s="207"/>
      <c r="G54" s="174"/>
      <c r="H54" s="174"/>
    </row>
    <row r="55" spans="1:11" x14ac:dyDescent="0.3">
      <c r="A55" s="217" t="s">
        <v>123</v>
      </c>
      <c r="B55" s="218"/>
      <c r="C55" s="206">
        <v>0</v>
      </c>
      <c r="D55" s="206"/>
      <c r="E55" s="206"/>
      <c r="F55" s="207"/>
      <c r="G55" s="174"/>
      <c r="H55" s="174"/>
    </row>
    <row r="56" spans="1:11" ht="24" hidden="1" customHeight="1" x14ac:dyDescent="0.3">
      <c r="A56" s="217" t="s">
        <v>124</v>
      </c>
      <c r="B56" s="218"/>
      <c r="C56" s="206">
        <v>0</v>
      </c>
      <c r="D56" s="206"/>
      <c r="E56" s="206"/>
      <c r="F56" s="207"/>
      <c r="G56" s="174"/>
      <c r="H56" s="174"/>
    </row>
    <row r="57" spans="1:11" ht="24.75" hidden="1" customHeight="1" x14ac:dyDescent="0.3">
      <c r="A57" s="217" t="s">
        <v>125</v>
      </c>
      <c r="B57" s="218"/>
      <c r="C57" s="206">
        <v>0</v>
      </c>
      <c r="D57" s="206"/>
      <c r="E57" s="206"/>
      <c r="F57" s="207"/>
      <c r="G57" s="174"/>
      <c r="H57" s="174"/>
    </row>
    <row r="58" spans="1:11" x14ac:dyDescent="0.3">
      <c r="A58" s="217" t="s">
        <v>126</v>
      </c>
      <c r="B58" s="218"/>
      <c r="C58" s="206">
        <f>SUM(C52:F57)</f>
        <v>2.5</v>
      </c>
      <c r="D58" s="206"/>
      <c r="E58" s="206"/>
      <c r="F58" s="207"/>
      <c r="G58" s="174"/>
      <c r="H58" s="174"/>
    </row>
    <row r="59" spans="1:11" x14ac:dyDescent="0.3">
      <c r="A59" s="217" t="s">
        <v>127</v>
      </c>
      <c r="B59" s="218"/>
      <c r="C59" s="206"/>
      <c r="D59" s="206"/>
      <c r="E59" s="206"/>
      <c r="F59" s="207"/>
      <c r="G59" s="174"/>
      <c r="H59" s="174"/>
    </row>
    <row r="60" spans="1:11" x14ac:dyDescent="0.3">
      <c r="A60" s="223"/>
      <c r="B60" s="224"/>
      <c r="C60" s="224"/>
      <c r="D60" s="224"/>
      <c r="E60" s="224"/>
      <c r="F60" s="225"/>
    </row>
    <row r="61" spans="1:11" x14ac:dyDescent="0.3">
      <c r="A61" s="217" t="s">
        <v>128</v>
      </c>
      <c r="B61" s="218"/>
      <c r="C61" s="219" t="str">
        <f>D115</f>
        <v>Shops = 115
 Flats = 7423</v>
      </c>
      <c r="D61" s="219"/>
      <c r="E61" s="219"/>
      <c r="F61" s="220"/>
      <c r="G61" s="174">
        <f>115+7423</f>
        <v>7538</v>
      </c>
      <c r="H61" s="174"/>
      <c r="I61" s="94">
        <f>115/7538</f>
        <v>1.5256036083841868E-2</v>
      </c>
      <c r="J61" s="101">
        <f>100*I61</f>
        <v>1.5256036083841868</v>
      </c>
      <c r="K61" s="102">
        <f>100-J61</f>
        <v>98.474396391615812</v>
      </c>
    </row>
    <row r="62" spans="1:11" x14ac:dyDescent="0.3">
      <c r="A62" s="217" t="s">
        <v>129</v>
      </c>
      <c r="B62" s="218"/>
      <c r="C62" s="219" t="s">
        <v>387</v>
      </c>
      <c r="D62" s="219"/>
      <c r="E62" s="219"/>
      <c r="F62" s="220"/>
      <c r="G62" s="174"/>
      <c r="H62" s="174"/>
    </row>
    <row r="63" spans="1:11" x14ac:dyDescent="0.3">
      <c r="A63" s="217" t="s">
        <v>130</v>
      </c>
      <c r="B63" s="218"/>
      <c r="C63" s="221" t="s">
        <v>369</v>
      </c>
      <c r="D63" s="221"/>
      <c r="E63" s="221"/>
      <c r="F63" s="222"/>
      <c r="G63" s="174"/>
      <c r="H63" s="174"/>
    </row>
    <row r="64" spans="1:11" x14ac:dyDescent="0.3">
      <c r="A64" s="198" t="s">
        <v>131</v>
      </c>
      <c r="B64" s="199"/>
      <c r="C64" s="199"/>
      <c r="D64" s="199"/>
      <c r="E64" s="199"/>
      <c r="F64" s="200"/>
      <c r="G64" s="174"/>
      <c r="H64" s="174"/>
    </row>
    <row r="65" spans="1:13" ht="39" customHeight="1" x14ac:dyDescent="0.3">
      <c r="A65" s="117"/>
      <c r="B65" s="47" t="s">
        <v>132</v>
      </c>
      <c r="C65" s="47" t="s">
        <v>133</v>
      </c>
      <c r="D65" s="47" t="s">
        <v>138</v>
      </c>
      <c r="E65" s="47" t="s">
        <v>134</v>
      </c>
      <c r="F65" s="115" t="s">
        <v>137</v>
      </c>
      <c r="G65" s="50"/>
      <c r="H65" s="50"/>
      <c r="I65" s="50"/>
      <c r="J65" s="50"/>
      <c r="K65" s="50"/>
      <c r="L65" s="50"/>
      <c r="M65" s="50" t="str">
        <f t="shared" ref="M65" si="0">PROPER(G65)</f>
        <v/>
      </c>
    </row>
    <row r="66" spans="1:13" ht="43.2" x14ac:dyDescent="0.3">
      <c r="A66" s="118" t="s">
        <v>135</v>
      </c>
      <c r="B66" s="105" t="s">
        <v>302</v>
      </c>
      <c r="C66" s="105" t="s">
        <v>304</v>
      </c>
      <c r="D66" s="59" t="s">
        <v>385</v>
      </c>
      <c r="E66" s="59" t="s">
        <v>307</v>
      </c>
      <c r="F66" s="116" t="s">
        <v>309</v>
      </c>
      <c r="G66" s="50"/>
    </row>
    <row r="67" spans="1:13" ht="24" x14ac:dyDescent="0.3">
      <c r="A67" s="118" t="s">
        <v>136</v>
      </c>
      <c r="B67" s="105" t="s">
        <v>303</v>
      </c>
      <c r="C67" s="105" t="s">
        <v>305</v>
      </c>
      <c r="D67" s="105" t="s">
        <v>306</v>
      </c>
      <c r="E67" s="105" t="s">
        <v>308</v>
      </c>
      <c r="F67" s="116" t="s">
        <v>310</v>
      </c>
      <c r="G67" s="50"/>
    </row>
    <row r="68" spans="1:13" x14ac:dyDescent="0.3">
      <c r="A68" s="211" t="s">
        <v>139</v>
      </c>
      <c r="B68" s="212"/>
      <c r="C68" s="212"/>
      <c r="D68" s="212"/>
      <c r="E68" s="212"/>
      <c r="F68" s="213"/>
      <c r="G68" s="50"/>
    </row>
    <row r="69" spans="1:13" ht="24" x14ac:dyDescent="0.3">
      <c r="A69" s="117"/>
      <c r="B69" s="47" t="s">
        <v>140</v>
      </c>
      <c r="C69" s="47" t="s">
        <v>141</v>
      </c>
      <c r="D69" s="47" t="s">
        <v>142</v>
      </c>
      <c r="E69" s="47" t="s">
        <v>143</v>
      </c>
      <c r="F69" s="115" t="s">
        <v>144</v>
      </c>
      <c r="G69" s="50"/>
      <c r="H69" s="50"/>
      <c r="I69" s="50"/>
      <c r="J69" s="50"/>
      <c r="K69" s="50"/>
      <c r="L69" s="50"/>
    </row>
    <row r="70" spans="1:13" x14ac:dyDescent="0.3">
      <c r="A70" s="118" t="s">
        <v>145</v>
      </c>
      <c r="B70" s="59" t="s">
        <v>280</v>
      </c>
      <c r="C70" s="59" t="s">
        <v>243</v>
      </c>
      <c r="D70" s="59" t="s">
        <v>243</v>
      </c>
      <c r="E70" s="59" t="s">
        <v>243</v>
      </c>
      <c r="F70" s="119" t="s">
        <v>243</v>
      </c>
      <c r="G70" s="50"/>
      <c r="H70" s="50"/>
      <c r="I70" s="50"/>
      <c r="J70" s="50"/>
      <c r="K70" s="50"/>
      <c r="L70" s="50"/>
    </row>
    <row r="71" spans="1:13" ht="24" x14ac:dyDescent="0.3">
      <c r="A71" s="117"/>
      <c r="B71" s="47" t="s">
        <v>146</v>
      </c>
      <c r="C71" s="47" t="s">
        <v>147</v>
      </c>
      <c r="D71" s="47" t="s">
        <v>148</v>
      </c>
      <c r="E71" s="47" t="s">
        <v>149</v>
      </c>
      <c r="F71" s="115" t="s">
        <v>150</v>
      </c>
      <c r="G71" s="50"/>
      <c r="H71" s="50"/>
      <c r="I71" s="50"/>
      <c r="J71" s="50"/>
      <c r="K71" s="50"/>
      <c r="L71" s="50"/>
    </row>
    <row r="72" spans="1:13" x14ac:dyDescent="0.3">
      <c r="A72" s="118" t="s">
        <v>145</v>
      </c>
      <c r="B72" s="59" t="s">
        <v>243</v>
      </c>
      <c r="C72" s="59" t="s">
        <v>243</v>
      </c>
      <c r="D72" s="59" t="s">
        <v>243</v>
      </c>
      <c r="E72" s="59" t="s">
        <v>243</v>
      </c>
      <c r="F72" s="119" t="s">
        <v>243</v>
      </c>
      <c r="G72" s="50"/>
      <c r="H72" s="50"/>
      <c r="I72" s="50"/>
      <c r="J72" s="50"/>
      <c r="K72" s="50"/>
      <c r="L72" s="50"/>
    </row>
    <row r="73" spans="1:13" hidden="1" x14ac:dyDescent="0.3">
      <c r="A73" s="120" t="s">
        <v>3</v>
      </c>
      <c r="B73" s="108"/>
      <c r="C73" s="108"/>
      <c r="D73" s="108"/>
      <c r="E73" s="108"/>
      <c r="F73" s="121"/>
      <c r="G73" s="50"/>
      <c r="H73" s="50"/>
      <c r="I73" s="50"/>
      <c r="J73" s="50"/>
      <c r="K73" s="50"/>
      <c r="L73" s="50"/>
    </row>
    <row r="74" spans="1:13" x14ac:dyDescent="0.3">
      <c r="A74" s="117"/>
      <c r="B74" s="47" t="s">
        <v>151</v>
      </c>
      <c r="C74" s="47" t="s">
        <v>152</v>
      </c>
      <c r="D74" s="47" t="s">
        <v>153</v>
      </c>
      <c r="E74" s="47" t="s">
        <v>154</v>
      </c>
      <c r="F74" s="115" t="s">
        <v>155</v>
      </c>
      <c r="G74" s="50"/>
      <c r="H74" s="50"/>
      <c r="I74" s="50"/>
      <c r="J74" s="50"/>
      <c r="K74" s="50"/>
      <c r="L74" s="50"/>
    </row>
    <row r="75" spans="1:13" x14ac:dyDescent="0.3">
      <c r="A75" s="118" t="s">
        <v>145</v>
      </c>
      <c r="B75" s="59" t="s">
        <v>243</v>
      </c>
      <c r="C75" s="59" t="s">
        <v>243</v>
      </c>
      <c r="D75" s="59" t="s">
        <v>257</v>
      </c>
      <c r="E75" s="59" t="s">
        <v>243</v>
      </c>
      <c r="F75" s="119" t="s">
        <v>257</v>
      </c>
      <c r="G75" s="50"/>
      <c r="H75" s="50"/>
      <c r="I75" s="50"/>
      <c r="J75" s="50"/>
      <c r="K75" s="50"/>
      <c r="L75" s="50"/>
    </row>
    <row r="76" spans="1:13" hidden="1" x14ac:dyDescent="0.3">
      <c r="A76" s="120" t="s">
        <v>3</v>
      </c>
      <c r="B76" s="108"/>
      <c r="C76" s="108"/>
      <c r="D76" s="108"/>
      <c r="E76" s="108"/>
      <c r="F76" s="121"/>
      <c r="G76" s="50"/>
    </row>
    <row r="77" spans="1:13" x14ac:dyDescent="0.3">
      <c r="A77" s="329"/>
      <c r="B77" s="330"/>
      <c r="C77" s="330"/>
      <c r="D77" s="330"/>
      <c r="E77" s="330"/>
      <c r="F77" s="331"/>
      <c r="G77" s="50"/>
    </row>
    <row r="78" spans="1:13" ht="36.75" customHeight="1" x14ac:dyDescent="0.3">
      <c r="A78" s="120" t="s">
        <v>156</v>
      </c>
      <c r="B78" s="214" t="s">
        <v>311</v>
      </c>
      <c r="C78" s="215"/>
      <c r="D78" s="215"/>
      <c r="E78" s="215"/>
      <c r="F78" s="216"/>
      <c r="G78" s="50"/>
    </row>
    <row r="79" spans="1:13" x14ac:dyDescent="0.3">
      <c r="A79" s="198" t="s">
        <v>157</v>
      </c>
      <c r="B79" s="199"/>
      <c r="C79" s="199"/>
      <c r="D79" s="199"/>
      <c r="E79" s="199"/>
      <c r="F79" s="200"/>
      <c r="G79" s="50"/>
    </row>
    <row r="80" spans="1:13" ht="24" x14ac:dyDescent="0.3">
      <c r="A80" s="118" t="s">
        <v>169</v>
      </c>
      <c r="B80" s="283" t="str">
        <f>C32</f>
        <v>Vasai-Virar City Municipal Corporation</v>
      </c>
      <c r="C80" s="283"/>
      <c r="D80" s="283"/>
      <c r="E80" s="283"/>
      <c r="F80" s="284"/>
      <c r="G80" s="50"/>
    </row>
    <row r="81" spans="1:12" ht="31.5" customHeight="1" x14ac:dyDescent="0.3">
      <c r="A81" s="118" t="s">
        <v>158</v>
      </c>
      <c r="B81" s="47" t="s">
        <v>170</v>
      </c>
      <c r="C81" s="47" t="s">
        <v>171</v>
      </c>
      <c r="D81" s="208" t="s">
        <v>172</v>
      </c>
      <c r="E81" s="209"/>
      <c r="F81" s="210"/>
      <c r="G81" s="50"/>
      <c r="H81" s="50"/>
      <c r="I81" s="50"/>
      <c r="J81" s="174"/>
      <c r="K81" s="174"/>
      <c r="L81" s="174"/>
    </row>
    <row r="82" spans="1:12" ht="31.5" customHeight="1" x14ac:dyDescent="0.3">
      <c r="A82" s="118" t="s">
        <v>159</v>
      </c>
      <c r="B82" s="109" t="s">
        <v>313</v>
      </c>
      <c r="C82" s="109" t="s">
        <v>314</v>
      </c>
      <c r="D82" s="191" t="s">
        <v>312</v>
      </c>
      <c r="E82" s="192"/>
      <c r="F82" s="193"/>
      <c r="G82" s="50"/>
    </row>
    <row r="83" spans="1:12" ht="31.5" customHeight="1" x14ac:dyDescent="0.3">
      <c r="A83" s="118" t="s">
        <v>160</v>
      </c>
      <c r="B83" s="109" t="s">
        <v>313</v>
      </c>
      <c r="C83" s="109" t="s">
        <v>314</v>
      </c>
      <c r="D83" s="191" t="s">
        <v>312</v>
      </c>
      <c r="E83" s="192"/>
      <c r="F83" s="193"/>
      <c r="G83" s="50"/>
    </row>
    <row r="84" spans="1:12" ht="29.1" customHeight="1" x14ac:dyDescent="0.3">
      <c r="A84" s="332" t="s">
        <v>161</v>
      </c>
      <c r="B84" s="334" t="s">
        <v>313</v>
      </c>
      <c r="C84" s="334" t="s">
        <v>314</v>
      </c>
      <c r="D84" s="191" t="s">
        <v>315</v>
      </c>
      <c r="E84" s="192"/>
      <c r="F84" s="193"/>
      <c r="G84" s="50"/>
    </row>
    <row r="85" spans="1:12" ht="51" customHeight="1" x14ac:dyDescent="0.3">
      <c r="A85" s="333"/>
      <c r="B85" s="335"/>
      <c r="C85" s="335"/>
      <c r="D85" s="191" t="s">
        <v>316</v>
      </c>
      <c r="E85" s="192"/>
      <c r="F85" s="193"/>
      <c r="G85" s="50"/>
    </row>
    <row r="86" spans="1:12" ht="54" customHeight="1" x14ac:dyDescent="0.3">
      <c r="A86" s="118" t="s">
        <v>162</v>
      </c>
      <c r="B86" s="109" t="s">
        <v>371</v>
      </c>
      <c r="C86" s="109" t="s">
        <v>248</v>
      </c>
      <c r="D86" s="188" t="s">
        <v>248</v>
      </c>
      <c r="E86" s="189"/>
      <c r="F86" s="190"/>
      <c r="G86" s="50"/>
    </row>
    <row r="87" spans="1:12" ht="35.4" customHeight="1" x14ac:dyDescent="0.3">
      <c r="A87" s="118" t="s">
        <v>163</v>
      </c>
      <c r="B87" s="109" t="s">
        <v>371</v>
      </c>
      <c r="C87" s="109" t="s">
        <v>248</v>
      </c>
      <c r="D87" s="188" t="s">
        <v>248</v>
      </c>
      <c r="E87" s="189"/>
      <c r="F87" s="190"/>
      <c r="G87" s="50"/>
    </row>
    <row r="88" spans="1:12" ht="29.1" customHeight="1" x14ac:dyDescent="0.3">
      <c r="A88" s="118" t="s">
        <v>164</v>
      </c>
      <c r="B88" s="109" t="s">
        <v>371</v>
      </c>
      <c r="C88" s="109" t="s">
        <v>248</v>
      </c>
      <c r="D88" s="188" t="s">
        <v>248</v>
      </c>
      <c r="E88" s="189"/>
      <c r="F88" s="190"/>
      <c r="G88" s="50"/>
    </row>
    <row r="89" spans="1:12" ht="24" x14ac:dyDescent="0.3">
      <c r="A89" s="118" t="s">
        <v>165</v>
      </c>
      <c r="B89" s="109" t="s">
        <v>371</v>
      </c>
      <c r="C89" s="109" t="s">
        <v>248</v>
      </c>
      <c r="D89" s="188" t="s">
        <v>248</v>
      </c>
      <c r="E89" s="189"/>
      <c r="F89" s="190"/>
      <c r="G89" s="50"/>
    </row>
    <row r="90" spans="1:12" ht="94.5" customHeight="1" x14ac:dyDescent="0.3">
      <c r="A90" s="118" t="s">
        <v>258</v>
      </c>
      <c r="B90" s="109" t="s">
        <v>313</v>
      </c>
      <c r="C90" s="109" t="s">
        <v>382</v>
      </c>
      <c r="D90" s="188" t="s">
        <v>319</v>
      </c>
      <c r="E90" s="189"/>
      <c r="F90" s="190"/>
      <c r="G90" s="50"/>
    </row>
    <row r="91" spans="1:12" ht="78" customHeight="1" x14ac:dyDescent="0.3">
      <c r="A91" s="118" t="s">
        <v>259</v>
      </c>
      <c r="B91" s="109" t="s">
        <v>313</v>
      </c>
      <c r="C91" s="109" t="s">
        <v>383</v>
      </c>
      <c r="D91" s="188" t="s">
        <v>317</v>
      </c>
      <c r="E91" s="189"/>
      <c r="F91" s="190"/>
      <c r="G91" s="50"/>
    </row>
    <row r="92" spans="1:12" ht="72.75" customHeight="1" x14ac:dyDescent="0.3">
      <c r="A92" s="118" t="s">
        <v>260</v>
      </c>
      <c r="B92" s="109" t="s">
        <v>313</v>
      </c>
      <c r="C92" s="109" t="s">
        <v>384</v>
      </c>
      <c r="D92" s="188" t="s">
        <v>318</v>
      </c>
      <c r="E92" s="189"/>
      <c r="F92" s="190"/>
      <c r="G92" s="50"/>
    </row>
    <row r="93" spans="1:12" ht="31.5" customHeight="1" x14ac:dyDescent="0.3">
      <c r="A93" s="118" t="s">
        <v>166</v>
      </c>
      <c r="B93" s="109" t="s">
        <v>313</v>
      </c>
      <c r="C93" s="109" t="s">
        <v>248</v>
      </c>
      <c r="D93" s="188" t="s">
        <v>320</v>
      </c>
      <c r="E93" s="189"/>
      <c r="F93" s="190"/>
      <c r="G93" s="50"/>
    </row>
    <row r="94" spans="1:12" ht="36" hidden="1" customHeight="1" x14ac:dyDescent="0.3">
      <c r="A94" s="118" t="s">
        <v>167</v>
      </c>
      <c r="B94" s="109"/>
      <c r="C94" s="109"/>
      <c r="D94" s="191"/>
      <c r="E94" s="192"/>
      <c r="F94" s="193"/>
      <c r="G94" s="50"/>
    </row>
    <row r="95" spans="1:12" ht="24" x14ac:dyDescent="0.3">
      <c r="A95" s="120" t="s">
        <v>168</v>
      </c>
      <c r="B95" s="196"/>
      <c r="C95" s="196"/>
      <c r="D95" s="196"/>
      <c r="E95" s="196"/>
      <c r="F95" s="197"/>
      <c r="G95" s="50"/>
    </row>
    <row r="96" spans="1:12" x14ac:dyDescent="0.3">
      <c r="A96" s="198" t="s">
        <v>173</v>
      </c>
      <c r="B96" s="199"/>
      <c r="C96" s="199"/>
      <c r="D96" s="199"/>
      <c r="E96" s="199"/>
      <c r="F96" s="200"/>
      <c r="G96" s="50"/>
      <c r="I96" s="50"/>
    </row>
    <row r="97" spans="1:12" ht="36" x14ac:dyDescent="0.3">
      <c r="A97" s="118" t="s">
        <v>174</v>
      </c>
      <c r="B97" s="96" t="s">
        <v>243</v>
      </c>
      <c r="C97" s="97" t="s">
        <v>178</v>
      </c>
      <c r="D97" s="96" t="s">
        <v>261</v>
      </c>
      <c r="E97" s="97" t="s">
        <v>175</v>
      </c>
      <c r="F97" s="122" t="s">
        <v>321</v>
      </c>
      <c r="G97" s="50"/>
      <c r="J97" s="50"/>
    </row>
    <row r="98" spans="1:12" ht="24" x14ac:dyDescent="0.3">
      <c r="A98" s="120" t="s">
        <v>176</v>
      </c>
      <c r="B98" s="205">
        <v>43811</v>
      </c>
      <c r="C98" s="206"/>
      <c r="D98" s="45" t="s">
        <v>179</v>
      </c>
      <c r="E98" s="205">
        <v>46387</v>
      </c>
      <c r="F98" s="207"/>
      <c r="G98" s="50"/>
      <c r="J98" s="50"/>
    </row>
    <row r="99" spans="1:12" ht="24" x14ac:dyDescent="0.3">
      <c r="A99" s="120" t="s">
        <v>177</v>
      </c>
      <c r="B99" s="201" t="s">
        <v>257</v>
      </c>
      <c r="C99" s="202"/>
      <c r="D99" s="95" t="s">
        <v>180</v>
      </c>
      <c r="E99" s="201" t="s">
        <v>248</v>
      </c>
      <c r="F99" s="203"/>
      <c r="G99" s="50"/>
      <c r="J99" s="50"/>
    </row>
    <row r="100" spans="1:12" x14ac:dyDescent="0.3">
      <c r="A100" s="198" t="s">
        <v>181</v>
      </c>
      <c r="B100" s="199"/>
      <c r="C100" s="199"/>
      <c r="D100" s="199"/>
      <c r="E100" s="199"/>
      <c r="F100" s="200"/>
      <c r="G100" s="50"/>
      <c r="I100" s="50"/>
    </row>
    <row r="101" spans="1:12" x14ac:dyDescent="0.3">
      <c r="A101" s="120" t="s">
        <v>188</v>
      </c>
      <c r="B101" s="195" t="s">
        <v>262</v>
      </c>
      <c r="C101" s="195"/>
      <c r="D101" s="45" t="s">
        <v>182</v>
      </c>
      <c r="E101" s="187" t="s">
        <v>257</v>
      </c>
      <c r="F101" s="194"/>
      <c r="G101" s="50"/>
      <c r="J101" s="50"/>
    </row>
    <row r="102" spans="1:12" ht="24" x14ac:dyDescent="0.3">
      <c r="A102" s="120" t="s">
        <v>189</v>
      </c>
      <c r="B102" s="187" t="s">
        <v>243</v>
      </c>
      <c r="C102" s="187"/>
      <c r="D102" s="95" t="s">
        <v>183</v>
      </c>
      <c r="E102" s="195" t="s">
        <v>262</v>
      </c>
      <c r="F102" s="204"/>
      <c r="G102" s="50"/>
      <c r="J102" s="50"/>
    </row>
    <row r="103" spans="1:12" ht="36" x14ac:dyDescent="0.3">
      <c r="A103" s="120" t="s">
        <v>190</v>
      </c>
      <c r="B103" s="187" t="s">
        <v>257</v>
      </c>
      <c r="C103" s="187"/>
      <c r="D103" s="95" t="s">
        <v>184</v>
      </c>
      <c r="E103" s="187" t="s">
        <v>257</v>
      </c>
      <c r="F103" s="194"/>
      <c r="G103" s="50"/>
      <c r="J103" s="50"/>
    </row>
    <row r="104" spans="1:12" ht="24" customHeight="1" x14ac:dyDescent="0.3">
      <c r="A104" s="120" t="s">
        <v>191</v>
      </c>
      <c r="B104" s="187" t="s">
        <v>257</v>
      </c>
      <c r="C104" s="187"/>
      <c r="D104" s="95" t="s">
        <v>185</v>
      </c>
      <c r="E104" s="187" t="s">
        <v>257</v>
      </c>
      <c r="F104" s="194"/>
      <c r="G104" s="50"/>
      <c r="J104" s="50"/>
    </row>
    <row r="105" spans="1:12" ht="36" x14ac:dyDescent="0.3">
      <c r="A105" s="120" t="s">
        <v>192</v>
      </c>
      <c r="B105" s="187" t="s">
        <v>257</v>
      </c>
      <c r="C105" s="187"/>
      <c r="D105" s="95" t="s">
        <v>186</v>
      </c>
      <c r="E105" s="187" t="s">
        <v>257</v>
      </c>
      <c r="F105" s="194"/>
      <c r="G105" s="50"/>
      <c r="J105" s="50"/>
    </row>
    <row r="106" spans="1:12" x14ac:dyDescent="0.3">
      <c r="A106" s="120" t="s">
        <v>193</v>
      </c>
      <c r="B106" s="187" t="s">
        <v>257</v>
      </c>
      <c r="C106" s="187"/>
      <c r="D106" s="95" t="s">
        <v>187</v>
      </c>
      <c r="E106" s="187" t="s">
        <v>257</v>
      </c>
      <c r="F106" s="194"/>
      <c r="G106" s="50"/>
      <c r="J106" s="50"/>
    </row>
    <row r="107" spans="1:12" x14ac:dyDescent="0.3">
      <c r="A107" s="217" t="s">
        <v>194</v>
      </c>
      <c r="B107" s="218"/>
      <c r="C107" s="228" t="s">
        <v>257</v>
      </c>
      <c r="D107" s="228"/>
      <c r="E107" s="228"/>
      <c r="F107" s="229"/>
      <c r="G107" s="174"/>
      <c r="H107" s="174"/>
    </row>
    <row r="108" spans="1:12" ht="32.25" customHeight="1" x14ac:dyDescent="0.3">
      <c r="A108" s="217" t="s">
        <v>195</v>
      </c>
      <c r="B108" s="218"/>
      <c r="C108" s="228" t="s">
        <v>257</v>
      </c>
      <c r="D108" s="228"/>
      <c r="E108" s="228"/>
      <c r="F108" s="229"/>
      <c r="G108" s="174"/>
      <c r="H108" s="174"/>
    </row>
    <row r="109" spans="1:12" x14ac:dyDescent="0.3">
      <c r="A109" s="198" t="s">
        <v>196</v>
      </c>
      <c r="B109" s="199"/>
      <c r="C109" s="199"/>
      <c r="D109" s="199"/>
      <c r="E109" s="199"/>
      <c r="F109" s="200"/>
      <c r="G109" s="50"/>
    </row>
    <row r="110" spans="1:12" ht="36" customHeight="1" x14ac:dyDescent="0.3">
      <c r="A110" s="320" t="s">
        <v>198</v>
      </c>
      <c r="B110" s="321"/>
      <c r="C110" s="321"/>
      <c r="D110" s="321"/>
      <c r="E110" s="321" t="s">
        <v>197</v>
      </c>
      <c r="F110" s="322"/>
      <c r="G110" s="50"/>
      <c r="H110" s="50"/>
      <c r="I110" s="50"/>
      <c r="J110" s="50"/>
      <c r="K110" s="50"/>
      <c r="L110" s="50"/>
    </row>
    <row r="111" spans="1:12" x14ac:dyDescent="0.3">
      <c r="A111" s="232" t="s">
        <v>248</v>
      </c>
      <c r="B111" s="233"/>
      <c r="C111" s="233"/>
      <c r="D111" s="233"/>
      <c r="E111" s="187" t="s">
        <v>257</v>
      </c>
      <c r="F111" s="194"/>
    </row>
    <row r="112" spans="1:12" hidden="1" x14ac:dyDescent="0.3">
      <c r="A112" s="232"/>
      <c r="B112" s="233"/>
      <c r="C112" s="233"/>
      <c r="D112" s="233"/>
      <c r="E112" s="233"/>
      <c r="F112" s="234"/>
    </row>
    <row r="113" spans="1:12" ht="15" thickBot="1" x14ac:dyDescent="0.35">
      <c r="A113" s="235"/>
      <c r="B113" s="236"/>
      <c r="C113" s="236"/>
      <c r="D113" s="236"/>
      <c r="E113" s="236"/>
      <c r="F113" s="237"/>
    </row>
    <row r="114" spans="1:12" ht="36" x14ac:dyDescent="0.3">
      <c r="A114" s="60" t="s">
        <v>199</v>
      </c>
      <c r="B114" s="61" t="s">
        <v>200</v>
      </c>
      <c r="C114" s="61" t="s">
        <v>201</v>
      </c>
      <c r="D114" s="61" t="s">
        <v>202</v>
      </c>
      <c r="E114" s="61" t="s">
        <v>203</v>
      </c>
      <c r="F114" s="62" t="s">
        <v>204</v>
      </c>
      <c r="G114" s="50"/>
      <c r="H114" s="50"/>
      <c r="I114" s="50"/>
      <c r="J114" s="50"/>
      <c r="K114" s="50"/>
      <c r="L114" s="50"/>
    </row>
    <row r="115" spans="1:12" ht="28.8" x14ac:dyDescent="0.3">
      <c r="A115" s="117">
        <v>1</v>
      </c>
      <c r="B115" s="105">
        <v>10</v>
      </c>
      <c r="C115" s="63" t="s">
        <v>366</v>
      </c>
      <c r="D115" s="100" t="s">
        <v>367</v>
      </c>
      <c r="E115" s="63" t="s">
        <v>366</v>
      </c>
      <c r="F115" s="123">
        <v>7538</v>
      </c>
    </row>
    <row r="116" spans="1:12" x14ac:dyDescent="0.3">
      <c r="A116" s="230" t="s">
        <v>263</v>
      </c>
      <c r="B116" s="231"/>
      <c r="C116" s="228" t="s">
        <v>368</v>
      </c>
      <c r="D116" s="228"/>
      <c r="E116" s="228"/>
      <c r="F116" s="229"/>
      <c r="G116" s="174"/>
      <c r="H116" s="174"/>
    </row>
    <row r="117" spans="1:12" x14ac:dyDescent="0.3">
      <c r="A117" s="384" t="s">
        <v>264</v>
      </c>
      <c r="B117" s="385"/>
      <c r="C117" s="326" t="s">
        <v>368</v>
      </c>
      <c r="D117" s="326"/>
      <c r="E117" s="326"/>
      <c r="F117" s="327"/>
      <c r="G117" s="174"/>
      <c r="H117" s="174"/>
    </row>
    <row r="118" spans="1:12" hidden="1" x14ac:dyDescent="0.3">
      <c r="A118" s="386"/>
      <c r="B118" s="387"/>
      <c r="C118" s="381"/>
      <c r="D118" s="382"/>
      <c r="E118" s="382"/>
      <c r="F118" s="383"/>
      <c r="G118" s="174"/>
      <c r="H118" s="174"/>
    </row>
    <row r="119" spans="1:12" hidden="1" x14ac:dyDescent="0.3">
      <c r="A119" s="388"/>
      <c r="B119" s="389"/>
      <c r="C119" s="238"/>
      <c r="D119" s="239"/>
      <c r="E119" s="239"/>
      <c r="F119" s="240"/>
      <c r="G119" s="174"/>
      <c r="H119" s="174"/>
    </row>
    <row r="120" spans="1:12" ht="35.25" customHeight="1" x14ac:dyDescent="0.3">
      <c r="A120" s="230" t="s">
        <v>205</v>
      </c>
      <c r="B120" s="231"/>
      <c r="C120" s="419" t="s">
        <v>243</v>
      </c>
      <c r="D120" s="419"/>
      <c r="E120" s="419"/>
      <c r="F120" s="420"/>
      <c r="G120" s="174"/>
      <c r="H120" s="174"/>
    </row>
    <row r="121" spans="1:12" x14ac:dyDescent="0.3">
      <c r="A121" s="217" t="s">
        <v>206</v>
      </c>
      <c r="B121" s="218"/>
      <c r="C121" s="419" t="s">
        <v>243</v>
      </c>
      <c r="D121" s="419"/>
      <c r="E121" s="419"/>
      <c r="F121" s="420"/>
      <c r="G121" s="174"/>
      <c r="H121" s="174"/>
    </row>
    <row r="122" spans="1:12" ht="26.1" customHeight="1" x14ac:dyDescent="0.3">
      <c r="A122" s="217" t="s">
        <v>207</v>
      </c>
      <c r="B122" s="218"/>
      <c r="C122" s="365"/>
      <c r="D122" s="365"/>
      <c r="E122" s="365"/>
      <c r="F122" s="366"/>
      <c r="G122" s="174"/>
      <c r="H122" s="174"/>
    </row>
    <row r="123" spans="1:12" ht="30.75" customHeight="1" x14ac:dyDescent="0.3">
      <c r="A123" s="217" t="s">
        <v>208</v>
      </c>
      <c r="B123" s="218"/>
      <c r="C123" s="367" t="s">
        <v>388</v>
      </c>
      <c r="D123" s="367"/>
      <c r="E123" s="367"/>
      <c r="F123" s="368"/>
      <c r="G123" s="175" t="s">
        <v>374</v>
      </c>
      <c r="H123" s="175"/>
    </row>
    <row r="124" spans="1:12" ht="15" thickBot="1" x14ac:dyDescent="0.35">
      <c r="A124" s="369" t="s">
        <v>4</v>
      </c>
      <c r="B124" s="370"/>
      <c r="C124" s="370"/>
      <c r="D124" s="370"/>
      <c r="E124" s="370"/>
      <c r="F124" s="371"/>
      <c r="G124" s="1"/>
      <c r="H124" s="1"/>
    </row>
    <row r="125" spans="1:12" x14ac:dyDescent="0.3">
      <c r="A125" s="241" t="s">
        <v>401</v>
      </c>
      <c r="B125" s="242"/>
      <c r="C125" s="66" t="s">
        <v>5</v>
      </c>
      <c r="D125" s="66" t="s">
        <v>6</v>
      </c>
      <c r="E125" s="66" t="s">
        <v>7</v>
      </c>
      <c r="F125" s="67" t="s">
        <v>8</v>
      </c>
      <c r="G125" s="2" t="str">
        <f>(IF(E129&gt;99%,"All work completed. Please provide OC.",IF(E129&gt;89.8%,"Plinth, RCC, Brick, Plaster, Flooring, Painting work Completed. Finishing work is in process.",IF(E130&lt;94%,(IF(C129=0,"Work not yet Started.",IF(D129=25%,"Piling work in process",IF(D129=50%,"Excavation work in process",IF(D129=100%," ","")))&amp;(IF(C130=0%,"",IF(C130=H131,"Excavation work is process",IF(C130=H132,"Foudation Work in process",IF(C130=H133,"1st Basement Completed",IF(C130=H134,"1st &amp; 2nd Basement Completed",IF(C130=H135,"1st to 3rd Basement Completed",IF(C130=H136,"1st to 4th Basement Completed",IF(C130=H137,"Plinth work is process",IF(C130=H138,"Plinth work completed","0")))))))))))&amp;(IF(C131=(D126+E126+F126),", RCC Slab",IF(C131&gt;0,", RCC upto "&amp;C131&amp;" Slab",""))&amp;(IF(C132=F126,", Brickwork",IF(C132&gt;0,", Brickwork upto "&amp;C132&amp;" Floor",""))&amp;(IF(C133=F126,", Plaster",IF(C133&gt;0,", Plaster upto "&amp;C133&amp;" Floor",""))&amp;(IF(C134=F126,", External Plaster",IF(C134&gt;0,", External Plaster upto "&amp;C134&amp;" Floor",""))&amp;(IF(C135=F126,", Flooring",IF(C135&gt;0,", Flooring upto "&amp;C135&amp;" Floor",""))&amp;(IF(C136=F126,", Painting",IF(C136&gt;0,", Painting upto "&amp;C136&amp;" Floor",""))&amp;(IF(C137&gt;0,", Finishing upto "&amp;C137&amp;" Floor","")&amp;(IF(C131&gt;0.5," Completed",""))))))))))))))</f>
        <v>Plinth work completed, RCC upto 16 Slab, Brickwork upto 15 Floor, Plaster upto 15 Floor Completed</v>
      </c>
      <c r="H125" s="3"/>
    </row>
    <row r="126" spans="1:12" x14ac:dyDescent="0.3">
      <c r="A126" s="243"/>
      <c r="B126" s="244"/>
      <c r="C126" s="68">
        <v>0</v>
      </c>
      <c r="D126" s="68">
        <v>1</v>
      </c>
      <c r="E126" s="68">
        <v>0</v>
      </c>
      <c r="F126" s="69">
        <v>23</v>
      </c>
      <c r="G126" s="4"/>
      <c r="H126" s="5"/>
      <c r="L126" t="s">
        <v>211</v>
      </c>
    </row>
    <row r="127" spans="1:12" ht="29.25" customHeight="1" x14ac:dyDescent="0.3">
      <c r="A127" s="70" t="s">
        <v>9</v>
      </c>
      <c r="B127" s="337" t="str">
        <f>G125</f>
        <v>Plinth work completed, RCC upto 16 Slab, Brickwork upto 15 Floor, Plaster upto 15 Floor Completed</v>
      </c>
      <c r="C127" s="338"/>
      <c r="D127" s="338"/>
      <c r="E127" s="338"/>
      <c r="F127" s="339"/>
      <c r="G127" s="4" t="s">
        <v>10</v>
      </c>
      <c r="H127" s="5"/>
      <c r="L127" t="s">
        <v>209</v>
      </c>
    </row>
    <row r="128" spans="1:12" x14ac:dyDescent="0.3">
      <c r="A128" s="71" t="s">
        <v>11</v>
      </c>
      <c r="B128" s="72" t="s">
        <v>12</v>
      </c>
      <c r="C128" s="73" t="s">
        <v>13</v>
      </c>
      <c r="D128" s="73" t="s">
        <v>14</v>
      </c>
      <c r="E128" s="340" t="s">
        <v>37</v>
      </c>
      <c r="F128" s="341"/>
      <c r="G128" s="6"/>
      <c r="H128" s="7"/>
      <c r="L128" t="s">
        <v>210</v>
      </c>
    </row>
    <row r="129" spans="1:12" hidden="1" x14ac:dyDescent="0.3">
      <c r="A129" s="71" t="s">
        <v>17</v>
      </c>
      <c r="B129" s="74">
        <v>0.15</v>
      </c>
      <c r="C129" s="75">
        <v>7</v>
      </c>
      <c r="D129" s="76">
        <f>((100/F126)*C129)/100</f>
        <v>0.30434782608695649</v>
      </c>
      <c r="E129" s="342">
        <f>((((C130/F126)*35)+(35/(F126+E126+D126)*C131)+(5/F126*C132)+(5/F126*C133)+(5/F126*C134)+(5/F126*C135)+(5/F126*C136)+(2.5/F126*C137)+(2.5/F126*C138))/100)</f>
        <v>0.64855072463768115</v>
      </c>
      <c r="F129" s="343"/>
      <c r="G129" s="6"/>
      <c r="H129" s="8"/>
    </row>
    <row r="130" spans="1:12" x14ac:dyDescent="0.3">
      <c r="A130" s="71" t="s">
        <v>19</v>
      </c>
      <c r="B130" s="74">
        <v>0.35</v>
      </c>
      <c r="C130" s="77">
        <f>H138</f>
        <v>23</v>
      </c>
      <c r="D130" s="76">
        <f>((100/F126)*C130)/100</f>
        <v>1</v>
      </c>
      <c r="E130" s="344"/>
      <c r="F130" s="345"/>
      <c r="G130" s="6"/>
      <c r="H130" s="8"/>
    </row>
    <row r="131" spans="1:12" ht="28.8" x14ac:dyDescent="0.3">
      <c r="A131" s="71" t="s">
        <v>21</v>
      </c>
      <c r="B131" s="74">
        <v>0.35</v>
      </c>
      <c r="C131" s="98">
        <v>16</v>
      </c>
      <c r="D131" s="76">
        <f>((100/(D126+E126+F126))*C131)/100</f>
        <v>0.66666666666666674</v>
      </c>
      <c r="E131" s="344"/>
      <c r="F131" s="345"/>
      <c r="G131" s="6" t="s">
        <v>281</v>
      </c>
      <c r="H131" s="9">
        <f>(IF(C126&gt;1,(F126/(C126+2)),F126/7))</f>
        <v>3.2857142857142856</v>
      </c>
    </row>
    <row r="132" spans="1:12" x14ac:dyDescent="0.3">
      <c r="A132" s="71" t="s">
        <v>23</v>
      </c>
      <c r="B132" s="74">
        <v>0.05</v>
      </c>
      <c r="C132" s="77">
        <f>C131-1</f>
        <v>15</v>
      </c>
      <c r="D132" s="76">
        <f>((100/F126)*C132)/100</f>
        <v>0.65217391304347827</v>
      </c>
      <c r="E132" s="344"/>
      <c r="F132" s="345"/>
      <c r="G132" s="6" t="s">
        <v>282</v>
      </c>
      <c r="H132" s="9">
        <f>(IF(C126&gt;1,(F126/(C126+2)),F126/3.5))</f>
        <v>6.5714285714285712</v>
      </c>
    </row>
    <row r="133" spans="1:12" x14ac:dyDescent="0.3">
      <c r="A133" s="71" t="s">
        <v>38</v>
      </c>
      <c r="B133" s="74">
        <v>0.05</v>
      </c>
      <c r="C133" s="77">
        <f>C132</f>
        <v>15</v>
      </c>
      <c r="D133" s="76">
        <f>((100/F126)*C133)/100</f>
        <v>0.65217391304347827</v>
      </c>
      <c r="E133" s="344"/>
      <c r="F133" s="345"/>
      <c r="G133" s="6" t="s">
        <v>26</v>
      </c>
      <c r="H133" s="9">
        <f>(IF(C126&gt;1,(F126/(C126+2)+H132),0))</f>
        <v>0</v>
      </c>
    </row>
    <row r="134" spans="1:12" x14ac:dyDescent="0.3">
      <c r="A134" s="71" t="s">
        <v>29</v>
      </c>
      <c r="B134" s="74">
        <v>0.05</v>
      </c>
      <c r="C134" s="75">
        <v>0</v>
      </c>
      <c r="D134" s="76">
        <f>((100/(F126))*C134)/100</f>
        <v>0</v>
      </c>
      <c r="E134" s="344"/>
      <c r="F134" s="345"/>
      <c r="G134" s="6" t="s">
        <v>28</v>
      </c>
      <c r="H134" s="9">
        <f>(IF(C126&gt;2,(F126/(C126+2)+H133),0))</f>
        <v>0</v>
      </c>
    </row>
    <row r="135" spans="1:12" ht="28.8" x14ac:dyDescent="0.3">
      <c r="A135" s="71" t="s">
        <v>39</v>
      </c>
      <c r="B135" s="74">
        <v>0.05</v>
      </c>
      <c r="C135" s="75">
        <v>0</v>
      </c>
      <c r="D135" s="76">
        <f>((100/F126)*C135)/100</f>
        <v>0</v>
      </c>
      <c r="E135" s="344"/>
      <c r="F135" s="345"/>
      <c r="G135" s="6" t="s">
        <v>30</v>
      </c>
      <c r="H135" s="10">
        <f>(IF(C126&gt;3,(F126/(C126+2)+H134),0))</f>
        <v>0</v>
      </c>
    </row>
    <row r="136" spans="1:12" x14ac:dyDescent="0.3">
      <c r="A136" s="71" t="s">
        <v>31</v>
      </c>
      <c r="B136" s="74">
        <v>0.05</v>
      </c>
      <c r="C136" s="75">
        <v>0</v>
      </c>
      <c r="D136" s="76">
        <f>((100/F126)*C136)/100</f>
        <v>0</v>
      </c>
      <c r="E136" s="344"/>
      <c r="F136" s="345"/>
      <c r="G136" s="6" t="s">
        <v>32</v>
      </c>
      <c r="H136" s="9">
        <f>(IF(C126&gt;4,(F126/(C126+2)+H135),0))</f>
        <v>0</v>
      </c>
    </row>
    <row r="137" spans="1:12" x14ac:dyDescent="0.3">
      <c r="A137" s="71" t="s">
        <v>40</v>
      </c>
      <c r="B137" s="74">
        <v>2.5000000000000001E-2</v>
      </c>
      <c r="C137" s="75">
        <v>0</v>
      </c>
      <c r="D137" s="76">
        <f>((100/(F126))*C137)/100</f>
        <v>0</v>
      </c>
      <c r="E137" s="344"/>
      <c r="F137" s="345"/>
      <c r="G137" s="6" t="s">
        <v>34</v>
      </c>
      <c r="H137" s="9">
        <f>(IF(C126&gt;1,(F126/(C126+2)),F126*4/7))</f>
        <v>13.142857142857142</v>
      </c>
    </row>
    <row r="138" spans="1:12" ht="15" thickBot="1" x14ac:dyDescent="0.35">
      <c r="A138" s="78" t="s">
        <v>35</v>
      </c>
      <c r="B138" s="79">
        <v>2.5000000000000001E-2</v>
      </c>
      <c r="C138" s="80">
        <v>0</v>
      </c>
      <c r="D138" s="81">
        <f>((100/(F126))*C138)/100</f>
        <v>0</v>
      </c>
      <c r="E138" s="344"/>
      <c r="F138" s="345"/>
      <c r="G138" s="11" t="s">
        <v>36</v>
      </c>
      <c r="H138" s="12">
        <f>F126</f>
        <v>23</v>
      </c>
    </row>
    <row r="139" spans="1:12" ht="15" thickBot="1" x14ac:dyDescent="0.35">
      <c r="A139" s="369" t="s">
        <v>4</v>
      </c>
      <c r="B139" s="370"/>
      <c r="C139" s="370"/>
      <c r="D139" s="370"/>
      <c r="E139" s="370"/>
      <c r="F139" s="371"/>
      <c r="G139" s="1"/>
      <c r="H139" s="1"/>
    </row>
    <row r="140" spans="1:12" x14ac:dyDescent="0.3">
      <c r="A140" s="241" t="s">
        <v>403</v>
      </c>
      <c r="B140" s="242"/>
      <c r="C140" s="66" t="s">
        <v>5</v>
      </c>
      <c r="D140" s="66" t="s">
        <v>6</v>
      </c>
      <c r="E140" s="66" t="s">
        <v>7</v>
      </c>
      <c r="F140" s="67" t="s">
        <v>8</v>
      </c>
      <c r="G140" s="2" t="str">
        <f>(IF(E144&gt;99%,"All work completed. Please provide OC.",IF(E144&gt;89.8%,"Plinth, RCC, Brick, Plaster, Flooring, Painting work Completed. Finishing work is in process.",IF(E145&lt;94%,(IF(C144=0,"Work not yet Started.",IF(D144=25%,"Piling work in process",IF(D144=50%,"Excavation work in process",IF(D144=100%," ","")))&amp;(IF(C145=0%,"",IF(C145=H146,"Excavation work is process",IF(C145=H147,"Foudation Work in process",IF(C145=H148,"1st Basement Completed",IF(C145=H149,"1st &amp; 2nd Basement Completed",IF(C145=H150,"1st to 3rd Basement Completed",IF(C145=H151,"1st to 4th Basement Completed",IF(C145=H152,"Plinth work is process",IF(C145=H153,"Plinth work completed","0")))))))))))&amp;(IF(C146=(D141+E141+F141),", RCC Slab",IF(C146&gt;0,", RCC upto "&amp;C146&amp;" Slab",""))&amp;(IF(C147=F141,", Brickwork",IF(C147&gt;0,", Brickwork upto "&amp;C147&amp;" Floor",""))&amp;(IF(C148=F141,", Plaster",IF(C148&gt;0,", Plaster upto "&amp;C148&amp;" Floor",""))&amp;(IF(C149=F141,", External Plaster",IF(C149&gt;0,", External Plaster upto "&amp;C149&amp;" Floor",""))&amp;(IF(C150=F141,", Flooring",IF(C150&gt;0,", Flooring upto "&amp;C150&amp;" Floor",""))&amp;(IF(C151=F141,", Painting",IF(C151&gt;0,", Painting upto "&amp;C151&amp;" Floor",""))&amp;(IF(C152&gt;0,", Finishing upto "&amp;C152&amp;" Floor","")&amp;(IF(C146&gt;0.5," Completed",""))))))))))))))</f>
        <v>Plinth work completed, RCC upto 15 Slab, Brickwork upto 14 Floor, Plaster upto 14 Floor Completed</v>
      </c>
      <c r="H140" s="3"/>
    </row>
    <row r="141" spans="1:12" x14ac:dyDescent="0.3">
      <c r="A141" s="243"/>
      <c r="B141" s="244"/>
      <c r="C141" s="68">
        <v>0</v>
      </c>
      <c r="D141" s="68">
        <v>1</v>
      </c>
      <c r="E141" s="68">
        <v>0</v>
      </c>
      <c r="F141" s="69">
        <v>23</v>
      </c>
      <c r="G141" s="4"/>
      <c r="H141" s="5"/>
      <c r="L141" t="s">
        <v>211</v>
      </c>
    </row>
    <row r="142" spans="1:12" ht="29.25" customHeight="1" x14ac:dyDescent="0.3">
      <c r="A142" s="70" t="s">
        <v>9</v>
      </c>
      <c r="B142" s="337" t="str">
        <f>G140</f>
        <v>Plinth work completed, RCC upto 15 Slab, Brickwork upto 14 Floor, Plaster upto 14 Floor Completed</v>
      </c>
      <c r="C142" s="338"/>
      <c r="D142" s="338"/>
      <c r="E142" s="338"/>
      <c r="F142" s="339"/>
      <c r="G142" s="4" t="s">
        <v>10</v>
      </c>
      <c r="H142" s="5"/>
      <c r="L142" t="s">
        <v>209</v>
      </c>
    </row>
    <row r="143" spans="1:12" x14ac:dyDescent="0.3">
      <c r="A143" s="71" t="s">
        <v>11</v>
      </c>
      <c r="B143" s="72" t="s">
        <v>12</v>
      </c>
      <c r="C143" s="73" t="s">
        <v>13</v>
      </c>
      <c r="D143" s="73" t="s">
        <v>14</v>
      </c>
      <c r="E143" s="340" t="s">
        <v>37</v>
      </c>
      <c r="F143" s="341"/>
      <c r="G143" s="6"/>
      <c r="H143" s="7"/>
      <c r="L143" t="s">
        <v>210</v>
      </c>
    </row>
    <row r="144" spans="1:12" hidden="1" x14ac:dyDescent="0.3">
      <c r="A144" s="71" t="s">
        <v>17</v>
      </c>
      <c r="B144" s="74">
        <v>0.15</v>
      </c>
      <c r="C144" s="75">
        <v>7</v>
      </c>
      <c r="D144" s="76">
        <f>((100/F141)*C144)/100</f>
        <v>0.30434782608695649</v>
      </c>
      <c r="E144" s="342">
        <f>((((C145/F141)*35)+(35/(F141+E141+D141)*C146)+(5/F141*C147)+(5/F141*C148)+(5/F141*C149)+(5/F141*C150)+(5/F141*C151)+(2.5/F141*C152)+(2.5/F141*C153))/100)</f>
        <v>0.62961956521739126</v>
      </c>
      <c r="F144" s="343"/>
      <c r="G144" s="6"/>
      <c r="H144" s="8"/>
    </row>
    <row r="145" spans="1:12" x14ac:dyDescent="0.3">
      <c r="A145" s="71" t="s">
        <v>19</v>
      </c>
      <c r="B145" s="74">
        <v>0.35</v>
      </c>
      <c r="C145" s="77">
        <f>H153</f>
        <v>23</v>
      </c>
      <c r="D145" s="76">
        <f>((100/F141)*C145)/100</f>
        <v>1</v>
      </c>
      <c r="E145" s="344"/>
      <c r="F145" s="345"/>
      <c r="G145" s="6"/>
      <c r="H145" s="8"/>
    </row>
    <row r="146" spans="1:12" ht="28.8" x14ac:dyDescent="0.3">
      <c r="A146" s="71" t="s">
        <v>21</v>
      </c>
      <c r="B146" s="74">
        <v>0.35</v>
      </c>
      <c r="C146" s="98">
        <v>15</v>
      </c>
      <c r="D146" s="76">
        <f>((100/(D141+E141+F141))*C146)/100</f>
        <v>0.62500000000000011</v>
      </c>
      <c r="E146" s="344"/>
      <c r="F146" s="345"/>
      <c r="G146" s="6" t="s">
        <v>281</v>
      </c>
      <c r="H146" s="9">
        <f>(IF(C141&gt;1,(F141/(C141+2)),F141/7))</f>
        <v>3.2857142857142856</v>
      </c>
    </row>
    <row r="147" spans="1:12" x14ac:dyDescent="0.3">
      <c r="A147" s="71" t="s">
        <v>23</v>
      </c>
      <c r="B147" s="74">
        <v>0.05</v>
      </c>
      <c r="C147" s="77">
        <f>C146-1</f>
        <v>14</v>
      </c>
      <c r="D147" s="76">
        <f>((100/F141)*C147)/100</f>
        <v>0.60869565217391297</v>
      </c>
      <c r="E147" s="344"/>
      <c r="F147" s="345"/>
      <c r="G147" s="6" t="s">
        <v>282</v>
      </c>
      <c r="H147" s="9">
        <f>(IF(C141&gt;1,(F141/(C141+2)),F141/3.5))</f>
        <v>6.5714285714285712</v>
      </c>
    </row>
    <row r="148" spans="1:12" x14ac:dyDescent="0.3">
      <c r="A148" s="71" t="s">
        <v>38</v>
      </c>
      <c r="B148" s="74">
        <v>0.05</v>
      </c>
      <c r="C148" s="77">
        <f>C147</f>
        <v>14</v>
      </c>
      <c r="D148" s="76">
        <f>((100/F141)*C148)/100</f>
        <v>0.60869565217391297</v>
      </c>
      <c r="E148" s="344"/>
      <c r="F148" s="345"/>
      <c r="G148" s="6" t="s">
        <v>26</v>
      </c>
      <c r="H148" s="9">
        <f>(IF(C141&gt;1,(F141/(C141+2)+H147),0))</f>
        <v>0</v>
      </c>
    </row>
    <row r="149" spans="1:12" x14ac:dyDescent="0.3">
      <c r="A149" s="71" t="s">
        <v>29</v>
      </c>
      <c r="B149" s="74">
        <v>0.05</v>
      </c>
      <c r="C149" s="75">
        <v>0</v>
      </c>
      <c r="D149" s="76">
        <f>((100/(F141))*C149)/100</f>
        <v>0</v>
      </c>
      <c r="E149" s="344"/>
      <c r="F149" s="345"/>
      <c r="G149" s="6" t="s">
        <v>28</v>
      </c>
      <c r="H149" s="9">
        <f>(IF(C141&gt;2,(F141/(C141+2)+H148),0))</f>
        <v>0</v>
      </c>
    </row>
    <row r="150" spans="1:12" ht="28.8" x14ac:dyDescent="0.3">
      <c r="A150" s="71" t="s">
        <v>39</v>
      </c>
      <c r="B150" s="74">
        <v>0.05</v>
      </c>
      <c r="C150" s="75">
        <v>0</v>
      </c>
      <c r="D150" s="76">
        <f>((100/F141)*C150)/100</f>
        <v>0</v>
      </c>
      <c r="E150" s="344"/>
      <c r="F150" s="345"/>
      <c r="G150" s="6" t="s">
        <v>30</v>
      </c>
      <c r="H150" s="10">
        <f>(IF(C141&gt;3,(F141/(C141+2)+H149),0))</f>
        <v>0</v>
      </c>
    </row>
    <row r="151" spans="1:12" x14ac:dyDescent="0.3">
      <c r="A151" s="71" t="s">
        <v>31</v>
      </c>
      <c r="B151" s="74">
        <v>0.05</v>
      </c>
      <c r="C151" s="75">
        <v>0</v>
      </c>
      <c r="D151" s="76">
        <f>((100/F141)*C151)/100</f>
        <v>0</v>
      </c>
      <c r="E151" s="344"/>
      <c r="F151" s="345"/>
      <c r="G151" s="6" t="s">
        <v>32</v>
      </c>
      <c r="H151" s="9">
        <f>(IF(C141&gt;4,(F141/(C141+2)+H150),0))</f>
        <v>0</v>
      </c>
    </row>
    <row r="152" spans="1:12" x14ac:dyDescent="0.3">
      <c r="A152" s="71" t="s">
        <v>40</v>
      </c>
      <c r="B152" s="74">
        <v>2.5000000000000001E-2</v>
      </c>
      <c r="C152" s="75">
        <v>0</v>
      </c>
      <c r="D152" s="76">
        <f>((100/(F141))*C152)/100</f>
        <v>0</v>
      </c>
      <c r="E152" s="344"/>
      <c r="F152" s="345"/>
      <c r="G152" s="6" t="s">
        <v>34</v>
      </c>
      <c r="H152" s="9">
        <f>(IF(C141&gt;1,(F141/(C141+2)),F141*4/7))</f>
        <v>13.142857142857142</v>
      </c>
    </row>
    <row r="153" spans="1:12" ht="15" thickBot="1" x14ac:dyDescent="0.35">
      <c r="A153" s="78" t="s">
        <v>35</v>
      </c>
      <c r="B153" s="79">
        <v>2.5000000000000001E-2</v>
      </c>
      <c r="C153" s="80">
        <v>0</v>
      </c>
      <c r="D153" s="81">
        <f>((100/(F141))*C153)/100</f>
        <v>0</v>
      </c>
      <c r="E153" s="344"/>
      <c r="F153" s="345"/>
      <c r="G153" s="11" t="s">
        <v>36</v>
      </c>
      <c r="H153" s="12">
        <f>F141</f>
        <v>23</v>
      </c>
    </row>
    <row r="154" spans="1:12" x14ac:dyDescent="0.3">
      <c r="A154" s="241" t="s">
        <v>397</v>
      </c>
      <c r="B154" s="242"/>
      <c r="C154" s="66" t="s">
        <v>5</v>
      </c>
      <c r="D154" s="66" t="s">
        <v>6</v>
      </c>
      <c r="E154" s="66" t="s">
        <v>7</v>
      </c>
      <c r="F154" s="67" t="s">
        <v>8</v>
      </c>
      <c r="G154" s="2" t="str">
        <f>(IF(E158&gt;99%,"All work completed. Please provide OC.",IF(E158&gt;89.8%,"Plinth, RCC, Brick, Plaster, Flooring, Painting work Completed. Finishing work is in process.",IF(E159&lt;94%,(IF(C158=0,"Work not yet Started.",IF(D158=25%,"Piling work in process",IF(D158=50%,"Excavation work in process",IF(D158=100%," ","")))&amp;(IF(C159=0%,"",IF(C159=H160,"Excavation work is process",IF(C159=H161,"Foudation Work in process",IF(C159=H162,"1st Basement Completed",IF(C159=H163,"1st &amp; 2nd Basement Completed",IF(C159=H164,"1st to 3rd Basement Completed",IF(C159=H165,"1st to 4th Basement Completed",IF(C159=H166,"Plinth work is process",IF(C159=H167,"Plinth work completed","0")))))))))))&amp;(IF(C160=(D155+E155+F155),", RCC Slab",IF(C160&gt;0,", RCC upto "&amp;C160&amp;" Slab",""))&amp;(IF(C161=F155,", Brickwork",IF(C161&gt;0,", Brickwork upto "&amp;C161&amp;" Floor",""))&amp;(IF(C162=F155,", Plaster",IF(C162&gt;0,", Plaster upto "&amp;C162&amp;" Floor",""))&amp;(IF(C163=F155,", External Plaster",IF(C163&gt;0,", External Plaster upto "&amp;C163&amp;" Floor",""))&amp;(IF(C164=F155,", Flooring",IF(C164&gt;0,", Flooring upto "&amp;C164&amp;" Floor",""))&amp;(IF(C165=F155,", Painting",IF(C165&gt;0,", Painting upto "&amp;C165&amp;" Floor",""))&amp;(IF(C166&gt;0,", Finishing upto "&amp;C166&amp;" Floor","")&amp;(IF(C160&gt;0.5," Completed",""))))))))))))))</f>
        <v>Plinth work completed, RCC upto 4 Slab, Brickwork upto 3 Floor, Plaster upto 3 Floor Completed</v>
      </c>
      <c r="H154" s="3"/>
    </row>
    <row r="155" spans="1:12" x14ac:dyDescent="0.3">
      <c r="A155" s="243"/>
      <c r="B155" s="244"/>
      <c r="C155" s="68">
        <v>0</v>
      </c>
      <c r="D155" s="68">
        <v>1</v>
      </c>
      <c r="E155" s="68">
        <v>0</v>
      </c>
      <c r="F155" s="69">
        <v>23</v>
      </c>
      <c r="G155" s="4"/>
      <c r="H155" s="5"/>
      <c r="L155" t="s">
        <v>211</v>
      </c>
    </row>
    <row r="156" spans="1:12" ht="29.25" customHeight="1" x14ac:dyDescent="0.3">
      <c r="A156" s="70" t="s">
        <v>9</v>
      </c>
      <c r="B156" s="337" t="str">
        <f>G154</f>
        <v>Plinth work completed, RCC upto 4 Slab, Brickwork upto 3 Floor, Plaster upto 3 Floor Completed</v>
      </c>
      <c r="C156" s="338"/>
      <c r="D156" s="338"/>
      <c r="E156" s="338"/>
      <c r="F156" s="339"/>
      <c r="G156" s="4" t="s">
        <v>10</v>
      </c>
      <c r="H156" s="5"/>
      <c r="L156" t="s">
        <v>209</v>
      </c>
    </row>
    <row r="157" spans="1:12" x14ac:dyDescent="0.3">
      <c r="A157" s="71" t="s">
        <v>11</v>
      </c>
      <c r="B157" s="72" t="s">
        <v>12</v>
      </c>
      <c r="C157" s="73" t="s">
        <v>13</v>
      </c>
      <c r="D157" s="73" t="s">
        <v>14</v>
      </c>
      <c r="E157" s="340" t="s">
        <v>37</v>
      </c>
      <c r="F157" s="341"/>
      <c r="G157" s="6"/>
      <c r="H157" s="7"/>
      <c r="L157" t="s">
        <v>210</v>
      </c>
    </row>
    <row r="158" spans="1:12" hidden="1" x14ac:dyDescent="0.3">
      <c r="A158" s="71" t="s">
        <v>17</v>
      </c>
      <c r="B158" s="74">
        <v>0.15</v>
      </c>
      <c r="C158" s="75">
        <v>7</v>
      </c>
      <c r="D158" s="76">
        <f>((100/F155)*C158)/100</f>
        <v>0.30434782608695649</v>
      </c>
      <c r="E158" s="342">
        <f>((((C159/F155)*35)+(35/(F155+E155+D155)*C160)+(5/F155*C161)+(5/F155*C162)+(5/F155*C163)+(5/F155*C164)+(5/F155*C165)+(2.5/F155*C166)+(2.5/F155*C167))/100)</f>
        <v>0.42137681159420287</v>
      </c>
      <c r="F158" s="343"/>
      <c r="G158" s="6"/>
      <c r="H158" s="8"/>
    </row>
    <row r="159" spans="1:12" x14ac:dyDescent="0.3">
      <c r="A159" s="71" t="s">
        <v>19</v>
      </c>
      <c r="B159" s="74">
        <v>0.35</v>
      </c>
      <c r="C159" s="77">
        <f>H167</f>
        <v>23</v>
      </c>
      <c r="D159" s="76">
        <f>((100/F155)*C159)/100</f>
        <v>1</v>
      </c>
      <c r="E159" s="344"/>
      <c r="F159" s="345"/>
      <c r="G159" s="6"/>
      <c r="H159" s="8"/>
    </row>
    <row r="160" spans="1:12" ht="28.8" x14ac:dyDescent="0.3">
      <c r="A160" s="71" t="s">
        <v>21</v>
      </c>
      <c r="B160" s="74">
        <v>0.35</v>
      </c>
      <c r="C160" s="98">
        <v>4</v>
      </c>
      <c r="D160" s="76">
        <f>((100/(D155+E155+F155))*C160)/100</f>
        <v>0.16666666666666669</v>
      </c>
      <c r="E160" s="344"/>
      <c r="F160" s="345"/>
      <c r="G160" s="6" t="s">
        <v>281</v>
      </c>
      <c r="H160" s="9">
        <f>(IF(C155&gt;1,(F155/(C155+2)),F155/7))</f>
        <v>3.2857142857142856</v>
      </c>
      <c r="I160" s="134" t="s">
        <v>398</v>
      </c>
    </row>
    <row r="161" spans="1:12" x14ac:dyDescent="0.3">
      <c r="A161" s="71" t="s">
        <v>23</v>
      </c>
      <c r="B161" s="74">
        <v>0.05</v>
      </c>
      <c r="C161" s="77">
        <f>C160-1</f>
        <v>3</v>
      </c>
      <c r="D161" s="76">
        <f>((100/F155)*C161)/100</f>
        <v>0.13043478260869565</v>
      </c>
      <c r="E161" s="344"/>
      <c r="F161" s="345"/>
      <c r="G161" s="6" t="s">
        <v>282</v>
      </c>
      <c r="H161" s="9">
        <f>(IF(C155&gt;1,(F155/(C155+2)),F155/3.5))</f>
        <v>6.5714285714285712</v>
      </c>
    </row>
    <row r="162" spans="1:12" x14ac:dyDescent="0.3">
      <c r="A162" s="71" t="s">
        <v>38</v>
      </c>
      <c r="B162" s="74">
        <v>0.05</v>
      </c>
      <c r="C162" s="77">
        <f>C161</f>
        <v>3</v>
      </c>
      <c r="D162" s="76">
        <f>((100/F155)*C162)/100</f>
        <v>0.13043478260869565</v>
      </c>
      <c r="E162" s="344"/>
      <c r="F162" s="345"/>
      <c r="G162" s="6" t="s">
        <v>26</v>
      </c>
      <c r="H162" s="9">
        <f>(IF(C155&gt;1,(F155/(C155+2)+H161),0))</f>
        <v>0</v>
      </c>
    </row>
    <row r="163" spans="1:12" x14ac:dyDescent="0.3">
      <c r="A163" s="71" t="s">
        <v>29</v>
      </c>
      <c r="B163" s="74">
        <v>0.05</v>
      </c>
      <c r="C163" s="75">
        <v>0</v>
      </c>
      <c r="D163" s="76">
        <f>((100/(F155))*C163)/100</f>
        <v>0</v>
      </c>
      <c r="E163" s="344"/>
      <c r="F163" s="345"/>
      <c r="G163" s="6" t="s">
        <v>28</v>
      </c>
      <c r="H163" s="9">
        <f>(IF(C155&gt;2,(F155/(C155+2)+H162),0))</f>
        <v>0</v>
      </c>
    </row>
    <row r="164" spans="1:12" ht="28.8" x14ac:dyDescent="0.3">
      <c r="A164" s="71" t="s">
        <v>39</v>
      </c>
      <c r="B164" s="74">
        <v>0.05</v>
      </c>
      <c r="C164" s="75">
        <v>0</v>
      </c>
      <c r="D164" s="76">
        <f>((100/F155)*C164)/100</f>
        <v>0</v>
      </c>
      <c r="E164" s="344"/>
      <c r="F164" s="345"/>
      <c r="G164" s="6" t="s">
        <v>30</v>
      </c>
      <c r="H164" s="10">
        <f>(IF(C155&gt;3,(F155/(C155+2)+H163),0))</f>
        <v>0</v>
      </c>
    </row>
    <row r="165" spans="1:12" x14ac:dyDescent="0.3">
      <c r="A165" s="71" t="s">
        <v>31</v>
      </c>
      <c r="B165" s="74">
        <v>0.05</v>
      </c>
      <c r="C165" s="75">
        <v>0</v>
      </c>
      <c r="D165" s="76">
        <f>((100/F155)*C165)/100</f>
        <v>0</v>
      </c>
      <c r="E165" s="344"/>
      <c r="F165" s="345"/>
      <c r="G165" s="6" t="s">
        <v>32</v>
      </c>
      <c r="H165" s="9">
        <f>(IF(C155&gt;4,(F155/(C155+2)+H164),0))</f>
        <v>0</v>
      </c>
    </row>
    <row r="166" spans="1:12" x14ac:dyDescent="0.3">
      <c r="A166" s="71" t="s">
        <v>40</v>
      </c>
      <c r="B166" s="74">
        <v>2.5000000000000001E-2</v>
      </c>
      <c r="C166" s="75">
        <v>0</v>
      </c>
      <c r="D166" s="76">
        <f>((100/(F155))*C166)/100</f>
        <v>0</v>
      </c>
      <c r="E166" s="344"/>
      <c r="F166" s="345"/>
      <c r="G166" s="6" t="s">
        <v>34</v>
      </c>
      <c r="H166" s="9">
        <f>(IF(C155&gt;1,(F155/(C155+2)),F155*4/7))</f>
        <v>13.142857142857142</v>
      </c>
    </row>
    <row r="167" spans="1:12" ht="15" thickBot="1" x14ac:dyDescent="0.35">
      <c r="A167" s="78" t="s">
        <v>35</v>
      </c>
      <c r="B167" s="79">
        <v>2.5000000000000001E-2</v>
      </c>
      <c r="C167" s="80">
        <v>0</v>
      </c>
      <c r="D167" s="81">
        <f>((100/(F155))*C167)/100</f>
        <v>0</v>
      </c>
      <c r="E167" s="344"/>
      <c r="F167" s="345"/>
      <c r="G167" s="11" t="s">
        <v>36</v>
      </c>
      <c r="H167" s="12">
        <f>F155</f>
        <v>23</v>
      </c>
    </row>
    <row r="168" spans="1:12" x14ac:dyDescent="0.3">
      <c r="A168" s="241" t="s">
        <v>402</v>
      </c>
      <c r="B168" s="242"/>
      <c r="C168" s="66" t="s">
        <v>5</v>
      </c>
      <c r="D168" s="66" t="s">
        <v>6</v>
      </c>
      <c r="E168" s="66" t="s">
        <v>7</v>
      </c>
      <c r="F168" s="67" t="s">
        <v>8</v>
      </c>
      <c r="G168" s="2" t="str">
        <f>(IF(E172&gt;99%,"All work completed. Please provide OC.",IF(E172&gt;89.8%,"Plinth, RCC, Brick, Plaster, Flooring, Painting work Completed. Finishing work is in process.",IF(E173&lt;94%,(IF(C172=0,"Work not yet Started.",IF(D172=25%,"Piling work in process",IF(D172=50%,"Excavation work in process",IF(D172=100%," ","")))&amp;(IF(C173=0%,"",IF(C173=H174,"Excavation work is process",IF(C173=H175,"Foudation Work in process",IF(C173=H176,"1st Basement Completed",IF(C173=H177,"1st &amp; 2nd Basement Completed",IF(C173=H178,"1st to 3rd Basement Completed",IF(C173=H179,"1st to 4th Basement Completed",IF(C173=H180,"Plinth work is process",IF(C173=H181,"Plinth work completed","0")))))))))))&amp;(IF(C174=(D169+E169+F169),", RCC Slab",IF(C174&gt;0,", RCC upto "&amp;C174&amp;" Slab",""))&amp;(IF(C175=F169,", Brickwork",IF(C175&gt;0,", Brickwork upto "&amp;C175&amp;" Floor",""))&amp;(IF(C176=F169,", Plaster",IF(C176&gt;0,", Plaster upto "&amp;C176&amp;" Floor",""))&amp;(IF(C177=F169,", External Plaster",IF(C177&gt;0,", External Plaster upto "&amp;C177&amp;" Floor",""))&amp;(IF(C178=F169,", Flooring",IF(C178&gt;0,", Flooring upto "&amp;C178&amp;" Floor",""))&amp;(IF(C179=F169,", Painting",IF(C179&gt;0,", Painting upto "&amp;C179&amp;" Floor",""))&amp;(IF(C180&gt;0,", Finishing upto "&amp;C180&amp;" Floor","")&amp;(IF(C174&gt;0.5," Completed",""))))))))))))))</f>
        <v>Plinth work completed, RCC upto 22 Slab, Brickwork upto 21 Floor, Plaster upto 21 Floor Completed</v>
      </c>
      <c r="H168" s="3"/>
    </row>
    <row r="169" spans="1:12" x14ac:dyDescent="0.3">
      <c r="A169" s="243"/>
      <c r="B169" s="244"/>
      <c r="C169" s="68">
        <v>0</v>
      </c>
      <c r="D169" s="68">
        <v>1</v>
      </c>
      <c r="E169" s="68">
        <v>0</v>
      </c>
      <c r="F169" s="69">
        <v>23</v>
      </c>
      <c r="G169" s="4"/>
      <c r="H169" s="5"/>
      <c r="L169" t="s">
        <v>211</v>
      </c>
    </row>
    <row r="170" spans="1:12" ht="30.75" customHeight="1" x14ac:dyDescent="0.3">
      <c r="A170" s="70" t="s">
        <v>9</v>
      </c>
      <c r="B170" s="337" t="str">
        <f>G168</f>
        <v>Plinth work completed, RCC upto 22 Slab, Brickwork upto 21 Floor, Plaster upto 21 Floor Completed</v>
      </c>
      <c r="C170" s="338"/>
      <c r="D170" s="338"/>
      <c r="E170" s="338"/>
      <c r="F170" s="339"/>
      <c r="G170" s="4" t="s">
        <v>10</v>
      </c>
      <c r="H170" s="5"/>
      <c r="L170" t="s">
        <v>209</v>
      </c>
    </row>
    <row r="171" spans="1:12" x14ac:dyDescent="0.3">
      <c r="A171" s="71" t="s">
        <v>11</v>
      </c>
      <c r="B171" s="72" t="s">
        <v>12</v>
      </c>
      <c r="C171" s="73" t="s">
        <v>13</v>
      </c>
      <c r="D171" s="73" t="s">
        <v>14</v>
      </c>
      <c r="E171" s="340" t="s">
        <v>37</v>
      </c>
      <c r="F171" s="341"/>
      <c r="G171" s="6"/>
      <c r="H171" s="7"/>
      <c r="L171" t="s">
        <v>210</v>
      </c>
    </row>
    <row r="172" spans="1:12" hidden="1" x14ac:dyDescent="0.3">
      <c r="A172" s="71" t="s">
        <v>17</v>
      </c>
      <c r="B172" s="74">
        <v>0.15</v>
      </c>
      <c r="C172" s="75">
        <v>7</v>
      </c>
      <c r="D172" s="76">
        <f>((100/F169)*C172)/100</f>
        <v>0.30434782608695649</v>
      </c>
      <c r="E172" s="342">
        <f>((((C173/F169)*35)+(35/(F169+E169+D169)*C174)+(5/F169*C175)+(5/F169*C176)+(5/F169*C177)+(5/F169*C178)+(5/F169*C179)+(2.5/F169*C180)+(2.5/F169*C181))/100)</f>
        <v>0.76213768115942016</v>
      </c>
      <c r="F172" s="343"/>
      <c r="G172" s="6"/>
      <c r="H172" s="8"/>
    </row>
    <row r="173" spans="1:12" x14ac:dyDescent="0.3">
      <c r="A173" s="71" t="s">
        <v>19</v>
      </c>
      <c r="B173" s="74">
        <v>0.35</v>
      </c>
      <c r="C173" s="77">
        <f>H181</f>
        <v>23</v>
      </c>
      <c r="D173" s="76">
        <f>((100/F169)*C173)/100</f>
        <v>1</v>
      </c>
      <c r="E173" s="344"/>
      <c r="F173" s="345"/>
      <c r="G173" s="6"/>
      <c r="H173" s="8"/>
    </row>
    <row r="174" spans="1:12" ht="28.8" x14ac:dyDescent="0.3">
      <c r="A174" s="71" t="s">
        <v>21</v>
      </c>
      <c r="B174" s="74">
        <v>0.35</v>
      </c>
      <c r="C174" s="98">
        <v>22</v>
      </c>
      <c r="D174" s="76">
        <f>((100/(D169+E169+F169))*C174)/100</f>
        <v>0.91666666666666674</v>
      </c>
      <c r="E174" s="344"/>
      <c r="F174" s="345"/>
      <c r="G174" s="6" t="s">
        <v>281</v>
      </c>
      <c r="H174" s="9">
        <f>(IF(C169&gt;1,(F169/(C169+2)),F169/7))</f>
        <v>3.2857142857142856</v>
      </c>
    </row>
    <row r="175" spans="1:12" x14ac:dyDescent="0.3">
      <c r="A175" s="71" t="s">
        <v>23</v>
      </c>
      <c r="B175" s="74">
        <v>0.05</v>
      </c>
      <c r="C175" s="77">
        <f>C174-1</f>
        <v>21</v>
      </c>
      <c r="D175" s="76">
        <f>((100/F169)*C175)/100</f>
        <v>0.91304347826086951</v>
      </c>
      <c r="E175" s="344"/>
      <c r="F175" s="345"/>
      <c r="G175" s="6" t="s">
        <v>282</v>
      </c>
      <c r="H175" s="9">
        <f>(IF(C169&gt;1,(F169/(C169+2)),F169/3.5))</f>
        <v>6.5714285714285712</v>
      </c>
    </row>
    <row r="176" spans="1:12" x14ac:dyDescent="0.3">
      <c r="A176" s="71" t="s">
        <v>38</v>
      </c>
      <c r="B176" s="74">
        <v>0.05</v>
      </c>
      <c r="C176" s="77">
        <v>21</v>
      </c>
      <c r="D176" s="76">
        <f>((100/F169)*C176)/100</f>
        <v>0.91304347826086951</v>
      </c>
      <c r="E176" s="344"/>
      <c r="F176" s="345"/>
      <c r="G176" s="6" t="s">
        <v>26</v>
      </c>
      <c r="H176" s="9">
        <f>(IF(C169&gt;1,(F169/(C169+2)+H175),0))</f>
        <v>0</v>
      </c>
    </row>
    <row r="177" spans="1:12" x14ac:dyDescent="0.3">
      <c r="A177" s="71" t="s">
        <v>29</v>
      </c>
      <c r="B177" s="74">
        <v>0.05</v>
      </c>
      <c r="C177" s="75">
        <v>0</v>
      </c>
      <c r="D177" s="76">
        <f>((100/(F169))*C177)/100</f>
        <v>0</v>
      </c>
      <c r="E177" s="344"/>
      <c r="F177" s="345"/>
      <c r="G177" s="6" t="s">
        <v>28</v>
      </c>
      <c r="H177" s="9">
        <f>(IF(C169&gt;2,(F169/(C169+2)+H176),0))</f>
        <v>0</v>
      </c>
    </row>
    <row r="178" spans="1:12" ht="28.8" x14ac:dyDescent="0.3">
      <c r="A178" s="71" t="s">
        <v>39</v>
      </c>
      <c r="B178" s="74">
        <v>0.05</v>
      </c>
      <c r="C178" s="75">
        <v>0</v>
      </c>
      <c r="D178" s="76">
        <f>((100/F169)*C178)/100</f>
        <v>0</v>
      </c>
      <c r="E178" s="344"/>
      <c r="F178" s="345"/>
      <c r="G178" s="6" t="s">
        <v>30</v>
      </c>
      <c r="H178" s="10">
        <f>(IF(C169&gt;3,(F169/(C169+2)+H177),0))</f>
        <v>0</v>
      </c>
    </row>
    <row r="179" spans="1:12" x14ac:dyDescent="0.3">
      <c r="A179" s="71" t="s">
        <v>31</v>
      </c>
      <c r="B179" s="74">
        <v>0.05</v>
      </c>
      <c r="C179" s="75">
        <v>0</v>
      </c>
      <c r="D179" s="76">
        <f>((100/F169)*C179)/100</f>
        <v>0</v>
      </c>
      <c r="E179" s="344"/>
      <c r="F179" s="345"/>
      <c r="G179" s="6" t="s">
        <v>32</v>
      </c>
      <c r="H179" s="9">
        <f>(IF(C169&gt;4,(F169/(C169+2)+H178),0))</f>
        <v>0</v>
      </c>
    </row>
    <row r="180" spans="1:12" x14ac:dyDescent="0.3">
      <c r="A180" s="71" t="s">
        <v>40</v>
      </c>
      <c r="B180" s="74">
        <v>2.5000000000000001E-2</v>
      </c>
      <c r="C180" s="75">
        <v>0</v>
      </c>
      <c r="D180" s="76">
        <f>((100/(F169))*C180)/100</f>
        <v>0</v>
      </c>
      <c r="E180" s="344"/>
      <c r="F180" s="345"/>
      <c r="G180" s="6" t="s">
        <v>34</v>
      </c>
      <c r="H180" s="9">
        <f>(IF(C169&gt;1,(F169/(C169+2)),F169*4/7))</f>
        <v>13.142857142857142</v>
      </c>
    </row>
    <row r="181" spans="1:12" ht="15" thickBot="1" x14ac:dyDescent="0.35">
      <c r="A181" s="78" t="s">
        <v>35</v>
      </c>
      <c r="B181" s="79">
        <v>2.5000000000000001E-2</v>
      </c>
      <c r="C181" s="80">
        <v>0</v>
      </c>
      <c r="D181" s="81">
        <f>((100/(F169))*C181)/100</f>
        <v>0</v>
      </c>
      <c r="E181" s="344"/>
      <c r="F181" s="345"/>
      <c r="G181" s="11" t="s">
        <v>36</v>
      </c>
      <c r="H181" s="12">
        <f>F169</f>
        <v>23</v>
      </c>
    </row>
    <row r="182" spans="1:12" x14ac:dyDescent="0.3">
      <c r="A182" s="241" t="s">
        <v>406</v>
      </c>
      <c r="B182" s="242"/>
      <c r="C182" s="66" t="s">
        <v>5</v>
      </c>
      <c r="D182" s="66" t="s">
        <v>6</v>
      </c>
      <c r="E182" s="66" t="s">
        <v>7</v>
      </c>
      <c r="F182" s="67" t="s">
        <v>8</v>
      </c>
      <c r="G182" s="2" t="str">
        <f>(IF(E186&gt;99%,"All work completed. Please provide OC.",IF(E186&gt;89.8%,"Plinth, RCC, Brick, Plaster, Flooring, Painting work Completed. Finishing work is in process.",IF(E187&lt;94%,(IF(C186=0,"Work not yet Started.",IF(D186=25%,"Piling work in process",IF(D186=50%,"Excavation work in process",IF(D186=100%," ","")))&amp;(IF(C187=0%,"",IF(C187=H188,"Excavation work is process",IF(C187=H189,"Foudation Work in process",IF(C187=H190,"1st Basement Completed",IF(C187=H191,"1st &amp; 2nd Basement Completed",IF(C187=H192,"1st to 3rd Basement Completed",IF(C187=H193,"1st to 4th Basement Completed",IF(C187=H194,"Plinth work is process",IF(C187=H195,"Plinth work completed","0")))))))))))&amp;(IF(C188=(D183+E183+F183),", RCC Slab",IF(C188&gt;0,", RCC upto "&amp;C188&amp;" Slab",""))&amp;(IF(C189=F183,", Brickwork",IF(C189&gt;0,", Brickwork upto "&amp;C189&amp;" Floor",""))&amp;(IF(C190=F183,", Plaster",IF(C190&gt;0,", Plaster upto "&amp;C190&amp;" Floor",""))&amp;(IF(C191=F183,", External Plaster",IF(C191&gt;0,", External Plaster upto "&amp;C191&amp;" Floor",""))&amp;(IF(C192=F183,", Flooring",IF(C192&gt;0,", Flooring upto "&amp;C192&amp;" Floor",""))&amp;(IF(C193=F183,", Painting",IF(C193&gt;0,", Painting upto "&amp;C193&amp;" Floor",""))&amp;(IF(C194&gt;0,", Finishing upto "&amp;C194&amp;" Floor","")&amp;(IF(C188&gt;0.5," Completed",""))))))))))))))</f>
        <v>Plinth work completed, RCC Slab, Brickwork, Plaster Completed</v>
      </c>
      <c r="H182" s="3"/>
    </row>
    <row r="183" spans="1:12" x14ac:dyDescent="0.3">
      <c r="A183" s="243"/>
      <c r="B183" s="244"/>
      <c r="C183" s="68">
        <v>0</v>
      </c>
      <c r="D183" s="68">
        <v>1</v>
      </c>
      <c r="E183" s="68">
        <v>0</v>
      </c>
      <c r="F183" s="69">
        <v>23</v>
      </c>
      <c r="G183" s="4"/>
      <c r="H183" s="5"/>
      <c r="L183" t="s">
        <v>211</v>
      </c>
    </row>
    <row r="184" spans="1:12" ht="30.75" customHeight="1" x14ac:dyDescent="0.3">
      <c r="A184" s="70" t="s">
        <v>9</v>
      </c>
      <c r="B184" s="337" t="str">
        <f>G182</f>
        <v>Plinth work completed, RCC Slab, Brickwork, Plaster Completed</v>
      </c>
      <c r="C184" s="338"/>
      <c r="D184" s="338"/>
      <c r="E184" s="338"/>
      <c r="F184" s="339"/>
      <c r="G184" s="4" t="s">
        <v>10</v>
      </c>
      <c r="H184" s="5"/>
      <c r="L184" t="s">
        <v>209</v>
      </c>
    </row>
    <row r="185" spans="1:12" x14ac:dyDescent="0.3">
      <c r="A185" s="71" t="s">
        <v>11</v>
      </c>
      <c r="B185" s="72" t="s">
        <v>12</v>
      </c>
      <c r="C185" s="73" t="s">
        <v>13</v>
      </c>
      <c r="D185" s="73" t="s">
        <v>14</v>
      </c>
      <c r="E185" s="340" t="s">
        <v>37</v>
      </c>
      <c r="F185" s="341"/>
      <c r="G185" s="6"/>
      <c r="H185" s="7"/>
      <c r="L185" t="s">
        <v>210</v>
      </c>
    </row>
    <row r="186" spans="1:12" hidden="1" x14ac:dyDescent="0.3">
      <c r="A186" s="71" t="s">
        <v>17</v>
      </c>
      <c r="B186" s="74">
        <v>0.15</v>
      </c>
      <c r="C186" s="75">
        <v>7</v>
      </c>
      <c r="D186" s="76">
        <f>((100/F183)*C186)/100</f>
        <v>0.30434782608695649</v>
      </c>
      <c r="E186" s="342">
        <f>((((C187/F183)*35)+(35/(F183+E183+D183)*C188)+(5/F183*C189)+(5/F183*C190)+(5/F183*C191)+(5/F183*C192)+(5/F183*C193)+(2.5/F183*C194)+(2.5/F183*C195))/100)</f>
        <v>0.8</v>
      </c>
      <c r="F186" s="343"/>
      <c r="G186" s="6"/>
      <c r="H186" s="8"/>
    </row>
    <row r="187" spans="1:12" x14ac:dyDescent="0.3">
      <c r="A187" s="71" t="s">
        <v>19</v>
      </c>
      <c r="B187" s="74">
        <v>0.35</v>
      </c>
      <c r="C187" s="77">
        <f>H195</f>
        <v>23</v>
      </c>
      <c r="D187" s="76">
        <f>((100/F183)*C187)/100</f>
        <v>1</v>
      </c>
      <c r="E187" s="344"/>
      <c r="F187" s="345"/>
      <c r="G187" s="6"/>
      <c r="H187" s="8"/>
    </row>
    <row r="188" spans="1:12" ht="28.8" x14ac:dyDescent="0.3">
      <c r="A188" s="71" t="s">
        <v>21</v>
      </c>
      <c r="B188" s="74">
        <v>0.35</v>
      </c>
      <c r="C188" s="98">
        <v>24</v>
      </c>
      <c r="D188" s="76">
        <f>((100/(D183+E183+F183))*C188)/100</f>
        <v>1</v>
      </c>
      <c r="E188" s="344"/>
      <c r="F188" s="345"/>
      <c r="G188" s="6" t="s">
        <v>281</v>
      </c>
      <c r="H188" s="9">
        <f>(IF(C183&gt;1,(F183/(C183+2)),F183/7))</f>
        <v>3.2857142857142856</v>
      </c>
    </row>
    <row r="189" spans="1:12" x14ac:dyDescent="0.3">
      <c r="A189" s="71" t="s">
        <v>23</v>
      </c>
      <c r="B189" s="74">
        <v>0.05</v>
      </c>
      <c r="C189" s="77">
        <f>C188-1</f>
        <v>23</v>
      </c>
      <c r="D189" s="76">
        <f>((100/F183)*C189)/100</f>
        <v>1</v>
      </c>
      <c r="E189" s="344"/>
      <c r="F189" s="345"/>
      <c r="G189" s="6" t="s">
        <v>282</v>
      </c>
      <c r="H189" s="9">
        <f>(IF(C183&gt;1,(F183/(C183+2)),F183/3.5))</f>
        <v>6.5714285714285712</v>
      </c>
    </row>
    <row r="190" spans="1:12" x14ac:dyDescent="0.3">
      <c r="A190" s="71" t="s">
        <v>38</v>
      </c>
      <c r="B190" s="74">
        <v>0.05</v>
      </c>
      <c r="C190" s="77">
        <v>23</v>
      </c>
      <c r="D190" s="76">
        <f>((100/F183)*C190)/100</f>
        <v>1</v>
      </c>
      <c r="E190" s="344"/>
      <c r="F190" s="345"/>
      <c r="G190" s="6" t="s">
        <v>26</v>
      </c>
      <c r="H190" s="9">
        <f>(IF(C183&gt;1,(F183/(C183+2)+H189),0))</f>
        <v>0</v>
      </c>
    </row>
    <row r="191" spans="1:12" x14ac:dyDescent="0.3">
      <c r="A191" s="71" t="s">
        <v>29</v>
      </c>
      <c r="B191" s="74">
        <v>0.05</v>
      </c>
      <c r="C191" s="75">
        <v>0</v>
      </c>
      <c r="D191" s="76">
        <f>((100/(F183))*C191)/100</f>
        <v>0</v>
      </c>
      <c r="E191" s="344"/>
      <c r="F191" s="345"/>
      <c r="G191" s="6" t="s">
        <v>28</v>
      </c>
      <c r="H191" s="9">
        <f>(IF(C183&gt;2,(F183/(C183+2)+H190),0))</f>
        <v>0</v>
      </c>
    </row>
    <row r="192" spans="1:12" ht="28.8" x14ac:dyDescent="0.3">
      <c r="A192" s="71" t="s">
        <v>39</v>
      </c>
      <c r="B192" s="74">
        <v>0.05</v>
      </c>
      <c r="C192" s="75">
        <v>0</v>
      </c>
      <c r="D192" s="76">
        <f>((100/F183)*C192)/100</f>
        <v>0</v>
      </c>
      <c r="E192" s="344"/>
      <c r="F192" s="345"/>
      <c r="G192" s="6" t="s">
        <v>30</v>
      </c>
      <c r="H192" s="10">
        <f>(IF(C183&gt;3,(F183/(C183+2)+H191),0))</f>
        <v>0</v>
      </c>
    </row>
    <row r="193" spans="1:12" x14ac:dyDescent="0.3">
      <c r="A193" s="71" t="s">
        <v>31</v>
      </c>
      <c r="B193" s="74">
        <v>0.05</v>
      </c>
      <c r="C193" s="75">
        <v>0</v>
      </c>
      <c r="D193" s="76">
        <f>((100/F183)*C193)/100</f>
        <v>0</v>
      </c>
      <c r="E193" s="344"/>
      <c r="F193" s="345"/>
      <c r="G193" s="6" t="s">
        <v>32</v>
      </c>
      <c r="H193" s="9">
        <f>(IF(C183&gt;4,(F183/(C183+2)+H192),0))</f>
        <v>0</v>
      </c>
    </row>
    <row r="194" spans="1:12" x14ac:dyDescent="0.3">
      <c r="A194" s="71" t="s">
        <v>40</v>
      </c>
      <c r="B194" s="74">
        <v>2.5000000000000001E-2</v>
      </c>
      <c r="C194" s="75">
        <v>0</v>
      </c>
      <c r="D194" s="76">
        <f>((100/(F183))*C194)/100</f>
        <v>0</v>
      </c>
      <c r="E194" s="344"/>
      <c r="F194" s="345"/>
      <c r="G194" s="6" t="s">
        <v>34</v>
      </c>
      <c r="H194" s="9">
        <f>(IF(C183&gt;1,(F183/(C183+2)),F183*4/7))</f>
        <v>13.142857142857142</v>
      </c>
    </row>
    <row r="195" spans="1:12" ht="15" thickBot="1" x14ac:dyDescent="0.35">
      <c r="A195" s="78" t="s">
        <v>35</v>
      </c>
      <c r="B195" s="79">
        <v>2.5000000000000001E-2</v>
      </c>
      <c r="C195" s="80">
        <v>0</v>
      </c>
      <c r="D195" s="81">
        <f>((100/(F183))*C195)/100</f>
        <v>0</v>
      </c>
      <c r="E195" s="344"/>
      <c r="F195" s="345"/>
      <c r="G195" s="11" t="s">
        <v>36</v>
      </c>
      <c r="H195" s="12">
        <f>F183</f>
        <v>23</v>
      </c>
    </row>
    <row r="196" spans="1:12" x14ac:dyDescent="0.3">
      <c r="A196" s="241" t="s">
        <v>405</v>
      </c>
      <c r="B196" s="242"/>
      <c r="C196" s="66" t="s">
        <v>5</v>
      </c>
      <c r="D196" s="66" t="s">
        <v>6</v>
      </c>
      <c r="E196" s="66" t="s">
        <v>7</v>
      </c>
      <c r="F196" s="67" t="s">
        <v>8</v>
      </c>
      <c r="G196" s="2" t="str">
        <f>(IF(E200&gt;99%,"All work completed. Please provide OC.",IF(E200&gt;89.8%,"Plinth, RCC, Brick, Plaster, Flooring, Painting work Completed. Finishing work is in process.",IF(E201&lt;94%,(IF(C200=0,"Work not yet Started.",IF(D200=25%,"Piling work in process",IF(D200=50%,"Excavation work in process",IF(D200=100%," ","")))&amp;(IF(C201=0%,"",IF(C201=H202,"Excavation work is process",IF(C201=H203,"Foudation Work in process",IF(C201=H204,"1st Basement Completed",IF(C201=H205,"1st &amp; 2nd Basement Completed",IF(C201=H206,"1st to 3rd Basement Completed",IF(C201=H207,"1st to 4th Basement Completed",IF(C201=H208,"Plinth work is process",IF(C201=H209,"Plinth work completed","0")))))))))))&amp;(IF(C202=(D197+E197+F197),", RCC Slab",IF(C202&gt;0,", RCC upto "&amp;C202&amp;" Slab",""))&amp;(IF(C203=F197,", Brickwork",IF(C203&gt;0,", Brickwork upto "&amp;C203&amp;" Floor",""))&amp;(IF(C204=F197,", Plaster",IF(C204&gt;0,", Plaster upto "&amp;C204&amp;" Floor",""))&amp;(IF(C205=F197,", External Plaster",IF(C205&gt;0,", External Plaster upto "&amp;C205&amp;" Floor",""))&amp;(IF(C206=F197,", Flooring",IF(C206&gt;0,", Flooring upto "&amp;C206&amp;" Floor",""))&amp;(IF(C207=F197,", Painting",IF(C207&gt;0,", Painting upto "&amp;C207&amp;" Floor",""))&amp;(IF(C208&gt;0,", Finishing upto "&amp;C208&amp;" Floor","")&amp;(IF(C202&gt;0.5," Completed",""))))))))))))))</f>
        <v>Plinth work completed, RCC Slab, Brickwork, Plaster Completed</v>
      </c>
      <c r="H196" s="3"/>
    </row>
    <row r="197" spans="1:12" x14ac:dyDescent="0.3">
      <c r="A197" s="243"/>
      <c r="B197" s="244"/>
      <c r="C197" s="68">
        <v>0</v>
      </c>
      <c r="D197" s="68">
        <v>1</v>
      </c>
      <c r="E197" s="68">
        <v>0</v>
      </c>
      <c r="F197" s="69">
        <v>23</v>
      </c>
      <c r="G197" s="4"/>
      <c r="H197" s="5"/>
      <c r="L197" t="s">
        <v>211</v>
      </c>
    </row>
    <row r="198" spans="1:12" ht="30.75" customHeight="1" x14ac:dyDescent="0.3">
      <c r="A198" s="70" t="s">
        <v>9</v>
      </c>
      <c r="B198" s="337" t="str">
        <f>G196</f>
        <v>Plinth work completed, RCC Slab, Brickwork, Plaster Completed</v>
      </c>
      <c r="C198" s="338"/>
      <c r="D198" s="338"/>
      <c r="E198" s="338"/>
      <c r="F198" s="339"/>
      <c r="G198" s="4" t="s">
        <v>10</v>
      </c>
      <c r="H198" s="5"/>
      <c r="L198" t="s">
        <v>209</v>
      </c>
    </row>
    <row r="199" spans="1:12" x14ac:dyDescent="0.3">
      <c r="A199" s="71" t="s">
        <v>11</v>
      </c>
      <c r="B199" s="72" t="s">
        <v>12</v>
      </c>
      <c r="C199" s="73" t="s">
        <v>13</v>
      </c>
      <c r="D199" s="73" t="s">
        <v>14</v>
      </c>
      <c r="E199" s="340" t="s">
        <v>37</v>
      </c>
      <c r="F199" s="341"/>
      <c r="G199" s="6"/>
      <c r="H199" s="7"/>
      <c r="L199" t="s">
        <v>210</v>
      </c>
    </row>
    <row r="200" spans="1:12" hidden="1" x14ac:dyDescent="0.3">
      <c r="A200" s="71" t="s">
        <v>17</v>
      </c>
      <c r="B200" s="74">
        <v>0.15</v>
      </c>
      <c r="C200" s="75">
        <v>7</v>
      </c>
      <c r="D200" s="76">
        <f>((100/F197)*C200)/100</f>
        <v>0.30434782608695649</v>
      </c>
      <c r="E200" s="342">
        <f>((((C201/F197)*35)+(35/(F197+E197+D197)*C202)+(5/F197*C203)+(5/F197*C204)+(5/F197*C205)+(5/F197*C206)+(5/F197*C207)+(2.5/F197*C208)+(2.5/F197*C209))/100)</f>
        <v>0.8</v>
      </c>
      <c r="F200" s="343"/>
      <c r="G200" s="6"/>
      <c r="H200" s="8"/>
    </row>
    <row r="201" spans="1:12" x14ac:dyDescent="0.3">
      <c r="A201" s="71" t="s">
        <v>19</v>
      </c>
      <c r="B201" s="74">
        <v>0.35</v>
      </c>
      <c r="C201" s="77">
        <f>H209</f>
        <v>23</v>
      </c>
      <c r="D201" s="76">
        <f>((100/F197)*C201)/100</f>
        <v>1</v>
      </c>
      <c r="E201" s="344"/>
      <c r="F201" s="345"/>
      <c r="G201" s="6"/>
      <c r="H201" s="8"/>
    </row>
    <row r="202" spans="1:12" ht="28.8" x14ac:dyDescent="0.3">
      <c r="A202" s="71" t="s">
        <v>21</v>
      </c>
      <c r="B202" s="74">
        <v>0.35</v>
      </c>
      <c r="C202" s="98">
        <v>24</v>
      </c>
      <c r="D202" s="76">
        <f>((100/(D197+E197+F197))*C202)/100</f>
        <v>1</v>
      </c>
      <c r="E202" s="344"/>
      <c r="F202" s="345"/>
      <c r="G202" s="6" t="s">
        <v>281</v>
      </c>
      <c r="H202" s="9">
        <f>(IF(C197&gt;1,(F197/(C197+2)),F197/7))</f>
        <v>3.2857142857142856</v>
      </c>
    </row>
    <row r="203" spans="1:12" x14ac:dyDescent="0.3">
      <c r="A203" s="71" t="s">
        <v>23</v>
      </c>
      <c r="B203" s="74">
        <v>0.05</v>
      </c>
      <c r="C203" s="77">
        <f>C202-1</f>
        <v>23</v>
      </c>
      <c r="D203" s="76">
        <f>((100/F197)*C203)/100</f>
        <v>1</v>
      </c>
      <c r="E203" s="344"/>
      <c r="F203" s="345"/>
      <c r="G203" s="6" t="s">
        <v>282</v>
      </c>
      <c r="H203" s="9">
        <f>(IF(C197&gt;1,(F197/(C197+2)),F197/3.5))</f>
        <v>6.5714285714285712</v>
      </c>
    </row>
    <row r="204" spans="1:12" x14ac:dyDescent="0.3">
      <c r="A204" s="71" t="s">
        <v>38</v>
      </c>
      <c r="B204" s="74">
        <v>0.05</v>
      </c>
      <c r="C204" s="77">
        <v>23</v>
      </c>
      <c r="D204" s="76">
        <f>((100/F197)*C204)/100</f>
        <v>1</v>
      </c>
      <c r="E204" s="344"/>
      <c r="F204" s="345"/>
      <c r="G204" s="6" t="s">
        <v>26</v>
      </c>
      <c r="H204" s="9">
        <f>(IF(C197&gt;1,(F197/(C197+2)+H203),0))</f>
        <v>0</v>
      </c>
    </row>
    <row r="205" spans="1:12" x14ac:dyDescent="0.3">
      <c r="A205" s="71" t="s">
        <v>29</v>
      </c>
      <c r="B205" s="74">
        <v>0.05</v>
      </c>
      <c r="C205" s="75">
        <v>0</v>
      </c>
      <c r="D205" s="76">
        <f>((100/(F197))*C205)/100</f>
        <v>0</v>
      </c>
      <c r="E205" s="344"/>
      <c r="F205" s="345"/>
      <c r="G205" s="6" t="s">
        <v>28</v>
      </c>
      <c r="H205" s="9">
        <f>(IF(C197&gt;2,(F197/(C197+2)+H204),0))</f>
        <v>0</v>
      </c>
    </row>
    <row r="206" spans="1:12" ht="28.8" x14ac:dyDescent="0.3">
      <c r="A206" s="71" t="s">
        <v>39</v>
      </c>
      <c r="B206" s="74">
        <v>0.05</v>
      </c>
      <c r="C206" s="75">
        <v>0</v>
      </c>
      <c r="D206" s="76">
        <f>((100/F197)*C206)/100</f>
        <v>0</v>
      </c>
      <c r="E206" s="344"/>
      <c r="F206" s="345"/>
      <c r="G206" s="6" t="s">
        <v>30</v>
      </c>
      <c r="H206" s="10">
        <f>(IF(C197&gt;3,(F197/(C197+2)+H205),0))</f>
        <v>0</v>
      </c>
    </row>
    <row r="207" spans="1:12" x14ac:dyDescent="0.3">
      <c r="A207" s="71" t="s">
        <v>31</v>
      </c>
      <c r="B207" s="74">
        <v>0.05</v>
      </c>
      <c r="C207" s="75">
        <v>0</v>
      </c>
      <c r="D207" s="76">
        <f>((100/F197)*C207)/100</f>
        <v>0</v>
      </c>
      <c r="E207" s="344"/>
      <c r="F207" s="345"/>
      <c r="G207" s="6" t="s">
        <v>32</v>
      </c>
      <c r="H207" s="9">
        <f>(IF(C197&gt;4,(F197/(C197+2)+H206),0))</f>
        <v>0</v>
      </c>
    </row>
    <row r="208" spans="1:12" x14ac:dyDescent="0.3">
      <c r="A208" s="71" t="s">
        <v>40</v>
      </c>
      <c r="B208" s="74">
        <v>2.5000000000000001E-2</v>
      </c>
      <c r="C208" s="75">
        <v>0</v>
      </c>
      <c r="D208" s="76">
        <f>((100/(F197))*C208)/100</f>
        <v>0</v>
      </c>
      <c r="E208" s="344"/>
      <c r="F208" s="345"/>
      <c r="G208" s="6" t="s">
        <v>34</v>
      </c>
      <c r="H208" s="9">
        <f>(IF(C197&gt;1,(F197/(C197+2)),F197*4/7))</f>
        <v>13.142857142857142</v>
      </c>
    </row>
    <row r="209" spans="1:12" ht="15" thickBot="1" x14ac:dyDescent="0.35">
      <c r="A209" s="78" t="s">
        <v>35</v>
      </c>
      <c r="B209" s="79">
        <v>2.5000000000000001E-2</v>
      </c>
      <c r="C209" s="80">
        <v>0</v>
      </c>
      <c r="D209" s="81">
        <f>((100/(F197))*C209)/100</f>
        <v>0</v>
      </c>
      <c r="E209" s="344"/>
      <c r="F209" s="345"/>
      <c r="G209" s="11" t="s">
        <v>36</v>
      </c>
      <c r="H209" s="12">
        <f>F197</f>
        <v>23</v>
      </c>
    </row>
    <row r="210" spans="1:12" x14ac:dyDescent="0.3">
      <c r="A210" s="241" t="s">
        <v>395</v>
      </c>
      <c r="B210" s="242"/>
      <c r="C210" s="66" t="s">
        <v>5</v>
      </c>
      <c r="D210" s="66" t="s">
        <v>6</v>
      </c>
      <c r="E210" s="66" t="s">
        <v>7</v>
      </c>
      <c r="F210" s="67" t="s">
        <v>8</v>
      </c>
      <c r="G210" s="2" t="str">
        <f>(IF(E214&gt;99%,"All work completed. Please provide OC.",IF(E214&gt;89.8%,"Plinth, RCC, Brick, Plaster, Flooring, Painting work Completed. Finishing work is in process.",IF(E215&lt;94%,(IF(C214=0,"Work not yet Started.",IF(D214=25%,"Piling work in process",IF(D214=50%,"Excavation work in process",IF(D214=100%," ","")))&amp;(IF(C215=0%,"",IF(C215=H216,"Excavation work is process",IF(C215=H217,"Foudation Work in process",IF(C215=H218,"1st Basement Completed",IF(C215=H219,"1st &amp; 2nd Basement Completed",IF(C215=H220,"1st to 3rd Basement Completed",IF(C215=H221,"1st to 4th Basement Completed",IF(C215=H222,"Plinth work is process",IF(C215=H223,"Plinth work completed","0")))))))))))&amp;(IF(C216=(D211+E211+F211),", RCC Slab",IF(C216&gt;0,", RCC upto "&amp;C216&amp;" Slab",""))&amp;(IF(C217=F211,", Brickwork",IF(C217&gt;0,", Brickwork upto "&amp;C217&amp;" Floor",""))&amp;(IF(C218=F211,", Plaster",IF(C218&gt;0,", Plaster upto "&amp;C218&amp;" Floor",""))&amp;(IF(C219=F211,", External Plaster",IF(C219&gt;0,", External Plaster upto "&amp;C219&amp;" Floor",""))&amp;(IF(C220=F211,", Flooring",IF(C220&gt;0,", Flooring upto "&amp;C220&amp;" Floor",""))&amp;(IF(C221=F211,", Painting",IF(C221&gt;0,", Painting upto "&amp;C221&amp;" Floor",""))&amp;(IF(C222&gt;0,", Finishing upto "&amp;C222&amp;" Floor","")&amp;(IF(C216&gt;0.5," Completed",""))))))))))))))</f>
        <v>Plinth work completed, RCC Slab, Brickwork, Plaster Completed</v>
      </c>
      <c r="H210" s="3"/>
    </row>
    <row r="211" spans="1:12" ht="15" customHeight="1" x14ac:dyDescent="0.3">
      <c r="A211" s="243"/>
      <c r="B211" s="348"/>
      <c r="C211" s="68">
        <v>0</v>
      </c>
      <c r="D211" s="68">
        <v>1</v>
      </c>
      <c r="E211" s="68">
        <v>0</v>
      </c>
      <c r="F211" s="69">
        <v>23</v>
      </c>
      <c r="G211" s="4"/>
      <c r="H211" s="5"/>
      <c r="L211" t="s">
        <v>211</v>
      </c>
    </row>
    <row r="212" spans="1:12" ht="28.2" customHeight="1" x14ac:dyDescent="0.3">
      <c r="A212" s="70" t="s">
        <v>9</v>
      </c>
      <c r="B212" s="337" t="str">
        <f>G210</f>
        <v>Plinth work completed, RCC Slab, Brickwork, Plaster Completed</v>
      </c>
      <c r="C212" s="338"/>
      <c r="D212" s="338"/>
      <c r="E212" s="338"/>
      <c r="F212" s="339"/>
      <c r="G212" s="4" t="s">
        <v>10</v>
      </c>
      <c r="H212" s="5"/>
      <c r="L212" t="s">
        <v>209</v>
      </c>
    </row>
    <row r="213" spans="1:12" x14ac:dyDescent="0.3">
      <c r="A213" s="71" t="s">
        <v>11</v>
      </c>
      <c r="B213" s="72" t="s">
        <v>12</v>
      </c>
      <c r="C213" s="73" t="s">
        <v>13</v>
      </c>
      <c r="D213" s="73" t="s">
        <v>14</v>
      </c>
      <c r="E213" s="340" t="s">
        <v>37</v>
      </c>
      <c r="F213" s="341"/>
      <c r="G213" s="6"/>
      <c r="H213" s="7"/>
      <c r="L213" t="s">
        <v>210</v>
      </c>
    </row>
    <row r="214" spans="1:12" ht="15" hidden="1" customHeight="1" x14ac:dyDescent="0.3">
      <c r="A214" s="71" t="s">
        <v>17</v>
      </c>
      <c r="B214" s="74">
        <v>0.15</v>
      </c>
      <c r="C214" s="75">
        <v>7</v>
      </c>
      <c r="D214" s="76">
        <f>((100/F211)*C214)/100</f>
        <v>0.30434782608695649</v>
      </c>
      <c r="E214" s="342">
        <f>((((C215/F211)*35)+(35/(F211+E211+D211)*C216)+(5/F211*C217)+(5/F211*C218)+(5/F211*C219)+(5/F211*C220)+(5/F211*C221)+(2.5/F211*C222)+(2.5/F211*C223))/100)</f>
        <v>0.8</v>
      </c>
      <c r="F214" s="343"/>
      <c r="G214" s="6"/>
      <c r="H214" s="8"/>
    </row>
    <row r="215" spans="1:12" x14ac:dyDescent="0.3">
      <c r="A215" s="71" t="s">
        <v>19</v>
      </c>
      <c r="B215" s="74">
        <v>0.35</v>
      </c>
      <c r="C215" s="77">
        <f>H223</f>
        <v>23</v>
      </c>
      <c r="D215" s="76">
        <f>((100/F211)*C215)/100</f>
        <v>1</v>
      </c>
      <c r="E215" s="344"/>
      <c r="F215" s="345"/>
      <c r="G215" s="6"/>
      <c r="H215" s="8"/>
    </row>
    <row r="216" spans="1:12" ht="28.8" x14ac:dyDescent="0.3">
      <c r="A216" s="71" t="s">
        <v>21</v>
      </c>
      <c r="B216" s="74">
        <v>0.35</v>
      </c>
      <c r="C216" s="98">
        <v>24</v>
      </c>
      <c r="D216" s="76">
        <f>((100/(D211+E211+F211))*C216)/100</f>
        <v>1</v>
      </c>
      <c r="E216" s="344"/>
      <c r="F216" s="345"/>
      <c r="G216" s="6" t="s">
        <v>281</v>
      </c>
      <c r="H216" s="9">
        <f>(IF(C211&gt;1,(F211/(C211+2)),F211/7))</f>
        <v>3.2857142857142856</v>
      </c>
    </row>
    <row r="217" spans="1:12" x14ac:dyDescent="0.3">
      <c r="A217" s="71" t="s">
        <v>23</v>
      </c>
      <c r="B217" s="74">
        <v>0.05</v>
      </c>
      <c r="C217" s="77">
        <f>C216-1</f>
        <v>23</v>
      </c>
      <c r="D217" s="76">
        <f>((100/F211)*C217)/100</f>
        <v>1</v>
      </c>
      <c r="E217" s="344"/>
      <c r="F217" s="345"/>
      <c r="G217" s="6" t="s">
        <v>282</v>
      </c>
      <c r="H217" s="9">
        <f>(IF(C211&gt;1,(F211/(C211+2)),F211/3.5))</f>
        <v>6.5714285714285712</v>
      </c>
    </row>
    <row r="218" spans="1:12" x14ac:dyDescent="0.3">
      <c r="A218" s="71" t="s">
        <v>38</v>
      </c>
      <c r="B218" s="74">
        <v>0.05</v>
      </c>
      <c r="C218" s="77">
        <v>23</v>
      </c>
      <c r="D218" s="76">
        <f>((100/F211)*C218)/100</f>
        <v>1</v>
      </c>
      <c r="E218" s="344"/>
      <c r="F218" s="345"/>
      <c r="G218" s="6" t="s">
        <v>26</v>
      </c>
      <c r="H218" s="9">
        <f>(IF(C211&gt;1,(F211/(C211+2)+H217),0))</f>
        <v>0</v>
      </c>
    </row>
    <row r="219" spans="1:12" x14ac:dyDescent="0.3">
      <c r="A219" s="71" t="s">
        <v>29</v>
      </c>
      <c r="B219" s="74">
        <v>0.05</v>
      </c>
      <c r="C219" s="75">
        <v>0</v>
      </c>
      <c r="D219" s="76">
        <f>((100/(F211))*C219)/100</f>
        <v>0</v>
      </c>
      <c r="E219" s="344"/>
      <c r="F219" s="345"/>
      <c r="G219" s="6" t="s">
        <v>28</v>
      </c>
      <c r="H219" s="9">
        <f>(IF(C211&gt;2,(F211/(C211+2)+H218),0))</f>
        <v>0</v>
      </c>
    </row>
    <row r="220" spans="1:12" ht="28.8" x14ac:dyDescent="0.3">
      <c r="A220" s="71" t="s">
        <v>39</v>
      </c>
      <c r="B220" s="74">
        <v>0.05</v>
      </c>
      <c r="C220" s="75">
        <v>0</v>
      </c>
      <c r="D220" s="76">
        <f>((100/F211)*C220)/100</f>
        <v>0</v>
      </c>
      <c r="E220" s="344"/>
      <c r="F220" s="345"/>
      <c r="G220" s="6" t="s">
        <v>30</v>
      </c>
      <c r="H220" s="10">
        <f>(IF(C211&gt;3,(F211/(C211+2)+H219),0))</f>
        <v>0</v>
      </c>
    </row>
    <row r="221" spans="1:12" x14ac:dyDescent="0.3">
      <c r="A221" s="71" t="s">
        <v>31</v>
      </c>
      <c r="B221" s="74">
        <v>0.05</v>
      </c>
      <c r="C221" s="75">
        <v>0</v>
      </c>
      <c r="D221" s="76">
        <f>((100/F211)*C221)/100</f>
        <v>0</v>
      </c>
      <c r="E221" s="344"/>
      <c r="F221" s="345"/>
      <c r="G221" s="6" t="s">
        <v>32</v>
      </c>
      <c r="H221" s="9">
        <f>(IF(C211&gt;4,(F211/(C211+2)+H220),0))</f>
        <v>0</v>
      </c>
    </row>
    <row r="222" spans="1:12" x14ac:dyDescent="0.3">
      <c r="A222" s="71" t="s">
        <v>40</v>
      </c>
      <c r="B222" s="74">
        <v>2.5000000000000001E-2</v>
      </c>
      <c r="C222" s="75">
        <v>0</v>
      </c>
      <c r="D222" s="76">
        <f>((100/(F211))*C222)/100</f>
        <v>0</v>
      </c>
      <c r="E222" s="344"/>
      <c r="F222" s="345"/>
      <c r="G222" s="6" t="s">
        <v>34</v>
      </c>
      <c r="H222" s="9">
        <f>(IF(C211&gt;1,(F211/(C211+2)),F211*4/7))</f>
        <v>13.142857142857142</v>
      </c>
    </row>
    <row r="223" spans="1:12" ht="15" thickBot="1" x14ac:dyDescent="0.35">
      <c r="A223" s="78" t="s">
        <v>35</v>
      </c>
      <c r="B223" s="79">
        <v>2.5000000000000001E-2</v>
      </c>
      <c r="C223" s="80">
        <v>0</v>
      </c>
      <c r="D223" s="81">
        <f>((100/(F211))*C223)/100</f>
        <v>0</v>
      </c>
      <c r="E223" s="349"/>
      <c r="F223" s="350"/>
      <c r="G223" s="11" t="s">
        <v>36</v>
      </c>
      <c r="H223" s="12">
        <f>F211</f>
        <v>23</v>
      </c>
    </row>
    <row r="224" spans="1:12" x14ac:dyDescent="0.3">
      <c r="A224" s="241" t="s">
        <v>396</v>
      </c>
      <c r="B224" s="242"/>
      <c r="C224" s="66" t="s">
        <v>5</v>
      </c>
      <c r="D224" s="66" t="s">
        <v>6</v>
      </c>
      <c r="E224" s="66" t="s">
        <v>7</v>
      </c>
      <c r="F224" s="67" t="s">
        <v>8</v>
      </c>
      <c r="G224" s="2" t="str">
        <f>(IF(E228&gt;99%,"All work completed. Please provide OC.",IF(E228&gt;89.8%,"Plinth, RCC, Brick, Plaster, Flooring, Painting work Completed. Finishing work is in process.",IF(E229&lt;94%,(IF(C228=0,"Work not yet Started.",IF(D228=25%,"Piling work in process",IF(D228=50%,"Excavation work in process",IF(D228=100%," ","")))&amp;(IF(C229=0%,"",IF(C229=H230,"Excavation work is process",IF(C229=H231,"Foudation Work in process",IF(C229=H232,"1st Basement Completed",IF(C229=H233,"1st &amp; 2nd Basement Completed",IF(C229=H234,"1st to 3rd Basement Completed",IF(C229=H235,"1st to 4th Basement Completed",IF(C229=H236,"Plinth work is process",IF(C229=H237,"Plinth work completed","0")))))))))))&amp;(IF(C230=(D225+E225+F225),", RCC Slab",IF(C230&gt;0,", RCC upto "&amp;C230&amp;" Slab",""))&amp;(IF(C231=F225,", Brickwork",IF(C231&gt;0,", Brickwork upto "&amp;C231&amp;" Floor",""))&amp;(IF(C232=F225,", Plaster",IF(C232&gt;0,", Plaster upto "&amp;C232&amp;" Floor",""))&amp;(IF(C233=F225,", External Plaster",IF(C233&gt;0,", External Plaster upto "&amp;C233&amp;" Floor",""))&amp;(IF(C234=F225,", Flooring",IF(C234&gt;0,", Flooring upto "&amp;C234&amp;" Floor",""))&amp;(IF(C235=F225,", Painting",IF(C235&gt;0,", Painting upto "&amp;C235&amp;" Floor",""))&amp;(IF(C236&gt;0,", Finishing upto "&amp;C236&amp;" Floor","")&amp;(IF(C230&gt;0.5," Completed",""))))))))))))))</f>
        <v>Plinth work completed, RCC upto 19 Slab, Brickwork upto 18 Floor, Plaster upto 18 Floor Completed</v>
      </c>
      <c r="H224" s="3"/>
    </row>
    <row r="225" spans="1:12" x14ac:dyDescent="0.3">
      <c r="A225" s="243"/>
      <c r="B225" s="244"/>
      <c r="C225" s="68">
        <v>0</v>
      </c>
      <c r="D225" s="68">
        <v>1</v>
      </c>
      <c r="E225" s="68">
        <v>0</v>
      </c>
      <c r="F225" s="69">
        <v>23</v>
      </c>
      <c r="G225" s="4"/>
      <c r="H225" s="5"/>
      <c r="L225" t="s">
        <v>211</v>
      </c>
    </row>
    <row r="226" spans="1:12" ht="33" customHeight="1" x14ac:dyDescent="0.3">
      <c r="A226" s="70" t="s">
        <v>9</v>
      </c>
      <c r="B226" s="337" t="str">
        <f>G224</f>
        <v>Plinth work completed, RCC upto 19 Slab, Brickwork upto 18 Floor, Plaster upto 18 Floor Completed</v>
      </c>
      <c r="C226" s="338"/>
      <c r="D226" s="338"/>
      <c r="E226" s="338"/>
      <c r="F226" s="339"/>
      <c r="G226" s="4" t="s">
        <v>10</v>
      </c>
      <c r="H226" s="5"/>
      <c r="L226" t="s">
        <v>209</v>
      </c>
    </row>
    <row r="227" spans="1:12" x14ac:dyDescent="0.3">
      <c r="A227" s="71" t="s">
        <v>11</v>
      </c>
      <c r="B227" s="72" t="s">
        <v>12</v>
      </c>
      <c r="C227" s="73" t="s">
        <v>13</v>
      </c>
      <c r="D227" s="73" t="s">
        <v>14</v>
      </c>
      <c r="E227" s="340" t="s">
        <v>37</v>
      </c>
      <c r="F227" s="341"/>
      <c r="G227" s="6"/>
      <c r="H227" s="7"/>
      <c r="L227" t="s">
        <v>210</v>
      </c>
    </row>
    <row r="228" spans="1:12" ht="15" hidden="1" customHeight="1" x14ac:dyDescent="0.3">
      <c r="A228" s="71" t="s">
        <v>17</v>
      </c>
      <c r="B228" s="74">
        <v>0.15</v>
      </c>
      <c r="C228" s="75">
        <v>7</v>
      </c>
      <c r="D228" s="76">
        <f>((100/F225)*C228)/100</f>
        <v>0.30434782608695649</v>
      </c>
      <c r="E228" s="342">
        <f>((((C229/F225)*35)+(35/(F225+E225+D225)*C230)+(5/F225*C231)+(5/F225*C232)+(5/F225*C233)+(5/F225*C234)+(5/F225*C235)+(2.5/F225*C236)+(2.5/F225*C237))/100)</f>
        <v>0.70534420289855082</v>
      </c>
      <c r="F228" s="343"/>
      <c r="G228" s="6"/>
      <c r="H228" s="8"/>
    </row>
    <row r="229" spans="1:12" x14ac:dyDescent="0.3">
      <c r="A229" s="71" t="s">
        <v>19</v>
      </c>
      <c r="B229" s="74">
        <v>0.35</v>
      </c>
      <c r="C229" s="77">
        <f>H237</f>
        <v>23</v>
      </c>
      <c r="D229" s="76">
        <f>((100/F225)*C229)/100</f>
        <v>1</v>
      </c>
      <c r="E229" s="344"/>
      <c r="F229" s="345"/>
      <c r="G229" s="6"/>
      <c r="H229" s="8"/>
    </row>
    <row r="230" spans="1:12" ht="28.8" x14ac:dyDescent="0.3">
      <c r="A230" s="71" t="s">
        <v>21</v>
      </c>
      <c r="B230" s="74">
        <v>0.35</v>
      </c>
      <c r="C230" s="98">
        <v>19</v>
      </c>
      <c r="D230" s="76">
        <f>((100/(D225+E225+F225))*C230)/100</f>
        <v>0.79166666666666674</v>
      </c>
      <c r="E230" s="344"/>
      <c r="F230" s="345"/>
      <c r="G230" s="6" t="s">
        <v>281</v>
      </c>
      <c r="H230" s="9">
        <f>(IF(C225&gt;1,(F225/(C225+2)),F225/7))</f>
        <v>3.2857142857142856</v>
      </c>
    </row>
    <row r="231" spans="1:12" x14ac:dyDescent="0.3">
      <c r="A231" s="71" t="s">
        <v>23</v>
      </c>
      <c r="B231" s="74">
        <v>0.05</v>
      </c>
      <c r="C231" s="77">
        <f>C230-1</f>
        <v>18</v>
      </c>
      <c r="D231" s="76">
        <f>((100/F225)*C231)/100</f>
        <v>0.78260869565217395</v>
      </c>
      <c r="E231" s="344"/>
      <c r="F231" s="345"/>
      <c r="G231" s="6" t="s">
        <v>282</v>
      </c>
      <c r="H231" s="9">
        <f>(IF(C225&gt;1,(F225/(C225+2)),F225/3.5))</f>
        <v>6.5714285714285712</v>
      </c>
    </row>
    <row r="232" spans="1:12" x14ac:dyDescent="0.3">
      <c r="A232" s="71" t="s">
        <v>38</v>
      </c>
      <c r="B232" s="74">
        <v>0.05</v>
      </c>
      <c r="C232" s="77">
        <v>18</v>
      </c>
      <c r="D232" s="76">
        <f>((100/F225)*C232)/100</f>
        <v>0.78260869565217395</v>
      </c>
      <c r="E232" s="344"/>
      <c r="F232" s="345"/>
      <c r="G232" s="6" t="s">
        <v>26</v>
      </c>
      <c r="H232" s="9">
        <f>(IF(C225&gt;1,(F225/(C225+2)+H231),0))</f>
        <v>0</v>
      </c>
    </row>
    <row r="233" spans="1:12" x14ac:dyDescent="0.3">
      <c r="A233" s="71" t="s">
        <v>29</v>
      </c>
      <c r="B233" s="74">
        <v>0.05</v>
      </c>
      <c r="C233" s="75">
        <v>0</v>
      </c>
      <c r="D233" s="76">
        <f>((100/(F225))*C233)/100</f>
        <v>0</v>
      </c>
      <c r="E233" s="344"/>
      <c r="F233" s="345"/>
      <c r="G233" s="6" t="s">
        <v>28</v>
      </c>
      <c r="H233" s="9">
        <f>(IF(C225&gt;2,(F225/(C225+2)+H232),0))</f>
        <v>0</v>
      </c>
    </row>
    <row r="234" spans="1:12" ht="28.8" x14ac:dyDescent="0.3">
      <c r="A234" s="71" t="s">
        <v>39</v>
      </c>
      <c r="B234" s="74">
        <v>0.05</v>
      </c>
      <c r="C234" s="75">
        <v>0</v>
      </c>
      <c r="D234" s="76">
        <f>((100/F225)*C234)/100</f>
        <v>0</v>
      </c>
      <c r="E234" s="344"/>
      <c r="F234" s="345"/>
      <c r="G234" s="6" t="s">
        <v>30</v>
      </c>
      <c r="H234" s="10">
        <f>(IF(C225&gt;3,(F225/(C225+2)+H233),0))</f>
        <v>0</v>
      </c>
    </row>
    <row r="235" spans="1:12" x14ac:dyDescent="0.3">
      <c r="A235" s="71" t="s">
        <v>31</v>
      </c>
      <c r="B235" s="74">
        <v>0.05</v>
      </c>
      <c r="C235" s="75">
        <v>0</v>
      </c>
      <c r="D235" s="76">
        <f>((100/F225)*C235)/100</f>
        <v>0</v>
      </c>
      <c r="E235" s="344"/>
      <c r="F235" s="345"/>
      <c r="G235" s="6" t="s">
        <v>32</v>
      </c>
      <c r="H235" s="9">
        <f>(IF(C225&gt;4,(F225/(C225+2)+H234),0))</f>
        <v>0</v>
      </c>
    </row>
    <row r="236" spans="1:12" x14ac:dyDescent="0.3">
      <c r="A236" s="71" t="s">
        <v>40</v>
      </c>
      <c r="B236" s="74">
        <v>2.5000000000000001E-2</v>
      </c>
      <c r="C236" s="75">
        <v>0</v>
      </c>
      <c r="D236" s="76">
        <f>((100/(F225))*C236)/100</f>
        <v>0</v>
      </c>
      <c r="E236" s="344"/>
      <c r="F236" s="345"/>
      <c r="G236" s="6" t="s">
        <v>34</v>
      </c>
      <c r="H236" s="9">
        <f>(IF(C225&gt;1,(F225/(C225+2)),F225*4/7))</f>
        <v>13.142857142857142</v>
      </c>
    </row>
    <row r="237" spans="1:12" ht="15" thickBot="1" x14ac:dyDescent="0.35">
      <c r="A237" s="78" t="s">
        <v>35</v>
      </c>
      <c r="B237" s="79">
        <v>2.5000000000000001E-2</v>
      </c>
      <c r="C237" s="80">
        <v>0</v>
      </c>
      <c r="D237" s="81">
        <f>((100/(F225))*C237)/100</f>
        <v>0</v>
      </c>
      <c r="E237" s="344"/>
      <c r="F237" s="345"/>
      <c r="G237" s="11" t="s">
        <v>36</v>
      </c>
      <c r="H237" s="12">
        <f>F225</f>
        <v>23</v>
      </c>
    </row>
    <row r="238" spans="1:12" ht="15" customHeight="1" x14ac:dyDescent="0.3">
      <c r="A238" s="351" t="s">
        <v>394</v>
      </c>
      <c r="B238" s="352"/>
      <c r="C238" s="352"/>
      <c r="D238" s="353"/>
      <c r="E238" s="357">
        <f>AVERAGE(E214,E228)</f>
        <v>0.75267210144927543</v>
      </c>
      <c r="F238" s="358"/>
      <c r="G238" s="6"/>
      <c r="H238" s="9"/>
    </row>
    <row r="239" spans="1:12" ht="15" thickBot="1" x14ac:dyDescent="0.35">
      <c r="A239" s="354"/>
      <c r="B239" s="355"/>
      <c r="C239" s="355"/>
      <c r="D239" s="356"/>
      <c r="E239" s="359"/>
      <c r="F239" s="360"/>
      <c r="G239" s="6"/>
      <c r="H239" s="9"/>
    </row>
    <row r="240" spans="1:12" x14ac:dyDescent="0.3">
      <c r="A240" s="346" t="s">
        <v>391</v>
      </c>
      <c r="B240" s="347"/>
      <c r="C240" s="132" t="s">
        <v>5</v>
      </c>
      <c r="D240" s="132" t="s">
        <v>6</v>
      </c>
      <c r="E240" s="132" t="s">
        <v>7</v>
      </c>
      <c r="F240" s="133" t="s">
        <v>8</v>
      </c>
      <c r="G240" s="2" t="str">
        <f>(IF(E244&gt;99%,"All work completed. Please provide OC.",IF(E244&gt;89.8%,"Plinth, RCC, Brick, Plaster, Flooring, Painting work Completed. Finishing work is in process.",IF(E245&lt;94%,(IF(C244=0,"Work not yet Started.",IF(D244=25%,"Piling work in process",IF(D244=50%,"Excavation work in process",IF(D244=100%," ","")))&amp;(IF(C245=0%,"",IF(C245=H246,"Excavation work is process",IF(C245=H247,"Foudation Work in process",IF(C245=H248,"1st Basement Completed",IF(C245=H249,"1st &amp; 2nd Basement Completed",IF(C245=H250,"1st to 3rd Basement Completed",IF(C245=H251,"1st to 4th Basement Completed",IF(C245=H252,"Plinth work is process",IF(C245=H253,"Plinth work completed","0")))))))))))&amp;(IF(C246=(D241+E241+F241),", RCC Slab",IF(C246&gt;0,", RCC upto "&amp;C246&amp;" Slab",""))&amp;(IF(C247=F241,", Brickwork",IF(C247&gt;0,", Brickwork upto "&amp;C247&amp;" Floor",""))&amp;(IF(C248=F241,", Plaster",IF(C248&gt;0,", Plaster upto "&amp;C248&amp;" Floor",""))&amp;(IF(C249=F241,", Flooring",IF(C249&gt;0,", Flooring upto "&amp;C249&amp;" Floor",""))&amp;(IF(C250=F241,", Electrical &amp; Plumbing",IF(C250&gt;0,", Electrical &amp; Plumbing upto "&amp;C250&amp;" Floor",""))&amp;(IF(C251=F241,", Painting",IF(C251&gt;0,", Painting upto "&amp;C251&amp;" Floor",""))&amp;(IF(C252&gt;0,", Finishing upto "&amp;C252&amp;" Floor","")&amp;(IF(C246&gt;0.5," Completed",""))))))))))))))</f>
        <v>Plinth, RCC, Brick, Plaster, Flooring, Painting work Completed. Finishing work is in process.</v>
      </c>
      <c r="H240" s="3"/>
    </row>
    <row r="241" spans="1:12" x14ac:dyDescent="0.3">
      <c r="A241" s="243"/>
      <c r="B241" s="244"/>
      <c r="C241" s="68">
        <v>0</v>
      </c>
      <c r="D241" s="68">
        <v>1</v>
      </c>
      <c r="E241" s="68">
        <v>0</v>
      </c>
      <c r="F241" s="69">
        <v>23</v>
      </c>
      <c r="G241" s="4"/>
      <c r="H241" s="5"/>
      <c r="L241" t="s">
        <v>211</v>
      </c>
    </row>
    <row r="242" spans="1:12" ht="29.25" customHeight="1" x14ac:dyDescent="0.3">
      <c r="A242" s="70" t="s">
        <v>9</v>
      </c>
      <c r="B242" s="337" t="str">
        <f>G240</f>
        <v>Plinth, RCC, Brick, Plaster, Flooring, Painting work Completed. Finishing work is in process.</v>
      </c>
      <c r="C242" s="338"/>
      <c r="D242" s="338"/>
      <c r="E242" s="338"/>
      <c r="F242" s="339"/>
      <c r="G242" s="4" t="s">
        <v>10</v>
      </c>
      <c r="H242" s="5"/>
      <c r="L242" t="s">
        <v>209</v>
      </c>
    </row>
    <row r="243" spans="1:12" x14ac:dyDescent="0.3">
      <c r="A243" s="71" t="s">
        <v>11</v>
      </c>
      <c r="B243" s="72" t="s">
        <v>12</v>
      </c>
      <c r="C243" s="73" t="s">
        <v>13</v>
      </c>
      <c r="D243" s="73" t="s">
        <v>14</v>
      </c>
      <c r="E243" s="340" t="s">
        <v>37</v>
      </c>
      <c r="F243" s="341"/>
      <c r="G243" s="6"/>
      <c r="H243" s="7"/>
      <c r="L243" t="s">
        <v>210</v>
      </c>
    </row>
    <row r="244" spans="1:12" ht="15" hidden="1" customHeight="1" x14ac:dyDescent="0.3">
      <c r="A244" s="71" t="s">
        <v>17</v>
      </c>
      <c r="B244" s="74">
        <v>0.15</v>
      </c>
      <c r="C244" s="75">
        <v>7</v>
      </c>
      <c r="D244" s="76">
        <f>((100/F241)*C244)/100</f>
        <v>0.30434782608695649</v>
      </c>
      <c r="E244" s="342">
        <f>((((C245/F241)*35)+(35/(F241+E241+D241)*C246)+(5/F241*C247)+(5/F241*C248)+(5/F241*C249)+(5/F241*C250)+(5/F241*C251)+(2.5/F241*C252)+(2.5/F241*C253))/100)</f>
        <v>0.90652173913043488</v>
      </c>
      <c r="F244" s="343"/>
      <c r="G244" s="6"/>
      <c r="H244" s="8"/>
    </row>
    <row r="245" spans="1:12" x14ac:dyDescent="0.3">
      <c r="A245" s="71" t="s">
        <v>19</v>
      </c>
      <c r="B245" s="74">
        <v>0.35</v>
      </c>
      <c r="C245" s="77">
        <f>H253</f>
        <v>23</v>
      </c>
      <c r="D245" s="76">
        <f>((100/F241)*C245)/100</f>
        <v>1</v>
      </c>
      <c r="E245" s="344"/>
      <c r="F245" s="345"/>
      <c r="G245" s="6"/>
      <c r="H245" s="8"/>
    </row>
    <row r="246" spans="1:12" ht="28.8" x14ac:dyDescent="0.3">
      <c r="A246" s="71" t="s">
        <v>21</v>
      </c>
      <c r="B246" s="74">
        <v>0.35</v>
      </c>
      <c r="C246" s="98">
        <v>24</v>
      </c>
      <c r="D246" s="76">
        <f>((100/(D241+E241+F241))*C246)/100</f>
        <v>1</v>
      </c>
      <c r="E246" s="344"/>
      <c r="F246" s="345"/>
      <c r="G246" s="6" t="s">
        <v>281</v>
      </c>
      <c r="H246" s="9">
        <f>(IF(C241&gt;1,(F241/(C241+2)),F241/7))</f>
        <v>3.2857142857142856</v>
      </c>
    </row>
    <row r="247" spans="1:12" x14ac:dyDescent="0.3">
      <c r="A247" s="71" t="s">
        <v>23</v>
      </c>
      <c r="B247" s="74">
        <v>0.05</v>
      </c>
      <c r="C247" s="77">
        <f>C246-1</f>
        <v>23</v>
      </c>
      <c r="D247" s="76">
        <f>((100/F241)*C247)/100</f>
        <v>1</v>
      </c>
      <c r="E247" s="344"/>
      <c r="F247" s="345"/>
      <c r="G247" s="6" t="s">
        <v>282</v>
      </c>
      <c r="H247" s="9">
        <f>(IF(C241&gt;1,(F241/(C241+2)),F241/3.5))</f>
        <v>6.5714285714285712</v>
      </c>
    </row>
    <row r="248" spans="1:12" x14ac:dyDescent="0.3">
      <c r="A248" s="71" t="s">
        <v>38</v>
      </c>
      <c r="B248" s="74">
        <v>0.05</v>
      </c>
      <c r="C248" s="77">
        <v>23</v>
      </c>
      <c r="D248" s="76">
        <f>((100/F241)*C248)/100</f>
        <v>1</v>
      </c>
      <c r="E248" s="344"/>
      <c r="F248" s="345"/>
      <c r="G248" s="6" t="s">
        <v>26</v>
      </c>
      <c r="H248" s="9">
        <f>(IF(C241&gt;1,(F241/(C241+2)+H247),0))</f>
        <v>0</v>
      </c>
    </row>
    <row r="249" spans="1:12" x14ac:dyDescent="0.3">
      <c r="A249" s="71" t="s">
        <v>29</v>
      </c>
      <c r="B249" s="74">
        <v>0.05</v>
      </c>
      <c r="C249" s="77">
        <v>20</v>
      </c>
      <c r="D249" s="76">
        <f>((100/(F241))*C249)/100</f>
        <v>0.86956521739130432</v>
      </c>
      <c r="E249" s="344"/>
      <c r="F249" s="345"/>
      <c r="G249" s="6" t="s">
        <v>28</v>
      </c>
      <c r="H249" s="9">
        <f>(IF(C241&gt;2,(F241/(C241+2)+H248),0))</f>
        <v>0</v>
      </c>
    </row>
    <row r="250" spans="1:12" ht="28.8" x14ac:dyDescent="0.3">
      <c r="A250" s="421" t="s">
        <v>39</v>
      </c>
      <c r="B250" s="74">
        <v>0.05</v>
      </c>
      <c r="C250" s="422">
        <v>19</v>
      </c>
      <c r="D250" s="76">
        <f>((100/F241)*C250)/100</f>
        <v>0.82608695652173902</v>
      </c>
      <c r="E250" s="344"/>
      <c r="F250" s="345"/>
      <c r="G250" s="6" t="s">
        <v>30</v>
      </c>
      <c r="H250" s="10">
        <f>(IF(C241&gt;3,(F241/(C241+2)+H249),0))</f>
        <v>0</v>
      </c>
    </row>
    <row r="251" spans="1:12" x14ac:dyDescent="0.3">
      <c r="A251" s="71" t="s">
        <v>31</v>
      </c>
      <c r="B251" s="74">
        <v>0.05</v>
      </c>
      <c r="C251" s="75">
        <v>10</v>
      </c>
      <c r="D251" s="76">
        <f>((100/F241)*C251)/100</f>
        <v>0.43478260869565216</v>
      </c>
      <c r="E251" s="344"/>
      <c r="F251" s="345"/>
      <c r="G251" s="6" t="s">
        <v>32</v>
      </c>
      <c r="H251" s="9">
        <f>(IF(C241&gt;4,(F241/(C241+2)+H250),0))</f>
        <v>0</v>
      </c>
    </row>
    <row r="252" spans="1:12" x14ac:dyDescent="0.3">
      <c r="A252" s="71" t="s">
        <v>40</v>
      </c>
      <c r="B252" s="74">
        <v>2.5000000000000001E-2</v>
      </c>
      <c r="C252" s="75">
        <v>0</v>
      </c>
      <c r="D252" s="76">
        <f>((100/(F241))*C252)/100</f>
        <v>0</v>
      </c>
      <c r="E252" s="344"/>
      <c r="F252" s="345"/>
      <c r="G252" s="6" t="s">
        <v>34</v>
      </c>
      <c r="H252" s="9">
        <f>(IF(C241&gt;1,(F241/(C241+2)),F241*4/7))</f>
        <v>13.142857142857142</v>
      </c>
    </row>
    <row r="253" spans="1:12" ht="15" thickBot="1" x14ac:dyDescent="0.35">
      <c r="A253" s="78" t="s">
        <v>35</v>
      </c>
      <c r="B253" s="79">
        <v>2.5000000000000001E-2</v>
      </c>
      <c r="C253" s="80">
        <v>0</v>
      </c>
      <c r="D253" s="81">
        <f>((100/(F241))*C253)/100</f>
        <v>0</v>
      </c>
      <c r="E253" s="344"/>
      <c r="F253" s="345"/>
      <c r="G253" s="11" t="s">
        <v>36</v>
      </c>
      <c r="H253" s="12">
        <f>F241</f>
        <v>23</v>
      </c>
    </row>
    <row r="254" spans="1:12" x14ac:dyDescent="0.3">
      <c r="A254" s="241" t="s">
        <v>392</v>
      </c>
      <c r="B254" s="242"/>
      <c r="C254" s="66" t="s">
        <v>5</v>
      </c>
      <c r="D254" s="66" t="s">
        <v>6</v>
      </c>
      <c r="E254" s="66" t="s">
        <v>7</v>
      </c>
      <c r="F254" s="67" t="s">
        <v>8</v>
      </c>
      <c r="G254" s="2" t="str">
        <f>(IF(E258&gt;99%,"All work completed. Please provide OC.",IF(E258&gt;89.8%,"Plinth, RCC, Brick, Plaster, Flooring, Painting work Completed. Finishing work is in process.",IF(E259&lt;94%,(IF(C258=0,"Work not yet Started.",IF(D258=25%,"Piling work in process",IF(D258=50%,"Excavation work in process",IF(D258=100%," ","")))&amp;(IF(C259=0%,"",IF(C259=H260,"Excavation work is process",IF(C259=H261,"Foudation Work in process",IF(C259=H262,"1st Basement Completed",IF(C259=H263,"1st &amp; 2nd Basement Completed",IF(C259=H264,"1st to 3rd Basement Completed",IF(C259=H265,"1st to 4th Basement Completed",IF(C259=H266,"Plinth work is process",IF(C259=H267,"Plinth work completed","0")))))))))))&amp;(IF(C260=(D255+E255+F255),", RCC Slab",IF(C260&gt;0,", RCC upto "&amp;C260&amp;" Slab",""))&amp;(IF(C261=F255,", Brickwork",IF(C261&gt;0,", Brickwork upto "&amp;C261&amp;" Floor",""))&amp;(IF(C262=F255,", Plaster",IF(C262&gt;0,", Plaster upto "&amp;C262&amp;" Floor",""))&amp;(IF(C263=F255,", Flooring",IF(C263&gt;0,", Flooring upto "&amp;C263&amp;" Floor",""))&amp;(IF(C264=F255,", Electrical &amp; Plumbing",IF(C264&gt;0,", Electrical &amp; Plumbing upto "&amp;C264&amp;" Floor",""))&amp;(IF(C265=F255,", Painting",IF(C265&gt;0,", Painting upto "&amp;C265&amp;" Floor",""))&amp;(IF(C266&gt;0,", Finishing upto "&amp;C266&amp;" Floor","")&amp;(IF(C260&gt;0.5," Completed",""))))))))))))))</f>
        <v>Plinth work completed, RCC Slab, Brickwork, Plaster, Flooring upto 20 Floor, Electrical &amp; Plumbing upto 19 Floor Completed</v>
      </c>
      <c r="H254" s="3"/>
    </row>
    <row r="255" spans="1:12" x14ac:dyDescent="0.3">
      <c r="A255" s="243"/>
      <c r="B255" s="244"/>
      <c r="C255" s="68">
        <v>0</v>
      </c>
      <c r="D255" s="68">
        <v>1</v>
      </c>
      <c r="E255" s="68">
        <v>0</v>
      </c>
      <c r="F255" s="69">
        <v>23</v>
      </c>
      <c r="G255" s="4"/>
      <c r="H255" s="5"/>
      <c r="L255" t="s">
        <v>211</v>
      </c>
    </row>
    <row r="256" spans="1:12" ht="34.5" customHeight="1" x14ac:dyDescent="0.3">
      <c r="A256" s="70" t="s">
        <v>9</v>
      </c>
      <c r="B256" s="337" t="str">
        <f>G254</f>
        <v>Plinth work completed, RCC Slab, Brickwork, Plaster, Flooring upto 20 Floor, Electrical &amp; Plumbing upto 19 Floor Completed</v>
      </c>
      <c r="C256" s="338"/>
      <c r="D256" s="338"/>
      <c r="E256" s="338"/>
      <c r="F256" s="339"/>
      <c r="G256" s="4" t="s">
        <v>10</v>
      </c>
      <c r="H256" s="5"/>
      <c r="L256" t="s">
        <v>209</v>
      </c>
    </row>
    <row r="257" spans="1:12" x14ac:dyDescent="0.3">
      <c r="A257" s="71" t="s">
        <v>11</v>
      </c>
      <c r="B257" s="72" t="s">
        <v>12</v>
      </c>
      <c r="C257" s="73" t="s">
        <v>13</v>
      </c>
      <c r="D257" s="73" t="s">
        <v>14</v>
      </c>
      <c r="E257" s="340" t="s">
        <v>37</v>
      </c>
      <c r="F257" s="341"/>
      <c r="G257" s="6"/>
      <c r="H257" s="7"/>
      <c r="L257" t="s">
        <v>210</v>
      </c>
    </row>
    <row r="258" spans="1:12" ht="15" hidden="1" customHeight="1" x14ac:dyDescent="0.3">
      <c r="A258" s="71" t="s">
        <v>17</v>
      </c>
      <c r="B258" s="74">
        <v>0.15</v>
      </c>
      <c r="C258" s="75">
        <v>7</v>
      </c>
      <c r="D258" s="76">
        <f>((100/F255)*C258)/100</f>
        <v>0.30434782608695649</v>
      </c>
      <c r="E258" s="342">
        <f>((((C259/F255)*35)+(35/(F255+E255+D255)*C260)+(5/F255*C261)+(5/F255*C262)+(5/F255*C263)+(5/F255*C264)+(5/F255*C265)+(2.5/F255*C266)+(2.5/F255*C267))/100)</f>
        <v>0.88478260869565217</v>
      </c>
      <c r="F258" s="343"/>
      <c r="G258" s="6"/>
      <c r="H258" s="8"/>
    </row>
    <row r="259" spans="1:12" x14ac:dyDescent="0.3">
      <c r="A259" s="71" t="s">
        <v>19</v>
      </c>
      <c r="B259" s="74">
        <v>0.35</v>
      </c>
      <c r="C259" s="77">
        <f>H267</f>
        <v>23</v>
      </c>
      <c r="D259" s="76">
        <f>((100/F255)*C259)/100</f>
        <v>1</v>
      </c>
      <c r="E259" s="344"/>
      <c r="F259" s="345"/>
      <c r="G259" s="6"/>
      <c r="H259" s="8"/>
    </row>
    <row r="260" spans="1:12" ht="28.8" x14ac:dyDescent="0.3">
      <c r="A260" s="71" t="s">
        <v>21</v>
      </c>
      <c r="B260" s="74">
        <v>0.35</v>
      </c>
      <c r="C260" s="98">
        <v>24</v>
      </c>
      <c r="D260" s="76">
        <f>((100/(D255+E255+F255))*C260)/100</f>
        <v>1</v>
      </c>
      <c r="E260" s="344"/>
      <c r="F260" s="345"/>
      <c r="G260" s="6" t="s">
        <v>281</v>
      </c>
      <c r="H260" s="9">
        <f>(IF(C255&gt;1,(F255/(C255+2)),F255/7))</f>
        <v>3.2857142857142856</v>
      </c>
    </row>
    <row r="261" spans="1:12" x14ac:dyDescent="0.3">
      <c r="A261" s="71" t="s">
        <v>23</v>
      </c>
      <c r="B261" s="74">
        <v>0.05</v>
      </c>
      <c r="C261" s="77">
        <f>C260-1</f>
        <v>23</v>
      </c>
      <c r="D261" s="76">
        <f>((100/F255)*C261)/100</f>
        <v>1</v>
      </c>
      <c r="E261" s="344"/>
      <c r="F261" s="345"/>
      <c r="G261" s="6" t="s">
        <v>282</v>
      </c>
      <c r="H261" s="9">
        <f>(IF(C255&gt;1,(F255/(C255+2)),F255/3.5))</f>
        <v>6.5714285714285712</v>
      </c>
    </row>
    <row r="262" spans="1:12" x14ac:dyDescent="0.3">
      <c r="A262" s="71" t="s">
        <v>38</v>
      </c>
      <c r="B262" s="74">
        <v>0.05</v>
      </c>
      <c r="C262" s="77">
        <f>C261</f>
        <v>23</v>
      </c>
      <c r="D262" s="76">
        <f>((100/F255)*C262)/100</f>
        <v>1</v>
      </c>
      <c r="E262" s="344"/>
      <c r="F262" s="345"/>
      <c r="G262" s="6" t="s">
        <v>26</v>
      </c>
      <c r="H262" s="9">
        <f>(IF(C255&gt;1,(F255/(C255+2)+H261),0))</f>
        <v>0</v>
      </c>
    </row>
    <row r="263" spans="1:12" x14ac:dyDescent="0.3">
      <c r="A263" s="71" t="s">
        <v>29</v>
      </c>
      <c r="B263" s="74">
        <v>0.05</v>
      </c>
      <c r="C263" s="77">
        <v>20</v>
      </c>
      <c r="D263" s="76">
        <f>((100/(F255))*C263)/100</f>
        <v>0.86956521739130432</v>
      </c>
      <c r="E263" s="344"/>
      <c r="F263" s="345"/>
      <c r="G263" s="6" t="s">
        <v>28</v>
      </c>
      <c r="H263" s="9">
        <f>(IF(C255&gt;2,(F255/(C255+2)+H262),0))</f>
        <v>0</v>
      </c>
    </row>
    <row r="264" spans="1:12" ht="28.8" x14ac:dyDescent="0.3">
      <c r="A264" s="71" t="s">
        <v>39</v>
      </c>
      <c r="B264" s="74">
        <v>0.05</v>
      </c>
      <c r="C264" s="422">
        <v>19</v>
      </c>
      <c r="D264" s="76">
        <f>((100/F255)*C264)/100</f>
        <v>0.82608695652173902</v>
      </c>
      <c r="E264" s="344"/>
      <c r="F264" s="345"/>
      <c r="G264" s="6" t="s">
        <v>30</v>
      </c>
      <c r="H264" s="10">
        <f>(IF(C255&gt;3,(F255/(C255+2)+H263),0))</f>
        <v>0</v>
      </c>
    </row>
    <row r="265" spans="1:12" x14ac:dyDescent="0.3">
      <c r="A265" s="71" t="s">
        <v>31</v>
      </c>
      <c r="B265" s="74">
        <v>0.05</v>
      </c>
      <c r="C265" s="75">
        <v>0</v>
      </c>
      <c r="D265" s="76">
        <f>((100/F255)*C265)/100</f>
        <v>0</v>
      </c>
      <c r="E265" s="344"/>
      <c r="F265" s="345"/>
      <c r="G265" s="6" t="s">
        <v>32</v>
      </c>
      <c r="H265" s="9">
        <f>(IF(C255&gt;4,(F255/(C255+2)+H264),0))</f>
        <v>0</v>
      </c>
    </row>
    <row r="266" spans="1:12" x14ac:dyDescent="0.3">
      <c r="A266" s="71" t="s">
        <v>40</v>
      </c>
      <c r="B266" s="74">
        <v>2.5000000000000001E-2</v>
      </c>
      <c r="C266" s="75">
        <v>0</v>
      </c>
      <c r="D266" s="76">
        <f>((100/(F255))*C266)/100</f>
        <v>0</v>
      </c>
      <c r="E266" s="344"/>
      <c r="F266" s="345"/>
      <c r="G266" s="6" t="s">
        <v>34</v>
      </c>
      <c r="H266" s="9">
        <f>(IF(C255&gt;1,(F255/(C255+2)),F255*4/7))</f>
        <v>13.142857142857142</v>
      </c>
    </row>
    <row r="267" spans="1:12" ht="15" thickBot="1" x14ac:dyDescent="0.35">
      <c r="A267" s="78" t="s">
        <v>35</v>
      </c>
      <c r="B267" s="79">
        <v>2.5000000000000001E-2</v>
      </c>
      <c r="C267" s="80">
        <v>0</v>
      </c>
      <c r="D267" s="81">
        <f>((100/(F255))*C267)/100</f>
        <v>0</v>
      </c>
      <c r="E267" s="344"/>
      <c r="F267" s="345"/>
      <c r="G267" s="11" t="s">
        <v>36</v>
      </c>
      <c r="H267" s="12">
        <f>F255</f>
        <v>23</v>
      </c>
    </row>
    <row r="268" spans="1:12" x14ac:dyDescent="0.3">
      <c r="A268" s="241" t="s">
        <v>393</v>
      </c>
      <c r="B268" s="242"/>
      <c r="C268" s="66" t="s">
        <v>5</v>
      </c>
      <c r="D268" s="66" t="s">
        <v>6</v>
      </c>
      <c r="E268" s="66" t="s">
        <v>7</v>
      </c>
      <c r="F268" s="67" t="s">
        <v>8</v>
      </c>
      <c r="G268" s="2" t="str">
        <f>(IF(E272&gt;99%,"All work completed. Please provide OC.",IF(E272&gt;89.8%,"Plinth, RCC, Brick, Plaster, Flooring, Painting work Completed. Finishing work is in process.",IF(E273&lt;94%,(IF(C272=0,"Work not yet Started.",IF(D272=25%,"Piling work in process",IF(D272=50%,"Excavation work in process",IF(D272=100%," ","")))&amp;(IF(C273=0%,"",IF(C273=H274,"Excavation work is process",IF(C273=H275,"Foudation Work in process",IF(C273=H276,"1st Basement Completed",IF(C273=H277,"1st &amp; 2nd Basement Completed",IF(C273=H278,"1st to 3rd Basement Completed",IF(C273=H279,"1st to 4th Basement Completed",IF(C273=H280,"Plinth work is process",IF(C273=H281,"Plinth work completed","0")))))))))))&amp;(IF(C274=(D269+E269+F269),", RCC Slab",IF(C274&gt;0,", RCC upto "&amp;C274&amp;" Slab",""))&amp;(IF(C275=F269,", Brickwork",IF(C275&gt;0,", Brickwork upto "&amp;C275&amp;" Floor",""))&amp;(IF(C276=F269,", Plaster",IF(C276&gt;0,", Plaster upto "&amp;C276&amp;" Floor",""))&amp;(IF(C277=F269,", Flooring",IF(C277&gt;0,", Flooring upto "&amp;C277&amp;" Floor",""))&amp;(IF(C278=F269,", Electrical &amp; Plumbing",IF(C278&gt;0,", Electrical &amp; Plumbing upto "&amp;C278&amp;" Floor",""))&amp;(IF(C279=F269,", Painting",IF(C279&gt;0,", Painting upto "&amp;C279&amp;" Floor",""))&amp;(IF(C280&gt;0,", Finishing upto "&amp;C280&amp;" Floor","")&amp;(IF(C274&gt;0.5," Completed",""))))))))))))))</f>
        <v>Plinth, RCC, Brick, Plaster, Flooring, Painting work Completed. Finishing work is in process.</v>
      </c>
      <c r="H268" s="3"/>
    </row>
    <row r="269" spans="1:12" x14ac:dyDescent="0.3">
      <c r="A269" s="243"/>
      <c r="B269" s="244"/>
      <c r="C269" s="68">
        <v>0</v>
      </c>
      <c r="D269" s="68">
        <v>1</v>
      </c>
      <c r="E269" s="68">
        <v>0</v>
      </c>
      <c r="F269" s="69">
        <v>23</v>
      </c>
      <c r="G269" s="4"/>
      <c r="H269" s="5"/>
      <c r="L269" t="s">
        <v>211</v>
      </c>
    </row>
    <row r="270" spans="1:12" ht="31.5" customHeight="1" x14ac:dyDescent="0.3">
      <c r="A270" s="70" t="s">
        <v>9</v>
      </c>
      <c r="B270" s="337" t="str">
        <f>G268</f>
        <v>Plinth, RCC, Brick, Plaster, Flooring, Painting work Completed. Finishing work is in process.</v>
      </c>
      <c r="C270" s="338"/>
      <c r="D270" s="338"/>
      <c r="E270" s="338"/>
      <c r="F270" s="339"/>
      <c r="G270" s="4" t="s">
        <v>10</v>
      </c>
      <c r="H270" s="5"/>
      <c r="L270" t="s">
        <v>209</v>
      </c>
    </row>
    <row r="271" spans="1:12" x14ac:dyDescent="0.3">
      <c r="A271" s="71" t="s">
        <v>11</v>
      </c>
      <c r="B271" s="72" t="s">
        <v>12</v>
      </c>
      <c r="C271" s="73" t="s">
        <v>13</v>
      </c>
      <c r="D271" s="73" t="s">
        <v>14</v>
      </c>
      <c r="E271" s="340" t="s">
        <v>37</v>
      </c>
      <c r="F271" s="341"/>
      <c r="G271" s="6"/>
      <c r="H271" s="7"/>
      <c r="L271" t="s">
        <v>210</v>
      </c>
    </row>
    <row r="272" spans="1:12" ht="15" hidden="1" customHeight="1" x14ac:dyDescent="0.3">
      <c r="A272" s="71" t="s">
        <v>17</v>
      </c>
      <c r="B272" s="74">
        <v>0.15</v>
      </c>
      <c r="C272" s="75">
        <v>7</v>
      </c>
      <c r="D272" s="76">
        <f>((100/F269)*C272)/100</f>
        <v>0.30434782608695649</v>
      </c>
      <c r="E272" s="342">
        <f>((((C273/F269)*35)+(35/(F269+E269+D269)*C274)+(5/F269*C275)+(5/F269*C276)+(5/F269*C277)+(5/F269*C278)+(5/F269*C279)+(2.5/F269*C280)+(2.5/F269*C281))/100)</f>
        <v>0.93260869565217386</v>
      </c>
      <c r="F272" s="343"/>
      <c r="G272" s="6"/>
      <c r="H272" s="8"/>
    </row>
    <row r="273" spans="1:13" x14ac:dyDescent="0.3">
      <c r="A273" s="71" t="s">
        <v>19</v>
      </c>
      <c r="B273" s="74">
        <v>0.35</v>
      </c>
      <c r="C273" s="77">
        <f>H281</f>
        <v>23</v>
      </c>
      <c r="D273" s="76">
        <f>((100/F269)*C273)/100</f>
        <v>1</v>
      </c>
      <c r="E273" s="344"/>
      <c r="F273" s="345"/>
      <c r="G273" s="6"/>
      <c r="H273" s="8"/>
    </row>
    <row r="274" spans="1:13" ht="28.8" x14ac:dyDescent="0.3">
      <c r="A274" s="71" t="s">
        <v>21</v>
      </c>
      <c r="B274" s="74">
        <v>0.35</v>
      </c>
      <c r="C274" s="98">
        <v>24</v>
      </c>
      <c r="D274" s="76">
        <f>((100/(D269+E269+F269))*C274)/100</f>
        <v>1</v>
      </c>
      <c r="E274" s="344"/>
      <c r="F274" s="345"/>
      <c r="G274" s="6" t="s">
        <v>281</v>
      </c>
      <c r="H274" s="9">
        <f>(IF(C269&gt;1,(F269/(C269+2)),F269/7))</f>
        <v>3.2857142857142856</v>
      </c>
    </row>
    <row r="275" spans="1:13" x14ac:dyDescent="0.3">
      <c r="A275" s="71" t="s">
        <v>23</v>
      </c>
      <c r="B275" s="74">
        <v>0.05</v>
      </c>
      <c r="C275" s="77">
        <f>C274-1</f>
        <v>23</v>
      </c>
      <c r="D275" s="76">
        <f>((100/F269)*C275)/100</f>
        <v>1</v>
      </c>
      <c r="E275" s="344"/>
      <c r="F275" s="345"/>
      <c r="G275" s="6" t="s">
        <v>282</v>
      </c>
      <c r="H275" s="9">
        <f>(IF(C269&gt;1,(F269/(C269+2)),F269/3.5))</f>
        <v>6.5714285714285712</v>
      </c>
    </row>
    <row r="276" spans="1:13" x14ac:dyDescent="0.3">
      <c r="A276" s="71" t="s">
        <v>38</v>
      </c>
      <c r="B276" s="74">
        <v>0.05</v>
      </c>
      <c r="C276" s="77">
        <f>C275</f>
        <v>23</v>
      </c>
      <c r="D276" s="76">
        <f>((100/F269)*C276)/100</f>
        <v>1</v>
      </c>
      <c r="E276" s="344"/>
      <c r="F276" s="345"/>
      <c r="G276" s="6" t="s">
        <v>26</v>
      </c>
      <c r="H276" s="9">
        <f>(IF(C269&gt;1,(F269/(C269+2)+H275),0))</f>
        <v>0</v>
      </c>
    </row>
    <row r="277" spans="1:13" x14ac:dyDescent="0.3">
      <c r="A277" s="71" t="s">
        <v>29</v>
      </c>
      <c r="B277" s="74">
        <v>0.05</v>
      </c>
      <c r="C277" s="77">
        <v>23</v>
      </c>
      <c r="D277" s="76">
        <f>((100/(F269))*C277)/100</f>
        <v>1</v>
      </c>
      <c r="E277" s="344"/>
      <c r="F277" s="345"/>
      <c r="G277" s="6" t="s">
        <v>28</v>
      </c>
      <c r="H277" s="9">
        <f>(IF(C269&gt;2,(F269/(C269+2)+H276),0))</f>
        <v>0</v>
      </c>
    </row>
    <row r="278" spans="1:13" ht="28.8" x14ac:dyDescent="0.3">
      <c r="A278" s="423" t="s">
        <v>39</v>
      </c>
      <c r="B278" s="74">
        <v>0.05</v>
      </c>
      <c r="C278" s="422">
        <v>21</v>
      </c>
      <c r="D278" s="76">
        <f>((100/F269)*C278)/100</f>
        <v>0.91304347826086951</v>
      </c>
      <c r="E278" s="344"/>
      <c r="F278" s="345"/>
      <c r="G278" s="6" t="s">
        <v>30</v>
      </c>
      <c r="H278" s="10">
        <f>(IF(C269&gt;3,(F269/(C269+2)+H277),0))</f>
        <v>0</v>
      </c>
    </row>
    <row r="279" spans="1:13" x14ac:dyDescent="0.3">
      <c r="A279" s="421" t="s">
        <v>31</v>
      </c>
      <c r="B279" s="74">
        <v>0.05</v>
      </c>
      <c r="C279" s="422">
        <v>17</v>
      </c>
      <c r="D279" s="76">
        <f>((100/F269)*C279)/100</f>
        <v>0.73913043478260865</v>
      </c>
      <c r="E279" s="344"/>
      <c r="F279" s="345"/>
      <c r="G279" s="6" t="s">
        <v>32</v>
      </c>
      <c r="H279" s="9">
        <f>(IF(C269&gt;4,(F269/(C269+2)+H278),0))</f>
        <v>0</v>
      </c>
    </row>
    <row r="280" spans="1:13" x14ac:dyDescent="0.3">
      <c r="A280" s="71" t="s">
        <v>40</v>
      </c>
      <c r="B280" s="74">
        <v>2.5000000000000001E-2</v>
      </c>
      <c r="C280" s="75">
        <v>0</v>
      </c>
      <c r="D280" s="76">
        <f>((100/(F269))*C280)/100</f>
        <v>0</v>
      </c>
      <c r="E280" s="344"/>
      <c r="F280" s="345"/>
      <c r="G280" s="6" t="s">
        <v>34</v>
      </c>
      <c r="H280" s="9">
        <f>(IF(C269&gt;1,(F269/(C269+2)),F269*4/7))</f>
        <v>13.142857142857142</v>
      </c>
    </row>
    <row r="281" spans="1:13" ht="15" thickBot="1" x14ac:dyDescent="0.35">
      <c r="A281" s="78" t="s">
        <v>35</v>
      </c>
      <c r="B281" s="79">
        <v>2.5000000000000001E-2</v>
      </c>
      <c r="C281" s="80">
        <v>0</v>
      </c>
      <c r="D281" s="81">
        <f>((100/(F269))*C281)/100</f>
        <v>0</v>
      </c>
      <c r="E281" s="344"/>
      <c r="F281" s="345"/>
      <c r="G281" s="11" t="s">
        <v>36</v>
      </c>
      <c r="H281" s="12">
        <f>F269</f>
        <v>23</v>
      </c>
    </row>
    <row r="282" spans="1:13" s="56" customFormat="1" x14ac:dyDescent="0.3">
      <c r="A282" s="390" t="s">
        <v>107</v>
      </c>
      <c r="B282" s="391"/>
      <c r="C282" s="391"/>
      <c r="D282" s="391"/>
      <c r="E282" s="394">
        <f>AVERAGE(E129,E144,E158,E172,E186,E200,E186,E238,E244,E258,E272)</f>
        <v>0.75802453886693011</v>
      </c>
      <c r="F282" s="395"/>
    </row>
    <row r="283" spans="1:13" s="56" customFormat="1" x14ac:dyDescent="0.3">
      <c r="A283" s="392"/>
      <c r="B283" s="393"/>
      <c r="C283" s="393"/>
      <c r="D283" s="393"/>
      <c r="E283" s="393"/>
      <c r="F283" s="396"/>
      <c r="G283" s="57"/>
      <c r="H283" s="58"/>
    </row>
    <row r="284" spans="1:13" x14ac:dyDescent="0.3">
      <c r="A284" s="372" t="s">
        <v>45</v>
      </c>
      <c r="B284" s="373"/>
      <c r="C284" s="373"/>
      <c r="D284" s="373"/>
      <c r="E284" s="373"/>
      <c r="F284" s="374"/>
    </row>
    <row r="285" spans="1:13" ht="36" x14ac:dyDescent="0.3">
      <c r="A285" s="118" t="s">
        <v>199</v>
      </c>
      <c r="B285" s="47" t="s">
        <v>200</v>
      </c>
      <c r="C285" s="47" t="s">
        <v>201</v>
      </c>
      <c r="D285" s="47" t="s">
        <v>202</v>
      </c>
      <c r="E285" s="47" t="s">
        <v>203</v>
      </c>
      <c r="F285" s="115" t="s">
        <v>204</v>
      </c>
    </row>
    <row r="286" spans="1:13" ht="49.5" customHeight="1" thickBot="1" x14ac:dyDescent="0.35">
      <c r="A286" s="124">
        <v>1</v>
      </c>
      <c r="B286" s="63">
        <v>10</v>
      </c>
      <c r="C286" s="63" t="s">
        <v>366</v>
      </c>
      <c r="D286" s="100" t="s">
        <v>367</v>
      </c>
      <c r="E286" s="63" t="s">
        <v>366</v>
      </c>
      <c r="F286" s="123">
        <v>7538</v>
      </c>
    </row>
    <row r="287" spans="1:13" s="35" customFormat="1" ht="15.75" customHeight="1" x14ac:dyDescent="0.3">
      <c r="A287" s="375" t="s">
        <v>265</v>
      </c>
      <c r="B287" s="376"/>
      <c r="C287" s="376"/>
      <c r="D287" s="376"/>
      <c r="E287" s="376"/>
      <c r="F287" s="377"/>
      <c r="G287" s="41"/>
      <c r="H287" s="41"/>
      <c r="I287"/>
      <c r="J287"/>
      <c r="K287"/>
      <c r="L287"/>
      <c r="M287"/>
    </row>
    <row r="288" spans="1:13" s="35" customFormat="1" ht="15.75" customHeight="1" x14ac:dyDescent="0.3">
      <c r="A288" s="64" t="s">
        <v>46</v>
      </c>
      <c r="B288" s="46" t="s">
        <v>47</v>
      </c>
      <c r="C288" s="270" t="s">
        <v>48</v>
      </c>
      <c r="D288" s="270"/>
      <c r="E288" s="271" t="s">
        <v>49</v>
      </c>
      <c r="F288" s="272"/>
      <c r="G288" s="273"/>
      <c r="H288" s="273"/>
      <c r="I288" s="361"/>
      <c r="J288" s="361"/>
      <c r="K288" s="361"/>
      <c r="L288" s="361"/>
    </row>
    <row r="289" spans="1:13" s="35" customFormat="1" ht="15.6" x14ac:dyDescent="0.3">
      <c r="A289" s="82" t="s">
        <v>339</v>
      </c>
      <c r="B289" s="83">
        <f>COUNT(C323:C340)</f>
        <v>18</v>
      </c>
      <c r="C289" s="137">
        <f>SUM(C323:C340)</f>
        <v>3324.5561232000005</v>
      </c>
      <c r="D289" s="138"/>
      <c r="E289" s="137">
        <f>SUM(F323:F340)</f>
        <v>7184.5446067199991</v>
      </c>
      <c r="F289" s="139"/>
      <c r="G289" s="176"/>
      <c r="H289" s="186"/>
      <c r="I289" s="361"/>
      <c r="J289" s="361"/>
      <c r="K289" s="361"/>
      <c r="L289" s="361"/>
    </row>
    <row r="290" spans="1:13" s="35" customFormat="1" ht="15.75" customHeight="1" x14ac:dyDescent="0.3">
      <c r="A290" s="82" t="s">
        <v>323</v>
      </c>
      <c r="B290" s="83">
        <f>COUNT(C343:C367)</f>
        <v>25</v>
      </c>
      <c r="C290" s="137">
        <f>SUM(C343:C367)</f>
        <v>4558.2504551999991</v>
      </c>
      <c r="D290" s="138"/>
      <c r="E290" s="137">
        <f>SUM(F343:F367)</f>
        <v>9766.2512563199998</v>
      </c>
      <c r="F290" s="139"/>
      <c r="G290" s="176"/>
      <c r="H290" s="186"/>
      <c r="I290" s="361"/>
      <c r="J290" s="361"/>
      <c r="K290" s="361"/>
      <c r="L290" s="361"/>
    </row>
    <row r="291" spans="1:13" s="35" customFormat="1" ht="15.6" x14ac:dyDescent="0.3">
      <c r="A291" s="82" t="s">
        <v>346</v>
      </c>
      <c r="B291" s="83">
        <f>COUNT(C386:C392)</f>
        <v>7</v>
      </c>
      <c r="C291" s="137">
        <f>SUM(C386:C392)</f>
        <v>1490.7924719999999</v>
      </c>
      <c r="D291" s="138"/>
      <c r="E291" s="137">
        <f>SUM(F386:F392)</f>
        <v>2999.7631871999997</v>
      </c>
      <c r="F291" s="139"/>
      <c r="G291" s="176"/>
      <c r="H291" s="186"/>
      <c r="I291" s="361"/>
      <c r="J291" s="361"/>
      <c r="K291" s="361"/>
      <c r="L291" s="361"/>
    </row>
    <row r="292" spans="1:13" s="35" customFormat="1" ht="15.75" customHeight="1" x14ac:dyDescent="0.3">
      <c r="A292" s="82" t="s">
        <v>349</v>
      </c>
      <c r="B292" s="83">
        <f>COUNT(C395:C403)</f>
        <v>9</v>
      </c>
      <c r="C292" s="137">
        <f>SUM(C395:C403)</f>
        <v>1987.3422503999996</v>
      </c>
      <c r="D292" s="138"/>
      <c r="E292" s="137">
        <f>SUM(F395:F403)</f>
        <v>3942.3554726399998</v>
      </c>
      <c r="F292" s="139"/>
      <c r="G292" s="176"/>
      <c r="H292" s="186"/>
      <c r="I292" s="361"/>
      <c r="J292" s="361"/>
      <c r="K292" s="361"/>
      <c r="L292" s="361"/>
    </row>
    <row r="293" spans="1:13" s="35" customFormat="1" ht="15.6" x14ac:dyDescent="0.3">
      <c r="A293" s="82" t="s">
        <v>350</v>
      </c>
      <c r="B293" s="83">
        <f>COUNT(C406:C430)</f>
        <v>25</v>
      </c>
      <c r="C293" s="137">
        <f>SUM(C406:C430)</f>
        <v>5746.5723743999997</v>
      </c>
      <c r="D293" s="138"/>
      <c r="E293" s="137">
        <f>SUM(F406:F430)</f>
        <v>11360.32904448</v>
      </c>
      <c r="F293" s="139"/>
      <c r="G293" s="176"/>
      <c r="H293" s="186"/>
      <c r="I293" s="361"/>
      <c r="J293" s="361"/>
      <c r="K293" s="361"/>
      <c r="L293" s="361"/>
    </row>
    <row r="294" spans="1:13" s="35" customFormat="1" ht="15.75" customHeight="1" x14ac:dyDescent="0.3">
      <c r="A294" s="82" t="s">
        <v>351</v>
      </c>
      <c r="B294" s="83">
        <f>COUNT(C433:C446)</f>
        <v>14</v>
      </c>
      <c r="C294" s="137">
        <f>SUM(C433:C446)</f>
        <v>3101.2913879999996</v>
      </c>
      <c r="D294" s="138"/>
      <c r="E294" s="137">
        <f>SUM(F433:F446)</f>
        <v>6157.9896767999981</v>
      </c>
      <c r="F294" s="139"/>
      <c r="G294" s="176"/>
      <c r="H294" s="186"/>
      <c r="I294" s="361"/>
      <c r="J294" s="361"/>
      <c r="K294" s="361"/>
      <c r="L294" s="361"/>
    </row>
    <row r="295" spans="1:13" s="35" customFormat="1" ht="15.6" x14ac:dyDescent="0.3">
      <c r="A295" s="82" t="s">
        <v>352</v>
      </c>
      <c r="B295" s="83">
        <f>COUNT(C449:C465)</f>
        <v>17</v>
      </c>
      <c r="C295" s="137">
        <f>SUM(C449:C465)</f>
        <v>3229.4906279999996</v>
      </c>
      <c r="D295" s="138"/>
      <c r="E295" s="137">
        <f>SUM(F449:F465)</f>
        <v>6412.7434176000006</v>
      </c>
      <c r="F295" s="139"/>
      <c r="G295" s="176"/>
      <c r="H295" s="186"/>
      <c r="I295" s="361"/>
      <c r="J295" s="361"/>
      <c r="K295" s="361"/>
      <c r="L295" s="361"/>
    </row>
    <row r="296" spans="1:13" s="35" customFormat="1" ht="16.2" thickBot="1" x14ac:dyDescent="0.35">
      <c r="A296" s="84" t="s">
        <v>50</v>
      </c>
      <c r="B296" s="85">
        <f>SUM(B289:B295)</f>
        <v>115</v>
      </c>
      <c r="C296" s="253">
        <f>SUM(C289:C295)</f>
        <v>23438.295691199994</v>
      </c>
      <c r="D296" s="254"/>
      <c r="E296" s="255">
        <f>SUM(E289:E295)</f>
        <v>47823.976661759996</v>
      </c>
      <c r="F296" s="256"/>
      <c r="G296" s="181"/>
      <c r="H296" s="182"/>
      <c r="J296" s="36"/>
    </row>
    <row r="297" spans="1:13" s="35" customFormat="1" ht="15.75" hidden="1" customHeight="1" x14ac:dyDescent="0.3">
      <c r="A297" s="375" t="s">
        <v>267</v>
      </c>
      <c r="B297" s="376"/>
      <c r="C297" s="376"/>
      <c r="D297" s="376"/>
      <c r="E297" s="376"/>
      <c r="F297" s="377"/>
      <c r="G297" s="41"/>
      <c r="H297" s="41"/>
      <c r="I297"/>
      <c r="J297"/>
      <c r="K297"/>
      <c r="L297"/>
      <c r="M297"/>
    </row>
    <row r="298" spans="1:13" s="35" customFormat="1" ht="15.75" hidden="1" customHeight="1" x14ac:dyDescent="0.3">
      <c r="A298" s="64" t="s">
        <v>46</v>
      </c>
      <c r="B298" s="46" t="s">
        <v>47</v>
      </c>
      <c r="C298" s="270" t="s">
        <v>48</v>
      </c>
      <c r="D298" s="270"/>
      <c r="E298" s="271" t="s">
        <v>49</v>
      </c>
      <c r="F298" s="272"/>
      <c r="G298" s="273"/>
      <c r="H298" s="273"/>
      <c r="I298" s="361"/>
      <c r="J298" s="361"/>
      <c r="K298" s="361"/>
      <c r="L298" s="361"/>
    </row>
    <row r="299" spans="1:13" s="35" customFormat="1" ht="15.6" hidden="1" x14ac:dyDescent="0.3">
      <c r="A299" s="82" t="s">
        <v>266</v>
      </c>
      <c r="B299" s="83"/>
      <c r="C299" s="137"/>
      <c r="D299" s="138"/>
      <c r="E299" s="137"/>
      <c r="F299" s="139"/>
      <c r="G299" s="176"/>
      <c r="H299" s="186"/>
      <c r="I299" s="361"/>
      <c r="J299" s="361"/>
      <c r="K299" s="361"/>
      <c r="L299" s="361"/>
    </row>
    <row r="300" spans="1:13" s="35" customFormat="1" ht="15.75" hidden="1" customHeight="1" x14ac:dyDescent="0.3">
      <c r="A300" s="82" t="s">
        <v>268</v>
      </c>
      <c r="B300" s="83"/>
      <c r="C300" s="137"/>
      <c r="D300" s="138"/>
      <c r="E300" s="137"/>
      <c r="F300" s="139"/>
      <c r="G300" s="176"/>
      <c r="H300" s="186"/>
    </row>
    <row r="301" spans="1:13" s="35" customFormat="1" ht="16.2" hidden="1" thickBot="1" x14ac:dyDescent="0.35">
      <c r="A301" s="84" t="s">
        <v>50</v>
      </c>
      <c r="B301" s="85">
        <f>SUM(B299:B300)</f>
        <v>0</v>
      </c>
      <c r="C301" s="253">
        <f>SUM(C299:C300)</f>
        <v>0</v>
      </c>
      <c r="D301" s="254"/>
      <c r="E301" s="255">
        <f>SUM(E299:E300)</f>
        <v>0</v>
      </c>
      <c r="F301" s="256"/>
      <c r="G301" s="181"/>
      <c r="H301" s="182"/>
      <c r="J301" s="36"/>
    </row>
    <row r="302" spans="1:13" s="35" customFormat="1" ht="15.75" customHeight="1" x14ac:dyDescent="0.3">
      <c r="A302" s="362" t="s">
        <v>270</v>
      </c>
      <c r="B302" s="363"/>
      <c r="C302" s="363"/>
      <c r="D302" s="363"/>
      <c r="E302" s="363"/>
      <c r="F302" s="364"/>
      <c r="G302" s="41"/>
      <c r="H302" s="41"/>
    </row>
    <row r="303" spans="1:13" s="35" customFormat="1" ht="15.75" customHeight="1" x14ac:dyDescent="0.3">
      <c r="A303" s="64" t="s">
        <v>46</v>
      </c>
      <c r="B303" s="46" t="s">
        <v>47</v>
      </c>
      <c r="C303" s="270" t="s">
        <v>48</v>
      </c>
      <c r="D303" s="270"/>
      <c r="E303" s="271" t="s">
        <v>49</v>
      </c>
      <c r="F303" s="272"/>
      <c r="G303" s="273"/>
      <c r="H303" s="273"/>
    </row>
    <row r="304" spans="1:13" s="35" customFormat="1" ht="15.6" x14ac:dyDescent="0.3">
      <c r="A304" s="82" t="s">
        <v>353</v>
      </c>
      <c r="B304" s="83">
        <f>COUNT(C473:C500)+COUNT(C502:C529)*18+COUNT(C531:C542,C546:C558)*4</f>
        <v>632</v>
      </c>
      <c r="C304" s="137">
        <f>SUM(C473:C500)+SUM(C502:C529)*18+SUM(C531:C542,C546:C558)*4</f>
        <v>225760.93909199999</v>
      </c>
      <c r="D304" s="138"/>
      <c r="E304" s="137">
        <f>SUM(F473:F500)+SUM(F502:F529)*18+SUM(F531:F542,F546:F558)*4</f>
        <v>340837.88787360024</v>
      </c>
      <c r="F304" s="139"/>
      <c r="G304" s="176"/>
      <c r="H304" s="176"/>
    </row>
    <row r="305" spans="1:8" s="35" customFormat="1" ht="15.6" x14ac:dyDescent="0.3">
      <c r="A305" s="82" t="s">
        <v>354</v>
      </c>
      <c r="B305" s="83">
        <f>COUNT(C562:C597)+COUNT(C599:C634)*18+COUNT(C636:C639,C642:C656,C658:C664,C666:C671)*4</f>
        <v>812</v>
      </c>
      <c r="C305" s="137">
        <f>SUM(C562:C597)+SUM(C599:C634)*18+SUM(C636:C639,C642:C656,C658:C664,C666:C671)*4</f>
        <v>290601.56361599988</v>
      </c>
      <c r="D305" s="138"/>
      <c r="E305" s="137">
        <f>SUM(F562:F597)+SUM(F599:F634)*18+SUM(F636:F639,F642:F656,F658:F664,F666:F671)*4</f>
        <v>438360.92734200036</v>
      </c>
      <c r="F305" s="139"/>
      <c r="G305" s="176"/>
      <c r="H305" s="176"/>
    </row>
    <row r="306" spans="1:8" s="35" customFormat="1" ht="15.6" x14ac:dyDescent="0.3">
      <c r="A306" s="82" t="s">
        <v>355</v>
      </c>
      <c r="B306" s="83">
        <f>COUNT(C675:C702)+COUNT(C704:C731)*18+COUNT(C733:C744,C748:C760)*4</f>
        <v>632</v>
      </c>
      <c r="C306" s="137">
        <f>SUM(C675:C702)+SUM(C704:C731)*18+SUM(C733:C744,C748:C760)*4</f>
        <v>226126.323072</v>
      </c>
      <c r="D306" s="138"/>
      <c r="E306" s="137">
        <f>SUM(F675:F702)+SUM(F704:F731)*18+SUM(F733:F744,F748:F760)*4</f>
        <v>341179.69325580023</v>
      </c>
      <c r="F306" s="139"/>
      <c r="G306" s="176"/>
      <c r="H306" s="176"/>
    </row>
    <row r="307" spans="1:8" s="35" customFormat="1" ht="15.6" x14ac:dyDescent="0.3">
      <c r="A307" s="82" t="s">
        <v>356</v>
      </c>
      <c r="B307" s="83">
        <f>COUNT(C763:C790)+COUNT(C792:C819)*18+COUNT(C821:C832,C836:C848)*4</f>
        <v>632</v>
      </c>
      <c r="C307" s="137">
        <f>SUM(C763:C790)+SUM(C792:C819)*18+SUM(C821:C832,C836:C848)*4</f>
        <v>225749.055636</v>
      </c>
      <c r="D307" s="138"/>
      <c r="E307" s="137">
        <f>SUM(F763:F790)+SUM(F792:F819)*18+SUM(F821:F832,F836:F848)*4</f>
        <v>340789.24643400026</v>
      </c>
      <c r="F307" s="139"/>
      <c r="G307" s="176"/>
      <c r="H307" s="176"/>
    </row>
    <row r="308" spans="1:8" s="35" customFormat="1" ht="15.6" x14ac:dyDescent="0.3">
      <c r="A308" s="82" t="s">
        <v>357</v>
      </c>
      <c r="B308" s="83">
        <f>COUNT(C851:C886)+COUNT(C888:C923)*18+COUNT(C925:C928,C931:C946,C948:C953,C955:C960)*4</f>
        <v>812</v>
      </c>
      <c r="C308" s="137">
        <f>SUM(C851:C886)+SUM(C888:C923)*18+SUM(C925:C928,C931:C946,C948:C953,C955:C960)*4</f>
        <v>292814.03923199978</v>
      </c>
      <c r="D308" s="138"/>
      <c r="E308" s="137">
        <f>SUM(F851:F886)+SUM(F888:F923)*18+SUM(F925:F928,F931:F946,F948:F953,F955:F960)*4</f>
        <v>441669.63742199994</v>
      </c>
      <c r="F308" s="139"/>
      <c r="G308" s="176"/>
      <c r="H308" s="176"/>
    </row>
    <row r="309" spans="1:8" s="35" customFormat="1" ht="15.6" x14ac:dyDescent="0.3">
      <c r="A309" s="82" t="s">
        <v>358</v>
      </c>
      <c r="B309" s="83">
        <f>COUNT(C963:C990)+COUNT(C992:C1019)*18+COUNT(C1021:C1032,C1036:C1048)*4</f>
        <v>632</v>
      </c>
      <c r="C309" s="137">
        <f>SUM(C963:C990)+SUM(C992:C1019)*18+SUM(C1021:C1032,C1036:C1048)*4</f>
        <v>226208.387808</v>
      </c>
      <c r="D309" s="138"/>
      <c r="E309" s="137">
        <f>SUM(F963:F990)+SUM(F992:F1019)*18+SUM(F1021:F1032,F1036:F1048)*4</f>
        <v>341308.81233540026</v>
      </c>
      <c r="F309" s="139"/>
      <c r="G309" s="176"/>
      <c r="H309" s="176"/>
    </row>
    <row r="310" spans="1:8" s="35" customFormat="1" ht="15.6" x14ac:dyDescent="0.3">
      <c r="A310" s="82" t="s">
        <v>359</v>
      </c>
      <c r="B310" s="83">
        <f>COUNT(C1052:C1092)+COUNT(C1094:C1134)*18+COUNT(C1136:C1143,C1145:C1156,C1158:C1163,C1165:C1172,C1174:C1176)*4</f>
        <v>927</v>
      </c>
      <c r="C310" s="137">
        <f>SUM(C1052:C1092)+SUM(C1094:C1134)*18+SUM(C1136:C1143,C1145:C1156,C1158:C1163,C1165:C1172,C1174:C1176)*4</f>
        <v>332015.12791199982</v>
      </c>
      <c r="D310" s="138"/>
      <c r="E310" s="137">
        <f>SUM(F1052:F1092)+SUM(F1094:F1134)*18+SUM(F1136:F1143,F1145:F1156,F1158:F1163,F1165:F1172,F1174:F1176)*4</f>
        <v>500743.13140800048</v>
      </c>
      <c r="F310" s="139"/>
      <c r="G310" s="176"/>
      <c r="H310" s="176"/>
    </row>
    <row r="311" spans="1:8" s="35" customFormat="1" ht="15.6" x14ac:dyDescent="0.3">
      <c r="A311" s="82" t="s">
        <v>360</v>
      </c>
      <c r="B311" s="83">
        <f>COUNT(C1179:C1206)+COUNT(C1208:C1235)*18+COUNT(C1237:C1248,C1252:C1264)*4</f>
        <v>632</v>
      </c>
      <c r="C311" s="137">
        <f>SUM(C1179:C1206)+SUM(C1208:C1235)*18+SUM(C1237:C1248,C1252:C1264)*4</f>
        <v>225733.55547600001</v>
      </c>
      <c r="D311" s="138"/>
      <c r="E311" s="137">
        <f>SUM(F1179:F1206)+SUM(F1208:F1235)*18+SUM(F1237:F1248,F1252:F1264)*4</f>
        <v>340765.99619400024</v>
      </c>
      <c r="F311" s="139"/>
      <c r="G311" s="176"/>
      <c r="H311" s="176"/>
    </row>
    <row r="312" spans="1:8" s="35" customFormat="1" ht="15.6" x14ac:dyDescent="0.3">
      <c r="A312" s="82" t="s">
        <v>361</v>
      </c>
      <c r="B312" s="83">
        <f>COUNT(C1267:C1302)+COUNT(C1304:C1339)*18+COUNT(C1341:C1344,C1347:C1362,C1364:C1369,C1371:C1376)*4</f>
        <v>812</v>
      </c>
      <c r="C312" s="137">
        <f>SUM(C1267:C1302)+SUM(C1304:C1339)*18+SUM(C1341:C1344,C1347:C1362,C1364:C1369,C1371:C1376)*4</f>
        <v>292900.06511999981</v>
      </c>
      <c r="D312" s="138"/>
      <c r="E312" s="137">
        <f>SUM(F1267:F1302)+SUM(F1304:F1339)*18+SUM(F1341:F1344,F1347:F1362,F1364:F1369,F1371:F1376)*4</f>
        <v>441798.52017599996</v>
      </c>
      <c r="F312" s="139"/>
      <c r="G312" s="176"/>
      <c r="H312" s="176"/>
    </row>
    <row r="313" spans="1:8" s="35" customFormat="1" ht="15.6" x14ac:dyDescent="0.3">
      <c r="A313" s="82" t="s">
        <v>362</v>
      </c>
      <c r="B313" s="83">
        <f>COUNT(C1379:C1418)+COUNT(C1420:C1459)*18+COUNT(C1461:C1464,C1467:C1482,C1484:C1489,C1492:C1500)*4</f>
        <v>900</v>
      </c>
      <c r="C313" s="137">
        <f>SUM(C1379:C1418)+SUM(C1420:C1459)*18+SUM(C1461:C1464,C1467:C1482,C1484:C1489,C1492:C1500)*4</f>
        <v>316160.12188800005</v>
      </c>
      <c r="D313" s="138"/>
      <c r="E313" s="137">
        <f>SUM(F1379:F1418)+SUM(F1420:F1459)*18+SUM(F1461:F1464,F1467:F1482,F1484:F1489,F1492:F1500)*4</f>
        <v>477007.1336159996</v>
      </c>
      <c r="F313" s="139"/>
      <c r="G313" s="176"/>
      <c r="H313" s="176"/>
    </row>
    <row r="314" spans="1:8" s="35" customFormat="1" ht="16.2" thickBot="1" x14ac:dyDescent="0.35">
      <c r="A314" s="86" t="s">
        <v>50</v>
      </c>
      <c r="B314" s="87">
        <f>SUM(B304:B313)</f>
        <v>7423</v>
      </c>
      <c r="C314" s="177">
        <f>SUM(C304:C313)</f>
        <v>2654069.1788519993</v>
      </c>
      <c r="D314" s="178"/>
      <c r="E314" s="179">
        <f>SUM(E304:E313)</f>
        <v>4004460.9860568019</v>
      </c>
      <c r="F314" s="180"/>
      <c r="G314" s="181"/>
      <c r="H314" s="182"/>
    </row>
    <row r="315" spans="1:8" s="35" customFormat="1" ht="16.2" thickBot="1" x14ac:dyDescent="0.35">
      <c r="A315" s="88" t="s">
        <v>269</v>
      </c>
      <c r="B315" s="89">
        <f>SUM(B296,B301,B314)</f>
        <v>7538</v>
      </c>
      <c r="C315" s="267">
        <f>SUM(C296,C301,C314)</f>
        <v>2677507.4745431994</v>
      </c>
      <c r="D315" s="268"/>
      <c r="E315" s="267">
        <f>SUM(E296,E301,E314)</f>
        <v>4052284.9627185618</v>
      </c>
      <c r="F315" s="269"/>
      <c r="G315" s="181"/>
      <c r="H315" s="182"/>
    </row>
    <row r="316" spans="1:8" s="37" customFormat="1" ht="15.6" x14ac:dyDescent="0.3">
      <c r="A316" s="183" t="s">
        <v>51</v>
      </c>
      <c r="B316" s="184"/>
      <c r="C316" s="184"/>
      <c r="D316" s="184"/>
      <c r="E316" s="184"/>
      <c r="F316" s="185"/>
      <c r="G316" s="42"/>
      <c r="H316" s="42"/>
    </row>
    <row r="317" spans="1:8" s="38" customFormat="1" ht="15.6" x14ac:dyDescent="0.3">
      <c r="A317" s="142" t="s">
        <v>58</v>
      </c>
      <c r="B317" s="143"/>
      <c r="C317" s="143"/>
      <c r="D317" s="143"/>
      <c r="E317" s="143"/>
      <c r="F317" s="144"/>
      <c r="G317" s="42"/>
      <c r="H317" s="42"/>
    </row>
    <row r="318" spans="1:8" s="38" customFormat="1" ht="26.4" customHeight="1" x14ac:dyDescent="0.3">
      <c r="A318" s="140" t="s">
        <v>65</v>
      </c>
      <c r="B318" s="154" t="s">
        <v>53</v>
      </c>
      <c r="C318" s="154" t="s">
        <v>54</v>
      </c>
      <c r="D318" s="154" t="s">
        <v>56</v>
      </c>
      <c r="E318" s="257" t="s">
        <v>326</v>
      </c>
      <c r="F318" s="125" t="s">
        <v>57</v>
      </c>
      <c r="G318" s="156"/>
      <c r="H318" s="156"/>
    </row>
    <row r="319" spans="1:8" s="38" customFormat="1" ht="15.6" x14ac:dyDescent="0.3">
      <c r="A319" s="141"/>
      <c r="B319" s="155"/>
      <c r="C319" s="155"/>
      <c r="D319" s="155"/>
      <c r="E319" s="258"/>
      <c r="F319" s="126">
        <v>0.6</v>
      </c>
      <c r="G319" s="156"/>
      <c r="H319" s="156"/>
    </row>
    <row r="320" spans="1:8" s="37" customFormat="1" ht="15.6" x14ac:dyDescent="0.3">
      <c r="A320" s="142" t="s">
        <v>322</v>
      </c>
      <c r="B320" s="143"/>
      <c r="C320" s="143"/>
      <c r="D320" s="143"/>
      <c r="E320" s="143"/>
      <c r="F320" s="144"/>
      <c r="G320" s="42"/>
      <c r="H320" s="42"/>
    </row>
    <row r="321" spans="1:14" s="39" customFormat="1" ht="15.75" customHeight="1" x14ac:dyDescent="0.3">
      <c r="A321" s="151" t="s">
        <v>339</v>
      </c>
      <c r="B321" s="152"/>
      <c r="C321" s="152"/>
      <c r="D321" s="152"/>
      <c r="E321" s="152"/>
      <c r="F321" s="153"/>
      <c r="G321" s="43"/>
      <c r="H321" s="43"/>
      <c r="K321" s="40"/>
    </row>
    <row r="322" spans="1:14" s="39" customFormat="1" ht="15.75" customHeight="1" x14ac:dyDescent="0.3">
      <c r="A322" s="151" t="s">
        <v>340</v>
      </c>
      <c r="B322" s="152"/>
      <c r="C322" s="152"/>
      <c r="D322" s="152"/>
      <c r="E322" s="152"/>
      <c r="F322" s="153"/>
      <c r="G322" s="43"/>
      <c r="H322" s="43"/>
      <c r="K322" s="40"/>
    </row>
    <row r="323" spans="1:14" s="39" customFormat="1" ht="15.6" x14ac:dyDescent="0.3">
      <c r="A323" s="127">
        <v>1</v>
      </c>
      <c r="B323" s="90" t="s">
        <v>325</v>
      </c>
      <c r="C323" s="91">
        <f>(2.7*6.43-1*0.8)*10.764</f>
        <v>178.26260399999998</v>
      </c>
      <c r="D323" s="91">
        <f>C323*1.2</f>
        <v>213.91512479999997</v>
      </c>
      <c r="E323" s="91">
        <f>(2.7*2.5-1*0.8)*10.764</f>
        <v>64.0458</v>
      </c>
      <c r="F323" s="128">
        <f>(C323+E323)*(($F$319)+1)</f>
        <v>387.69344640000003</v>
      </c>
      <c r="G323" s="43"/>
      <c r="H323" s="91">
        <v>10.763999999999999</v>
      </c>
      <c r="I323" s="40"/>
      <c r="J323" s="54"/>
      <c r="L323" s="170"/>
      <c r="M323" s="170"/>
      <c r="N323" s="40"/>
    </row>
    <row r="324" spans="1:14" x14ac:dyDescent="0.3">
      <c r="A324" s="127">
        <v>2</v>
      </c>
      <c r="B324" s="90" t="s">
        <v>325</v>
      </c>
      <c r="C324" s="91">
        <f>(3.52*6.43-1.5*1.2)*10.764</f>
        <v>224.25287039999995</v>
      </c>
      <c r="D324" s="91">
        <f t="shared" ref="D324:D328" si="1">C324*1.2</f>
        <v>269.10344447999995</v>
      </c>
      <c r="E324" s="91">
        <f>(3.52*2.5-1.5*1.2)*10.764</f>
        <v>75.347999999999999</v>
      </c>
      <c r="F324" s="128">
        <f t="shared" ref="F324:F328" si="2">(C324+E324)*(($F$319)+1)</f>
        <v>479.36139263999996</v>
      </c>
    </row>
    <row r="325" spans="1:14" x14ac:dyDescent="0.3">
      <c r="A325" s="127">
        <v>3</v>
      </c>
      <c r="B325" s="90" t="s">
        <v>325</v>
      </c>
      <c r="C325" s="91">
        <f>(2.7*6.43-0.9*1.4)*10.764</f>
        <v>173.31116399999999</v>
      </c>
      <c r="D325" s="91">
        <f t="shared" si="1"/>
        <v>207.97339679999999</v>
      </c>
      <c r="E325" s="91">
        <f>(2.7*2.5-0.9*1.4)*10.764</f>
        <v>59.094360000000002</v>
      </c>
      <c r="F325" s="128">
        <f t="shared" si="2"/>
        <v>371.84883839999998</v>
      </c>
    </row>
    <row r="326" spans="1:14" x14ac:dyDescent="0.3">
      <c r="A326" s="127">
        <v>4</v>
      </c>
      <c r="B326" s="90" t="s">
        <v>325</v>
      </c>
      <c r="C326" s="91">
        <f>(2.52*6.43-1.5*1.4)*10.764</f>
        <v>151.81115039999997</v>
      </c>
      <c r="D326" s="91">
        <f t="shared" si="1"/>
        <v>182.17338047999996</v>
      </c>
      <c r="E326" s="91">
        <f>(2.52*2.5-1.5*1.4)*10.764</f>
        <v>45.208799999999997</v>
      </c>
      <c r="F326" s="128">
        <f t="shared" si="2"/>
        <v>315.23192064</v>
      </c>
    </row>
    <row r="327" spans="1:14" x14ac:dyDescent="0.3">
      <c r="A327" s="127">
        <v>5</v>
      </c>
      <c r="B327" s="90" t="s">
        <v>325</v>
      </c>
      <c r="C327" s="91">
        <f>(2.7*6.43-0.9*1.4)*10.764</f>
        <v>173.31116399999999</v>
      </c>
      <c r="D327" s="91">
        <f t="shared" si="1"/>
        <v>207.97339679999999</v>
      </c>
      <c r="E327" s="91">
        <f>(2.7*2.5-0.9*1.4)*10.764</f>
        <v>59.094360000000002</v>
      </c>
      <c r="F327" s="128">
        <f t="shared" si="2"/>
        <v>371.84883839999998</v>
      </c>
    </row>
    <row r="328" spans="1:14" x14ac:dyDescent="0.3">
      <c r="A328" s="127">
        <v>6</v>
      </c>
      <c r="B328" s="90" t="s">
        <v>325</v>
      </c>
      <c r="C328" s="91">
        <f>(3.52*6.43)*10.764</f>
        <v>243.62807039999996</v>
      </c>
      <c r="D328" s="91">
        <f t="shared" si="1"/>
        <v>292.35368447999991</v>
      </c>
      <c r="E328" s="91">
        <f>(3.52*2.5)*10.764</f>
        <v>94.723200000000006</v>
      </c>
      <c r="F328" s="128">
        <f t="shared" si="2"/>
        <v>541.36203263999994</v>
      </c>
    </row>
    <row r="329" spans="1:14" s="39" customFormat="1" ht="15.6" x14ac:dyDescent="0.3">
      <c r="A329" s="127">
        <v>7</v>
      </c>
      <c r="B329" s="90" t="s">
        <v>325</v>
      </c>
      <c r="C329" s="91">
        <f>(2.7*6.43-1.4*1.4)*10.764</f>
        <v>165.776364</v>
      </c>
      <c r="D329" s="91">
        <f>C329*1.2</f>
        <v>198.93163680000001</v>
      </c>
      <c r="E329" s="91">
        <f>(2.7*2.5-1.4*1.4)*10.764</f>
        <v>51.559559999999998</v>
      </c>
      <c r="F329" s="128">
        <f>(C329+E329)*(($F$319)+1)</f>
        <v>347.73747840000004</v>
      </c>
      <c r="G329" s="157"/>
      <c r="H329" s="157"/>
      <c r="I329" s="40"/>
      <c r="J329" s="54"/>
      <c r="L329" s="170"/>
      <c r="M329" s="170"/>
      <c r="N329" s="40"/>
    </row>
    <row r="330" spans="1:14" x14ac:dyDescent="0.3">
      <c r="A330" s="127">
        <v>8</v>
      </c>
      <c r="B330" s="90" t="s">
        <v>325</v>
      </c>
      <c r="C330" s="91">
        <f>(2.52*6.43)*10.764</f>
        <v>174.41555039999997</v>
      </c>
      <c r="D330" s="91">
        <f t="shared" ref="D330:D334" si="3">C330*1.2</f>
        <v>209.29866047999997</v>
      </c>
      <c r="E330" s="91">
        <f>(2.52*2.5)*10.764</f>
        <v>67.813199999999995</v>
      </c>
      <c r="F330" s="128">
        <f t="shared" ref="F330:F334" si="4">(C330+E330)*(($F$319)+1)</f>
        <v>387.56600063999997</v>
      </c>
    </row>
    <row r="331" spans="1:14" x14ac:dyDescent="0.3">
      <c r="A331" s="127">
        <v>9</v>
      </c>
      <c r="B331" s="90" t="s">
        <v>325</v>
      </c>
      <c r="C331" s="91">
        <f>(2.7*6.43-1.5*1.4)*10.764</f>
        <v>164.26940400000001</v>
      </c>
      <c r="D331" s="91">
        <f t="shared" si="3"/>
        <v>197.12328479999999</v>
      </c>
      <c r="E331" s="91">
        <f>(2.7*2.5-1.5*1.4)*10.764</f>
        <v>50.052599999999998</v>
      </c>
      <c r="F331" s="128">
        <f t="shared" si="4"/>
        <v>342.91520639999999</v>
      </c>
    </row>
    <row r="332" spans="1:14" x14ac:dyDescent="0.3">
      <c r="A332" s="127">
        <v>10</v>
      </c>
      <c r="B332" s="90" t="s">
        <v>325</v>
      </c>
      <c r="C332" s="91">
        <f>(2.7*6.43-0.9*1.4)*10.764</f>
        <v>173.31116399999999</v>
      </c>
      <c r="D332" s="91">
        <f t="shared" si="3"/>
        <v>207.97339679999999</v>
      </c>
      <c r="E332" s="91">
        <f>(2.7*2.5-0.9*1.4)*10.764</f>
        <v>59.094360000000002</v>
      </c>
      <c r="F332" s="128">
        <f t="shared" si="4"/>
        <v>371.84883839999998</v>
      </c>
    </row>
    <row r="333" spans="1:14" x14ac:dyDescent="0.3">
      <c r="A333" s="127">
        <v>11</v>
      </c>
      <c r="B333" s="90" t="s">
        <v>325</v>
      </c>
      <c r="C333" s="91">
        <f>(2.52*6.43)*10.764</f>
        <v>174.41555039999997</v>
      </c>
      <c r="D333" s="91">
        <f t="shared" si="3"/>
        <v>209.29866047999997</v>
      </c>
      <c r="E333" s="91">
        <f>(2.52*2.5)*10.764</f>
        <v>67.813199999999995</v>
      </c>
      <c r="F333" s="128">
        <f t="shared" si="4"/>
        <v>387.56600063999997</v>
      </c>
    </row>
    <row r="334" spans="1:14" x14ac:dyDescent="0.3">
      <c r="A334" s="127">
        <v>12</v>
      </c>
      <c r="B334" s="90" t="s">
        <v>325</v>
      </c>
      <c r="C334" s="91">
        <f>(2.7*6.43-1.5*1.4)*10.764</f>
        <v>164.26940400000001</v>
      </c>
      <c r="D334" s="91">
        <f t="shared" si="3"/>
        <v>197.12328479999999</v>
      </c>
      <c r="E334" s="91">
        <f>(2.7*2.5-1.5*1.4)*10.764</f>
        <v>50.052599999999998</v>
      </c>
      <c r="F334" s="128">
        <f t="shared" si="4"/>
        <v>342.91520639999999</v>
      </c>
    </row>
    <row r="335" spans="1:14" s="39" customFormat="1" ht="15.75" customHeight="1" x14ac:dyDescent="0.3">
      <c r="A335" s="127">
        <v>13</v>
      </c>
      <c r="B335" s="90" t="s">
        <v>325</v>
      </c>
      <c r="C335" s="91">
        <f>(3.52*6.43)*10.764</f>
        <v>243.62807039999996</v>
      </c>
      <c r="D335" s="91">
        <f>C335*1.2</f>
        <v>292.35368447999991</v>
      </c>
      <c r="E335" s="91">
        <f>(3.52*2.5)*10.764</f>
        <v>94.723200000000006</v>
      </c>
      <c r="F335" s="128">
        <f>(C335+E335)*(($F$319)+1)</f>
        <v>541.36203263999994</v>
      </c>
      <c r="G335" s="43"/>
      <c r="H335" s="43"/>
      <c r="K335" s="40"/>
    </row>
    <row r="336" spans="1:14" s="39" customFormat="1" ht="15.6" x14ac:dyDescent="0.3">
      <c r="A336" s="127">
        <v>14</v>
      </c>
      <c r="B336" s="90" t="s">
        <v>325</v>
      </c>
      <c r="C336" s="91">
        <f>(2.7*6.43-1.5*1.4)*10.764</f>
        <v>164.26940400000001</v>
      </c>
      <c r="D336" s="91">
        <f t="shared" ref="D336:D340" si="5">C336*1.2</f>
        <v>197.12328479999999</v>
      </c>
      <c r="E336" s="91">
        <f>(2.7*2.5-1.5*1.4)*10.764</f>
        <v>50.052599999999998</v>
      </c>
      <c r="F336" s="128">
        <f t="shared" ref="F336:F340" si="6">(C336+E336)*(($F$319)+1)</f>
        <v>342.91520639999999</v>
      </c>
      <c r="G336" s="157"/>
      <c r="H336" s="157"/>
      <c r="I336" s="40"/>
      <c r="J336" s="54"/>
      <c r="L336" s="170"/>
      <c r="M336" s="170"/>
      <c r="N336" s="40"/>
    </row>
    <row r="337" spans="1:14" x14ac:dyDescent="0.3">
      <c r="A337" s="127">
        <v>15</v>
      </c>
      <c r="B337" s="90" t="s">
        <v>325</v>
      </c>
      <c r="C337" s="91">
        <f>(2.52*6.43)*10.764</f>
        <v>174.41555039999997</v>
      </c>
      <c r="D337" s="91">
        <f t="shared" si="5"/>
        <v>209.29866047999997</v>
      </c>
      <c r="E337" s="91">
        <f>(2.52*2.7)*10.764</f>
        <v>73.238255999999993</v>
      </c>
      <c r="F337" s="128">
        <f t="shared" si="6"/>
        <v>396.24609023999994</v>
      </c>
    </row>
    <row r="338" spans="1:14" x14ac:dyDescent="0.3">
      <c r="A338" s="127">
        <v>16</v>
      </c>
      <c r="B338" s="90" t="s">
        <v>325</v>
      </c>
      <c r="C338" s="91">
        <f>(2.7*6.43-0.9*1.4)*10.764</f>
        <v>173.31116399999999</v>
      </c>
      <c r="D338" s="91">
        <f t="shared" si="5"/>
        <v>207.97339679999999</v>
      </c>
      <c r="E338" s="91">
        <f>(2.7*2.5-0.9*1.4)*10.764</f>
        <v>59.094360000000002</v>
      </c>
      <c r="F338" s="128">
        <f t="shared" si="6"/>
        <v>371.84883839999998</v>
      </c>
    </row>
    <row r="339" spans="1:14" x14ac:dyDescent="0.3">
      <c r="A339" s="127">
        <v>17</v>
      </c>
      <c r="B339" s="90" t="s">
        <v>325</v>
      </c>
      <c r="C339" s="91">
        <f>(3.52*6.43)*10.764</f>
        <v>243.62807039999996</v>
      </c>
      <c r="D339" s="91">
        <f t="shared" si="5"/>
        <v>292.35368447999991</v>
      </c>
      <c r="E339" s="91">
        <f>(3.52*2.5)*10.764</f>
        <v>94.723200000000006</v>
      </c>
      <c r="F339" s="128">
        <f t="shared" si="6"/>
        <v>541.36203263999994</v>
      </c>
    </row>
    <row r="340" spans="1:14" x14ac:dyDescent="0.3">
      <c r="A340" s="127">
        <v>18</v>
      </c>
      <c r="B340" s="90" t="s">
        <v>325</v>
      </c>
      <c r="C340" s="91">
        <f>(2.7*6.43-1.5*1.4)*10.764</f>
        <v>164.26940400000001</v>
      </c>
      <c r="D340" s="91">
        <f t="shared" si="5"/>
        <v>197.12328479999999</v>
      </c>
      <c r="E340" s="91">
        <f>(2.7*2.5-1.5*1.4)*10.764</f>
        <v>50.052599999999998</v>
      </c>
      <c r="F340" s="128">
        <f t="shared" si="6"/>
        <v>342.91520639999999</v>
      </c>
    </row>
    <row r="341" spans="1:14" s="39" customFormat="1" ht="15.75" customHeight="1" x14ac:dyDescent="0.3">
      <c r="A341" s="151" t="s">
        <v>338</v>
      </c>
      <c r="B341" s="152"/>
      <c r="C341" s="152"/>
      <c r="D341" s="152"/>
      <c r="E341" s="152"/>
      <c r="F341" s="153"/>
      <c r="G341" s="43"/>
      <c r="H341" s="43"/>
      <c r="K341" s="40"/>
    </row>
    <row r="342" spans="1:14" s="39" customFormat="1" ht="15.75" customHeight="1" x14ac:dyDescent="0.3">
      <c r="A342" s="151" t="s">
        <v>324</v>
      </c>
      <c r="B342" s="152"/>
      <c r="C342" s="152"/>
      <c r="D342" s="152"/>
      <c r="E342" s="152"/>
      <c r="F342" s="153"/>
      <c r="G342" s="43"/>
      <c r="H342" s="43"/>
      <c r="K342" s="40"/>
    </row>
    <row r="343" spans="1:14" s="39" customFormat="1" ht="15.6" x14ac:dyDescent="0.3">
      <c r="A343" s="127">
        <v>1</v>
      </c>
      <c r="B343" s="90" t="s">
        <v>325</v>
      </c>
      <c r="C343" s="91">
        <f>(2.7*6.51-0.9*0.75)*10.764</f>
        <v>181.93312800000001</v>
      </c>
      <c r="D343" s="91">
        <f>C343*1.2</f>
        <v>218.31975360000001</v>
      </c>
      <c r="E343" s="91">
        <f>(2.7*2.5-0.9*0.75)*10.764</f>
        <v>65.391300000000001</v>
      </c>
      <c r="F343" s="128">
        <f>(C343+E343)*(($F$319)+1)</f>
        <v>395.71908480000002</v>
      </c>
      <c r="G343" s="157"/>
      <c r="H343" s="157"/>
      <c r="I343" s="40"/>
      <c r="J343" s="54"/>
      <c r="L343" s="170"/>
      <c r="M343" s="170"/>
      <c r="N343" s="40"/>
    </row>
    <row r="344" spans="1:14" x14ac:dyDescent="0.3">
      <c r="A344" s="127">
        <v>2</v>
      </c>
      <c r="B344" s="90" t="s">
        <v>325</v>
      </c>
      <c r="C344" s="91">
        <f>(3.52*6.43-1.5*1.4)*10.764</f>
        <v>221.02367039999999</v>
      </c>
      <c r="D344" s="91">
        <f t="shared" ref="D344:D348" si="7">C344*1.2</f>
        <v>265.22840447999999</v>
      </c>
      <c r="E344" s="91">
        <f>(3.52*2.5-1.5*1.4)*10.764</f>
        <v>72.118800000000007</v>
      </c>
      <c r="F344" s="128">
        <f t="shared" ref="F344:F348" si="8">(C344+E344)*(($F$319)+1)</f>
        <v>469.02795263999997</v>
      </c>
    </row>
    <row r="345" spans="1:14" x14ac:dyDescent="0.3">
      <c r="A345" s="127">
        <v>3</v>
      </c>
      <c r="B345" s="90" t="s">
        <v>325</v>
      </c>
      <c r="C345" s="91">
        <f>(2.7*6.43-0.9*1.4)*10.764</f>
        <v>173.31116399999999</v>
      </c>
      <c r="D345" s="91">
        <f t="shared" si="7"/>
        <v>207.97339679999999</v>
      </c>
      <c r="E345" s="91">
        <f>(2.7*2.5-0.9*1.4)*10.764</f>
        <v>59.094360000000002</v>
      </c>
      <c r="F345" s="128">
        <f t="shared" si="8"/>
        <v>371.84883839999998</v>
      </c>
    </row>
    <row r="346" spans="1:14" x14ac:dyDescent="0.3">
      <c r="A346" s="127">
        <v>4</v>
      </c>
      <c r="B346" s="90" t="s">
        <v>325</v>
      </c>
      <c r="C346" s="91">
        <f>(2.52*6.43-1.55*1.4)*10.764</f>
        <v>151.05767039999998</v>
      </c>
      <c r="D346" s="91">
        <f t="shared" si="7"/>
        <v>181.26920447999996</v>
      </c>
      <c r="E346" s="91">
        <f>(2.52*2.5-1.55*1.4)*10.764</f>
        <v>44.455319999999993</v>
      </c>
      <c r="F346" s="128">
        <f t="shared" si="8"/>
        <v>312.82078464</v>
      </c>
    </row>
    <row r="347" spans="1:14" x14ac:dyDescent="0.3">
      <c r="A347" s="127">
        <v>5</v>
      </c>
      <c r="B347" s="90" t="s">
        <v>325</v>
      </c>
      <c r="C347" s="91">
        <f>(2.7*6.43-0.9*1.4)*10.764</f>
        <v>173.31116399999999</v>
      </c>
      <c r="D347" s="91">
        <f t="shared" si="7"/>
        <v>207.97339679999999</v>
      </c>
      <c r="E347" s="91">
        <f>(2.7*2.5-0.9*1.4)*10.764</f>
        <v>59.094360000000002</v>
      </c>
      <c r="F347" s="128">
        <f t="shared" si="8"/>
        <v>371.84883839999998</v>
      </c>
    </row>
    <row r="348" spans="1:14" x14ac:dyDescent="0.3">
      <c r="A348" s="127">
        <v>6</v>
      </c>
      <c r="B348" s="90" t="s">
        <v>325</v>
      </c>
      <c r="C348" s="91">
        <f>(3.52*6.43)*10.764</f>
        <v>243.62807039999996</v>
      </c>
      <c r="D348" s="91">
        <f t="shared" si="7"/>
        <v>292.35368447999991</v>
      </c>
      <c r="E348" s="91">
        <f>(3.52*2.5)*10.764</f>
        <v>94.723200000000006</v>
      </c>
      <c r="F348" s="128">
        <f t="shared" si="8"/>
        <v>541.36203263999994</v>
      </c>
    </row>
    <row r="349" spans="1:14" s="39" customFormat="1" ht="15.6" x14ac:dyDescent="0.3">
      <c r="A349" s="127">
        <v>7</v>
      </c>
      <c r="B349" s="90" t="s">
        <v>325</v>
      </c>
      <c r="C349" s="91">
        <f>(2.7*6.43-1.4*1.4)*10.764</f>
        <v>165.776364</v>
      </c>
      <c r="D349" s="91">
        <f>C349*1.2</f>
        <v>198.93163680000001</v>
      </c>
      <c r="E349" s="91">
        <f>(2.7*2.5-1.4*1.4)*10.764</f>
        <v>51.559559999999998</v>
      </c>
      <c r="F349" s="128">
        <f>(C349+E349)*(($F$319)+1)</f>
        <v>347.73747840000004</v>
      </c>
      <c r="G349" s="157"/>
      <c r="H349" s="157"/>
      <c r="I349" s="40"/>
      <c r="J349" s="54"/>
      <c r="L349" s="170"/>
      <c r="M349" s="170"/>
      <c r="N349" s="40"/>
    </row>
    <row r="350" spans="1:14" x14ac:dyDescent="0.3">
      <c r="A350" s="127">
        <v>8</v>
      </c>
      <c r="B350" s="90" t="s">
        <v>325</v>
      </c>
      <c r="C350" s="91">
        <f>(2.52*6.43)*10.764</f>
        <v>174.41555039999997</v>
      </c>
      <c r="D350" s="91">
        <f t="shared" ref="D350:D354" si="9">C350*1.2</f>
        <v>209.29866047999997</v>
      </c>
      <c r="E350" s="91">
        <f>(2.52*2.5)*10.764</f>
        <v>67.813199999999995</v>
      </c>
      <c r="F350" s="128">
        <f t="shared" ref="F350:F354" si="10">(C350+E350)*(($F$319)+1)</f>
        <v>387.56600063999997</v>
      </c>
    </row>
    <row r="351" spans="1:14" x14ac:dyDescent="0.3">
      <c r="A351" s="127">
        <v>9</v>
      </c>
      <c r="B351" s="90" t="s">
        <v>325</v>
      </c>
      <c r="C351" s="91">
        <f>(2.7*6.43-1.5*1.4)*10.764</f>
        <v>164.26940400000001</v>
      </c>
      <c r="D351" s="91">
        <f t="shared" si="9"/>
        <v>197.12328479999999</v>
      </c>
      <c r="E351" s="91">
        <f>(2.7*2.5-1.5*1.4)*10.764</f>
        <v>50.052599999999998</v>
      </c>
      <c r="F351" s="128">
        <f t="shared" si="10"/>
        <v>342.91520639999999</v>
      </c>
    </row>
    <row r="352" spans="1:14" x14ac:dyDescent="0.3">
      <c r="A352" s="127">
        <v>10</v>
      </c>
      <c r="B352" s="90" t="s">
        <v>325</v>
      </c>
      <c r="C352" s="91">
        <f>(2.7*6.43-0.9*1.4)*10.764</f>
        <v>173.31116399999999</v>
      </c>
      <c r="D352" s="91">
        <f t="shared" si="9"/>
        <v>207.97339679999999</v>
      </c>
      <c r="E352" s="91">
        <f>(2.7*2.5-0.9*1.4)*10.764</f>
        <v>59.094360000000002</v>
      </c>
      <c r="F352" s="128">
        <f t="shared" si="10"/>
        <v>371.84883839999998</v>
      </c>
    </row>
    <row r="353" spans="1:14" x14ac:dyDescent="0.3">
      <c r="A353" s="127">
        <v>11</v>
      </c>
      <c r="B353" s="90" t="s">
        <v>325</v>
      </c>
      <c r="C353" s="91">
        <f>(2.52*6.43)*10.764</f>
        <v>174.41555039999997</v>
      </c>
      <c r="D353" s="91">
        <f t="shared" si="9"/>
        <v>209.29866047999997</v>
      </c>
      <c r="E353" s="91">
        <f>(2.5*2.52)*10.764</f>
        <v>67.813199999999995</v>
      </c>
      <c r="F353" s="128">
        <f t="shared" si="10"/>
        <v>387.56600063999997</v>
      </c>
    </row>
    <row r="354" spans="1:14" x14ac:dyDescent="0.3">
      <c r="A354" s="127">
        <v>12</v>
      </c>
      <c r="B354" s="90" t="s">
        <v>325</v>
      </c>
      <c r="C354" s="91">
        <f>(2.7*6.43-1.5*1.4)*10.764</f>
        <v>164.26940400000001</v>
      </c>
      <c r="D354" s="91">
        <f t="shared" si="9"/>
        <v>197.12328479999999</v>
      </c>
      <c r="E354" s="91">
        <f>(2.7*2.5-1.5*1.4)*10.764</f>
        <v>50.052599999999998</v>
      </c>
      <c r="F354" s="128">
        <f t="shared" si="10"/>
        <v>342.91520639999999</v>
      </c>
    </row>
    <row r="355" spans="1:14" s="39" customFormat="1" ht="15.75" customHeight="1" x14ac:dyDescent="0.3">
      <c r="A355" s="127">
        <v>13</v>
      </c>
      <c r="B355" s="90" t="s">
        <v>325</v>
      </c>
      <c r="C355" s="91">
        <f>(3.52*6.43)*10.764</f>
        <v>243.62807039999996</v>
      </c>
      <c r="D355" s="91">
        <f>C355*1.2</f>
        <v>292.35368447999991</v>
      </c>
      <c r="E355" s="91">
        <f>(3.52*2.5)*10.764</f>
        <v>94.723200000000006</v>
      </c>
      <c r="F355" s="128">
        <f>(C355+E355)*(($F$319)+1)</f>
        <v>541.36203263999994</v>
      </c>
      <c r="G355" s="43"/>
      <c r="H355" s="43"/>
      <c r="K355" s="40"/>
    </row>
    <row r="356" spans="1:14" s="39" customFormat="1" ht="15.6" x14ac:dyDescent="0.3">
      <c r="A356" s="127">
        <v>14</v>
      </c>
      <c r="B356" s="90" t="s">
        <v>325</v>
      </c>
      <c r="C356" s="91">
        <f>(2.7*6.43-1.5*1.4)*10.764</f>
        <v>164.26940400000001</v>
      </c>
      <c r="D356" s="91">
        <f t="shared" ref="D356:D361" si="11">C356*1.2</f>
        <v>197.12328479999999</v>
      </c>
      <c r="E356" s="91">
        <f>(2.7*2.5-1.5*1.4)*10.764</f>
        <v>50.052599999999998</v>
      </c>
      <c r="F356" s="128">
        <f t="shared" ref="F356:F361" si="12">(C356+E356)*(($F$319)+1)</f>
        <v>342.91520639999999</v>
      </c>
      <c r="G356" s="157"/>
      <c r="H356" s="157"/>
      <c r="I356" s="40"/>
      <c r="J356" s="54"/>
      <c r="L356" s="170"/>
      <c r="M356" s="170"/>
      <c r="N356" s="40"/>
    </row>
    <row r="357" spans="1:14" x14ac:dyDescent="0.3">
      <c r="A357" s="127">
        <v>15</v>
      </c>
      <c r="B357" s="90" t="s">
        <v>325</v>
      </c>
      <c r="C357" s="91">
        <f>(2.52*6.43)*10.764</f>
        <v>174.41555039999997</v>
      </c>
      <c r="D357" s="91">
        <f t="shared" si="11"/>
        <v>209.29866047999997</v>
      </c>
      <c r="E357" s="91">
        <f>(2.5*2.52)*10.764</f>
        <v>67.813199999999995</v>
      </c>
      <c r="F357" s="128">
        <f t="shared" si="12"/>
        <v>387.56600063999997</v>
      </c>
    </row>
    <row r="358" spans="1:14" x14ac:dyDescent="0.3">
      <c r="A358" s="127">
        <v>16</v>
      </c>
      <c r="B358" s="90" t="s">
        <v>325</v>
      </c>
      <c r="C358" s="91">
        <f>(2.7*6.43-0.9*1.4)*10.764</f>
        <v>173.31116399999999</v>
      </c>
      <c r="D358" s="91">
        <f t="shared" si="11"/>
        <v>207.97339679999999</v>
      </c>
      <c r="E358" s="91">
        <f>(2.7*2.5-0.9*1.4)*10.764</f>
        <v>59.094360000000002</v>
      </c>
      <c r="F358" s="128">
        <f t="shared" si="12"/>
        <v>371.84883839999998</v>
      </c>
    </row>
    <row r="359" spans="1:14" x14ac:dyDescent="0.3">
      <c r="A359" s="127">
        <v>17</v>
      </c>
      <c r="B359" s="90" t="s">
        <v>325</v>
      </c>
      <c r="C359" s="91">
        <f>(3.52*6.43)*10.764</f>
        <v>243.62807039999996</v>
      </c>
      <c r="D359" s="91">
        <f t="shared" si="11"/>
        <v>292.35368447999991</v>
      </c>
      <c r="E359" s="91">
        <f>(3.52*2.5)*10.764</f>
        <v>94.723200000000006</v>
      </c>
      <c r="F359" s="128">
        <f t="shared" si="12"/>
        <v>541.36203263999994</v>
      </c>
    </row>
    <row r="360" spans="1:14" x14ac:dyDescent="0.3">
      <c r="A360" s="127">
        <v>18</v>
      </c>
      <c r="B360" s="90" t="s">
        <v>325</v>
      </c>
      <c r="C360" s="91">
        <f>(2.7*6.51-1.5*1.4)*10.764</f>
        <v>166.59442800000002</v>
      </c>
      <c r="D360" s="91">
        <f t="shared" si="11"/>
        <v>199.91331360000001</v>
      </c>
      <c r="E360" s="91">
        <f>(2.5*2.7-1.5*1.4)*10.764</f>
        <v>50.052599999999998</v>
      </c>
      <c r="F360" s="128">
        <f t="shared" si="12"/>
        <v>346.63524480000007</v>
      </c>
    </row>
    <row r="361" spans="1:14" x14ac:dyDescent="0.3">
      <c r="A361" s="127">
        <v>19</v>
      </c>
      <c r="B361" s="90" t="s">
        <v>325</v>
      </c>
      <c r="C361" s="91">
        <f>(5.85*2.7)*10.764</f>
        <v>170.01738</v>
      </c>
      <c r="D361" s="91">
        <f t="shared" si="11"/>
        <v>204.02085600000001</v>
      </c>
      <c r="E361" s="91">
        <f>(2*2.7)*10.764</f>
        <v>58.125599999999999</v>
      </c>
      <c r="F361" s="128">
        <f t="shared" si="12"/>
        <v>365.02876800000001</v>
      </c>
    </row>
    <row r="362" spans="1:14" s="39" customFormat="1" ht="15.75" customHeight="1" x14ac:dyDescent="0.3">
      <c r="A362" s="127">
        <v>20</v>
      </c>
      <c r="B362" s="90" t="s">
        <v>325</v>
      </c>
      <c r="C362" s="91">
        <f>(5.85*3.52)*10.764</f>
        <v>221.65228799999997</v>
      </c>
      <c r="D362" s="91">
        <f>C362*1.2</f>
        <v>265.98274559999993</v>
      </c>
      <c r="E362" s="91">
        <f>(2*3.52)*10.764</f>
        <v>75.778559999999999</v>
      </c>
      <c r="F362" s="128">
        <f>(C362+E362)*(($F$319)+1)</f>
        <v>475.88935679999997</v>
      </c>
      <c r="G362" s="43"/>
      <c r="H362" s="43"/>
      <c r="K362" s="40"/>
    </row>
    <row r="363" spans="1:14" s="39" customFormat="1" ht="15.6" x14ac:dyDescent="0.3">
      <c r="A363" s="127">
        <v>21</v>
      </c>
      <c r="B363" s="90" t="s">
        <v>325</v>
      </c>
      <c r="C363" s="91">
        <f>(5.85*2.7-0.9*0.9)*10.764</f>
        <v>161.29853999999997</v>
      </c>
      <c r="D363" s="91">
        <f t="shared" ref="D363:D367" si="13">C363*1.2</f>
        <v>193.55824799999996</v>
      </c>
      <c r="E363" s="91">
        <f>(2*2.7-0.9*0.9)*10.764</f>
        <v>49.406759999999998</v>
      </c>
      <c r="F363" s="128">
        <f t="shared" ref="F363:F367" si="14">(C363+E363)*(($F$319)+1)</f>
        <v>337.12847999999997</v>
      </c>
      <c r="G363" s="157"/>
      <c r="H363" s="157"/>
      <c r="I363" s="40"/>
      <c r="J363" s="54"/>
      <c r="L363" s="170"/>
      <c r="M363" s="170"/>
      <c r="N363" s="40"/>
    </row>
    <row r="364" spans="1:14" x14ac:dyDescent="0.3">
      <c r="A364" s="127">
        <v>22</v>
      </c>
      <c r="B364" s="90" t="s">
        <v>325</v>
      </c>
      <c r="C364" s="91">
        <f>(5.85*2.52)*10.764</f>
        <v>158.68288799999999</v>
      </c>
      <c r="D364" s="91">
        <f t="shared" si="13"/>
        <v>190.4194656</v>
      </c>
      <c r="E364" s="91">
        <f>(2*2.52)*10.764</f>
        <v>54.25056</v>
      </c>
      <c r="F364" s="128">
        <f t="shared" si="14"/>
        <v>340.6935168</v>
      </c>
    </row>
    <row r="365" spans="1:14" x14ac:dyDescent="0.3">
      <c r="A365" s="127">
        <v>23</v>
      </c>
      <c r="B365" s="90" t="s">
        <v>325</v>
      </c>
      <c r="C365" s="91">
        <f>(5.85*2.7-0.9*1.6)*10.764</f>
        <v>154.51722000000001</v>
      </c>
      <c r="D365" s="91">
        <f t="shared" si="13"/>
        <v>185.42066400000002</v>
      </c>
      <c r="E365" s="91">
        <f>(2*2.7-1.6*0.9)*10.764</f>
        <v>42.625439999999998</v>
      </c>
      <c r="F365" s="128">
        <f t="shared" si="14"/>
        <v>315.42825600000003</v>
      </c>
    </row>
    <row r="366" spans="1:14" x14ac:dyDescent="0.3">
      <c r="A366" s="127">
        <v>24</v>
      </c>
      <c r="B366" s="90" t="s">
        <v>325</v>
      </c>
      <c r="C366" s="91">
        <f>(5.85*3.52-0.9*1.6)*10.764</f>
        <v>206.15212799999995</v>
      </c>
      <c r="D366" s="91">
        <f t="shared" si="13"/>
        <v>247.38255359999994</v>
      </c>
      <c r="E366" s="91">
        <f>(2*3.52-1.6*0.9)*10.764</f>
        <v>60.278399999999991</v>
      </c>
      <c r="F366" s="128">
        <f t="shared" si="14"/>
        <v>426.28884479999988</v>
      </c>
    </row>
    <row r="367" spans="1:14" x14ac:dyDescent="0.3">
      <c r="A367" s="127">
        <v>25</v>
      </c>
      <c r="B367" s="90" t="s">
        <v>325</v>
      </c>
      <c r="C367" s="91">
        <f>(5.85*2.7-0.9*1.1)*10.764</f>
        <v>159.36102</v>
      </c>
      <c r="D367" s="91">
        <f t="shared" si="13"/>
        <v>191.23322399999998</v>
      </c>
      <c r="E367" s="91">
        <f>(2*2.7-1.1*0.9)*10.764</f>
        <v>47.469239999999999</v>
      </c>
      <c r="F367" s="128">
        <f t="shared" si="14"/>
        <v>330.92841600000003</v>
      </c>
    </row>
    <row r="368" spans="1:14" s="39" customFormat="1" ht="15.75" customHeight="1" x14ac:dyDescent="0.3">
      <c r="A368" s="151" t="s">
        <v>344</v>
      </c>
      <c r="B368" s="152"/>
      <c r="C368" s="152"/>
      <c r="D368" s="152"/>
      <c r="E368" s="152"/>
      <c r="F368" s="153"/>
      <c r="G368" s="43"/>
      <c r="H368" s="43"/>
      <c r="K368" s="40"/>
    </row>
    <row r="369" spans="1:14" s="39" customFormat="1" ht="15.75" customHeight="1" x14ac:dyDescent="0.3">
      <c r="A369" s="151" t="s">
        <v>324</v>
      </c>
      <c r="B369" s="152"/>
      <c r="C369" s="152"/>
      <c r="D369" s="152"/>
      <c r="E369" s="152"/>
      <c r="F369" s="153"/>
      <c r="G369" s="43"/>
      <c r="H369" s="43"/>
      <c r="K369" s="40"/>
    </row>
    <row r="370" spans="1:14" s="39" customFormat="1" ht="15.6" x14ac:dyDescent="0.3">
      <c r="A370" s="127">
        <v>1</v>
      </c>
      <c r="B370" s="90" t="s">
        <v>325</v>
      </c>
      <c r="C370" s="91">
        <f>(5.85*2.7-0.9*1.4+1.2*2.7)*10.764</f>
        <v>191.33009999999996</v>
      </c>
      <c r="D370" s="91">
        <f>C370*1.2</f>
        <v>229.59611999999996</v>
      </c>
      <c r="E370" s="91">
        <f>(2*2.7-0.9*1.4)*10.764</f>
        <v>44.562960000000004</v>
      </c>
      <c r="F370" s="128">
        <f>(C370+E370)*(($F$319)+1)</f>
        <v>377.42889599999995</v>
      </c>
      <c r="G370" s="157"/>
      <c r="H370" s="157"/>
      <c r="I370" s="40"/>
      <c r="J370" s="54"/>
      <c r="L370" s="170"/>
      <c r="M370" s="170"/>
      <c r="N370" s="40"/>
    </row>
    <row r="371" spans="1:14" x14ac:dyDescent="0.3">
      <c r="A371" s="127">
        <v>2</v>
      </c>
      <c r="B371" s="90" t="s">
        <v>325</v>
      </c>
      <c r="C371" s="91">
        <f>(5.85*3.52+1.2*3.52)*10.764</f>
        <v>267.11942399999998</v>
      </c>
      <c r="D371" s="91">
        <f t="shared" ref="D371:D375" si="15">C371*1.2</f>
        <v>320.54330879999998</v>
      </c>
      <c r="E371" s="91">
        <f>(2*3.52)*10.764</f>
        <v>75.778559999999999</v>
      </c>
      <c r="F371" s="128">
        <f t="shared" ref="F371:F375" si="16">(C371+E371)*(($F$319)+1)</f>
        <v>548.63677439999992</v>
      </c>
    </row>
    <row r="372" spans="1:14" x14ac:dyDescent="0.3">
      <c r="A372" s="127">
        <v>3</v>
      </c>
      <c r="B372" s="90" t="s">
        <v>325</v>
      </c>
      <c r="C372" s="91">
        <f>(5.85*2.7-0.9*1.4+1.2*2.7)*10.764</f>
        <v>191.33009999999996</v>
      </c>
      <c r="D372" s="91">
        <f t="shared" si="15"/>
        <v>229.59611999999996</v>
      </c>
      <c r="E372" s="91">
        <f>(2.7*2-0.9*1.4)*10.764</f>
        <v>44.562960000000004</v>
      </c>
      <c r="F372" s="128">
        <f t="shared" si="16"/>
        <v>377.42889599999995</v>
      </c>
    </row>
    <row r="373" spans="1:14" x14ac:dyDescent="0.3">
      <c r="A373" s="127">
        <v>4</v>
      </c>
      <c r="B373" s="90" t="s">
        <v>325</v>
      </c>
      <c r="C373" s="91">
        <f>(5.85*2.52+1.2*0.52)*10.764</f>
        <v>165.39962399999999</v>
      </c>
      <c r="D373" s="91">
        <f t="shared" si="15"/>
        <v>198.47954879999998</v>
      </c>
      <c r="E373" s="91">
        <f>(2.52*2)*10.764</f>
        <v>54.25056</v>
      </c>
      <c r="F373" s="128">
        <f t="shared" si="16"/>
        <v>351.44029440000003</v>
      </c>
    </row>
    <row r="374" spans="1:14" x14ac:dyDescent="0.3">
      <c r="A374" s="127">
        <v>5</v>
      </c>
      <c r="B374" s="90" t="s">
        <v>325</v>
      </c>
      <c r="C374" s="91">
        <f>(5.85*2.7-0.9*1.4+1.2*2.7)*10.764</f>
        <v>191.33009999999996</v>
      </c>
      <c r="D374" s="91">
        <f t="shared" si="15"/>
        <v>229.59611999999996</v>
      </c>
      <c r="E374" s="91">
        <f>(2.7*2-0.9*1.4)*10.764</f>
        <v>44.562960000000004</v>
      </c>
      <c r="F374" s="128">
        <f t="shared" si="16"/>
        <v>377.42889599999995</v>
      </c>
    </row>
    <row r="375" spans="1:14" x14ac:dyDescent="0.3">
      <c r="A375" s="127">
        <v>6</v>
      </c>
      <c r="B375" s="90" t="s">
        <v>325</v>
      </c>
      <c r="C375" s="91">
        <f>(5.85*3.52+1.2*3.52)*10.764</f>
        <v>267.11942399999998</v>
      </c>
      <c r="D375" s="91">
        <f t="shared" si="15"/>
        <v>320.54330879999998</v>
      </c>
      <c r="E375" s="91">
        <f>(2*3.52)*10.764</f>
        <v>75.778559999999999</v>
      </c>
      <c r="F375" s="128">
        <f t="shared" si="16"/>
        <v>548.63677439999992</v>
      </c>
    </row>
    <row r="376" spans="1:14" s="39" customFormat="1" ht="15.6" x14ac:dyDescent="0.3">
      <c r="A376" s="127">
        <v>7</v>
      </c>
      <c r="B376" s="90" t="s">
        <v>325</v>
      </c>
      <c r="C376" s="91">
        <f>(5.85*2.7-0.9*1.4+1.2*2.7)*10.764</f>
        <v>191.33009999999996</v>
      </c>
      <c r="D376" s="91">
        <f>C376*1.2</f>
        <v>229.59611999999996</v>
      </c>
      <c r="E376" s="91">
        <f>(2*2.7-0.9*1.4)*10.764</f>
        <v>44.562960000000004</v>
      </c>
      <c r="F376" s="128">
        <f>(C376+E376)*(($F$319)+1)</f>
        <v>377.42889599999995</v>
      </c>
      <c r="G376" s="157"/>
      <c r="H376" s="157"/>
      <c r="I376" s="40"/>
      <c r="J376" s="54"/>
      <c r="L376" s="170"/>
      <c r="M376" s="170"/>
      <c r="N376" s="40"/>
    </row>
    <row r="377" spans="1:14" x14ac:dyDescent="0.3">
      <c r="A377" s="127">
        <v>8</v>
      </c>
      <c r="B377" s="90" t="s">
        <v>325</v>
      </c>
      <c r="C377" s="91">
        <f>(5.85*2.7-0.9*1.4+1.2*2.7)*10.764</f>
        <v>191.33009999999996</v>
      </c>
      <c r="D377" s="91">
        <f t="shared" ref="D377:D381" si="17">C377*1.2</f>
        <v>229.59611999999996</v>
      </c>
      <c r="E377" s="91">
        <f>(2*2.7-0.9*1.4)*10.764</f>
        <v>44.562960000000004</v>
      </c>
      <c r="F377" s="128">
        <f t="shared" ref="F377:F381" si="18">(C377+E377)*(($F$319)+1)</f>
        <v>377.42889599999995</v>
      </c>
    </row>
    <row r="378" spans="1:14" x14ac:dyDescent="0.3">
      <c r="A378" s="127">
        <v>9</v>
      </c>
      <c r="B378" s="90" t="s">
        <v>325</v>
      </c>
      <c r="C378" s="91">
        <f>(5.85*3.52+1.2*3.52)*10.764</f>
        <v>267.11942399999998</v>
      </c>
      <c r="D378" s="91">
        <f t="shared" si="17"/>
        <v>320.54330879999998</v>
      </c>
      <c r="E378" s="91">
        <f>(2*3.52)*10.764</f>
        <v>75.778559999999999</v>
      </c>
      <c r="F378" s="128">
        <f t="shared" si="18"/>
        <v>548.63677439999992</v>
      </c>
    </row>
    <row r="379" spans="1:14" x14ac:dyDescent="0.3">
      <c r="A379" s="127">
        <v>10</v>
      </c>
      <c r="B379" s="90" t="s">
        <v>325</v>
      </c>
      <c r="C379" s="91">
        <f>(5.85*2.7-0.9*1.4+1.2*1.4)*10.764</f>
        <v>174.53825999999998</v>
      </c>
      <c r="D379" s="91">
        <f t="shared" si="17"/>
        <v>209.44591199999996</v>
      </c>
      <c r="E379" s="91">
        <f>(2*2.7-0.9*1.4)*10.764</f>
        <v>44.562960000000004</v>
      </c>
      <c r="F379" s="128">
        <f t="shared" si="18"/>
        <v>350.56195200000002</v>
      </c>
    </row>
    <row r="380" spans="1:14" x14ac:dyDescent="0.3">
      <c r="A380" s="127">
        <v>11</v>
      </c>
      <c r="B380" s="90" t="s">
        <v>325</v>
      </c>
      <c r="C380" s="91">
        <f>(5.85*2.52+1.2*2.52)*10.764</f>
        <v>191.23322399999998</v>
      </c>
      <c r="D380" s="91">
        <f t="shared" si="17"/>
        <v>229.47986879999996</v>
      </c>
      <c r="E380" s="91">
        <f>(2.52*2)*10.764</f>
        <v>54.25056</v>
      </c>
      <c r="F380" s="128">
        <f t="shared" si="18"/>
        <v>392.77405440000001</v>
      </c>
    </row>
    <row r="381" spans="1:14" x14ac:dyDescent="0.3">
      <c r="A381" s="127">
        <v>12</v>
      </c>
      <c r="B381" s="90" t="s">
        <v>325</v>
      </c>
      <c r="C381" s="91">
        <f>(5.85*2.7-0.9*1.4+1.2*2.7)*10.764</f>
        <v>191.33009999999996</v>
      </c>
      <c r="D381" s="91">
        <f t="shared" si="17"/>
        <v>229.59611999999996</v>
      </c>
      <c r="E381" s="91">
        <f>(2*2.7-0.9*1.4)*10.764</f>
        <v>44.562960000000004</v>
      </c>
      <c r="F381" s="128">
        <f t="shared" si="18"/>
        <v>377.42889599999995</v>
      </c>
    </row>
    <row r="382" spans="1:14" s="39" customFormat="1" ht="15.75" customHeight="1" x14ac:dyDescent="0.3">
      <c r="A382" s="127">
        <v>13</v>
      </c>
      <c r="B382" s="90" t="s">
        <v>325</v>
      </c>
      <c r="C382" s="91">
        <f>(5.85*3.52+1.2*3.52)*10.764</f>
        <v>267.11942399999998</v>
      </c>
      <c r="D382" s="91">
        <f>C382*1.2</f>
        <v>320.54330879999998</v>
      </c>
      <c r="E382" s="91">
        <f>(2*3.52)*10.764</f>
        <v>75.778559999999999</v>
      </c>
      <c r="F382" s="128">
        <f>(C382+E382)*(($F$319)+1)</f>
        <v>548.63677439999992</v>
      </c>
      <c r="G382" s="43"/>
      <c r="H382" s="43"/>
      <c r="K382" s="40"/>
    </row>
    <row r="383" spans="1:14" s="39" customFormat="1" ht="15.6" x14ac:dyDescent="0.3">
      <c r="A383" s="127">
        <v>14</v>
      </c>
      <c r="B383" s="90" t="s">
        <v>325</v>
      </c>
      <c r="C383" s="91">
        <f>(5.85*2.7-0.9*1.4+1.2*2.7)*10.764</f>
        <v>191.33009999999996</v>
      </c>
      <c r="D383" s="91">
        <f t="shared" ref="D383" si="19">C383*1.2</f>
        <v>229.59611999999996</v>
      </c>
      <c r="E383" s="91">
        <f>(2*2.7-0.9*1.4)*10.764</f>
        <v>44.562960000000004</v>
      </c>
      <c r="F383" s="128">
        <f t="shared" ref="F383" si="20">(C383+E383)*(($F$319)+1)</f>
        <v>377.42889599999995</v>
      </c>
      <c r="G383" s="157"/>
      <c r="H383" s="157"/>
      <c r="I383" s="40"/>
      <c r="J383" s="54"/>
      <c r="L383" s="170"/>
      <c r="M383" s="170"/>
      <c r="N383" s="40"/>
    </row>
    <row r="384" spans="1:14" s="39" customFormat="1" ht="15.75" customHeight="1" x14ac:dyDescent="0.3">
      <c r="A384" s="151" t="s">
        <v>345</v>
      </c>
      <c r="B384" s="152"/>
      <c r="C384" s="152"/>
      <c r="D384" s="152"/>
      <c r="E384" s="152"/>
      <c r="F384" s="153"/>
      <c r="G384" s="43"/>
      <c r="H384" s="43"/>
      <c r="K384" s="40"/>
    </row>
    <row r="385" spans="1:14" s="39" customFormat="1" ht="15.75" customHeight="1" x14ac:dyDescent="0.3">
      <c r="A385" s="151" t="s">
        <v>324</v>
      </c>
      <c r="B385" s="152"/>
      <c r="C385" s="152"/>
      <c r="D385" s="152"/>
      <c r="E385" s="152"/>
      <c r="F385" s="153"/>
      <c r="G385" s="43"/>
      <c r="H385" s="43"/>
      <c r="K385" s="40"/>
    </row>
    <row r="386" spans="1:14" s="39" customFormat="1" ht="15.6" x14ac:dyDescent="0.3">
      <c r="A386" s="127">
        <v>1</v>
      </c>
      <c r="B386" s="90" t="s">
        <v>325</v>
      </c>
      <c r="C386" s="91">
        <f>(5.85*2.7-0.9*1.4+1.2*2.7)*10.764</f>
        <v>191.33009999999996</v>
      </c>
      <c r="D386" s="91">
        <f>C386*1.2</f>
        <v>229.59611999999996</v>
      </c>
      <c r="E386" s="91">
        <f>(2*2.7-0.9*1.4)*10.764</f>
        <v>44.562960000000004</v>
      </c>
      <c r="F386" s="128">
        <f>(C386+E386)*(($F$319)+1)</f>
        <v>377.42889599999995</v>
      </c>
      <c r="G386" s="157"/>
      <c r="H386" s="157"/>
      <c r="I386" s="40"/>
      <c r="J386" s="54"/>
      <c r="L386" s="170"/>
      <c r="M386" s="170"/>
      <c r="N386" s="40"/>
    </row>
    <row r="387" spans="1:14" x14ac:dyDescent="0.3">
      <c r="A387" s="127">
        <v>2</v>
      </c>
      <c r="B387" s="90" t="s">
        <v>325</v>
      </c>
      <c r="C387" s="91">
        <f>(5.85*3.52-0.9*1.4+1.2*3.52)*10.764</f>
        <v>253.55678399999996</v>
      </c>
      <c r="D387" s="91">
        <f t="shared" ref="D387:D391" si="21">C387*1.2</f>
        <v>304.26814079999997</v>
      </c>
      <c r="E387" s="91">
        <f>(2*3.52)*10.764</f>
        <v>75.778559999999999</v>
      </c>
      <c r="F387" s="128">
        <f t="shared" ref="F387:F391" si="22">(C387+E387)*(($F$319)+1)</f>
        <v>526.93655039999999</v>
      </c>
    </row>
    <row r="388" spans="1:14" x14ac:dyDescent="0.3">
      <c r="A388" s="127">
        <v>3</v>
      </c>
      <c r="B388" s="90" t="s">
        <v>325</v>
      </c>
      <c r="C388" s="91">
        <f>(5.85*2.7-0.9*1.4+1.2*2.7)*10.764</f>
        <v>191.33009999999996</v>
      </c>
      <c r="D388" s="91">
        <f t="shared" si="21"/>
        <v>229.59611999999996</v>
      </c>
      <c r="E388" s="91">
        <f>(2.7*2-0.9*1.4)*10.764</f>
        <v>44.562960000000004</v>
      </c>
      <c r="F388" s="128">
        <f t="shared" si="22"/>
        <v>377.42889599999995</v>
      </c>
    </row>
    <row r="389" spans="1:14" x14ac:dyDescent="0.3">
      <c r="A389" s="127">
        <v>4</v>
      </c>
      <c r="B389" s="90" t="s">
        <v>325</v>
      </c>
      <c r="C389" s="91">
        <f>(5.85*2.52+1.2*2.52)*10.764</f>
        <v>191.23322399999998</v>
      </c>
      <c r="D389" s="91">
        <f t="shared" si="21"/>
        <v>229.47986879999996</v>
      </c>
      <c r="E389" s="91">
        <f>(2.52*2)*10.764</f>
        <v>54.25056</v>
      </c>
      <c r="F389" s="128">
        <f t="shared" si="22"/>
        <v>392.77405440000001</v>
      </c>
    </row>
    <row r="390" spans="1:14" x14ac:dyDescent="0.3">
      <c r="A390" s="127">
        <v>5</v>
      </c>
      <c r="B390" s="90" t="s">
        <v>325</v>
      </c>
      <c r="C390" s="91">
        <f>(5.85*2.7-0.9*1.4+1.2*2.7)*10.764</f>
        <v>191.33009999999996</v>
      </c>
      <c r="D390" s="91">
        <f t="shared" si="21"/>
        <v>229.59611999999996</v>
      </c>
      <c r="E390" s="91">
        <f>(2.7*2-0.9*1.4)*10.764</f>
        <v>44.562960000000004</v>
      </c>
      <c r="F390" s="128">
        <f t="shared" si="22"/>
        <v>377.42889599999995</v>
      </c>
    </row>
    <row r="391" spans="1:14" x14ac:dyDescent="0.3">
      <c r="A391" s="127">
        <v>6</v>
      </c>
      <c r="B391" s="90" t="s">
        <v>325</v>
      </c>
      <c r="C391" s="91">
        <f>(5.85*3.52+1.2*3.52)*10.764</f>
        <v>267.11942399999998</v>
      </c>
      <c r="D391" s="91">
        <f t="shared" si="21"/>
        <v>320.54330879999998</v>
      </c>
      <c r="E391" s="91">
        <f>(2*3.52)*10.764</f>
        <v>75.778559999999999</v>
      </c>
      <c r="F391" s="128">
        <f t="shared" si="22"/>
        <v>548.63677439999992</v>
      </c>
    </row>
    <row r="392" spans="1:14" s="39" customFormat="1" ht="15.6" x14ac:dyDescent="0.3">
      <c r="A392" s="127">
        <v>7</v>
      </c>
      <c r="B392" s="90" t="s">
        <v>325</v>
      </c>
      <c r="C392" s="91">
        <f>(5.85*2.7+1.2*2.7)*10.764</f>
        <v>204.89273999999997</v>
      </c>
      <c r="D392" s="91">
        <f>C392*1.2</f>
        <v>245.87128799999996</v>
      </c>
      <c r="E392" s="91">
        <f>(2*2.7-0.9*1.4)*10.764</f>
        <v>44.562960000000004</v>
      </c>
      <c r="F392" s="128">
        <f>(C392+E392)*(($F$319)+1)</f>
        <v>399.12912</v>
      </c>
      <c r="G392" s="157"/>
      <c r="H392" s="157"/>
      <c r="I392" s="40"/>
      <c r="J392" s="54"/>
      <c r="L392" s="170"/>
      <c r="M392" s="170"/>
      <c r="N392" s="40"/>
    </row>
    <row r="393" spans="1:14" s="39" customFormat="1" ht="15.75" customHeight="1" x14ac:dyDescent="0.3">
      <c r="A393" s="151" t="s">
        <v>347</v>
      </c>
      <c r="B393" s="152"/>
      <c r="C393" s="152"/>
      <c r="D393" s="152"/>
      <c r="E393" s="152"/>
      <c r="F393" s="153"/>
      <c r="G393" s="43"/>
      <c r="H393" s="43"/>
      <c r="K393" s="40"/>
    </row>
    <row r="394" spans="1:14" s="39" customFormat="1" ht="15.75" customHeight="1" x14ac:dyDescent="0.3">
      <c r="A394" s="151" t="s">
        <v>348</v>
      </c>
      <c r="B394" s="152"/>
      <c r="C394" s="152"/>
      <c r="D394" s="152"/>
      <c r="E394" s="152"/>
      <c r="F394" s="153"/>
      <c r="G394" s="43"/>
      <c r="H394" s="43"/>
      <c r="K394" s="40"/>
    </row>
    <row r="395" spans="1:14" s="39" customFormat="1" ht="15.6" x14ac:dyDescent="0.3">
      <c r="A395" s="127">
        <v>1</v>
      </c>
      <c r="B395" s="90" t="s">
        <v>325</v>
      </c>
      <c r="C395" s="91">
        <f>(6.43*2.7-0.9*1.7+1.2*2.7)*10.764</f>
        <v>205.28024400000001</v>
      </c>
      <c r="D395" s="91">
        <f>C395*1.2</f>
        <v>246.3362928</v>
      </c>
      <c r="E395" s="90">
        <f>(2*2.7-0.9*1.7)*10.764</f>
        <v>41.656680000000001</v>
      </c>
      <c r="F395" s="128">
        <f>(C395+E395)*(($F$319)+1)</f>
        <v>395.09907840000005</v>
      </c>
      <c r="G395" s="157"/>
      <c r="H395" s="157"/>
      <c r="I395" s="40"/>
      <c r="J395" s="54"/>
      <c r="L395" s="170"/>
      <c r="M395" s="170"/>
      <c r="N395" s="40"/>
    </row>
    <row r="396" spans="1:14" x14ac:dyDescent="0.3">
      <c r="A396" s="127">
        <v>2</v>
      </c>
      <c r="B396" s="90" t="s">
        <v>325</v>
      </c>
      <c r="C396" s="91">
        <f>(6.43*2.52+1.2*2.52)*10.764</f>
        <v>206.96588639999999</v>
      </c>
      <c r="D396" s="91">
        <f t="shared" ref="D396:D400" si="23">C396*1.2</f>
        <v>248.35906367999996</v>
      </c>
      <c r="E396" s="90">
        <f>(2*2.52)*10.764</f>
        <v>54.25056</v>
      </c>
      <c r="F396" s="128">
        <f t="shared" ref="F396:F400" si="24">(C396+E396)*(($F$319)+1)</f>
        <v>417.94631423999999</v>
      </c>
    </row>
    <row r="397" spans="1:14" x14ac:dyDescent="0.3">
      <c r="A397" s="127">
        <v>3</v>
      </c>
      <c r="B397" s="90" t="s">
        <v>325</v>
      </c>
      <c r="C397" s="91">
        <f>(6.43*2.7-0.9*1.4+1.2*2.7)*10.764</f>
        <v>208.18652399999999</v>
      </c>
      <c r="D397" s="91">
        <f t="shared" si="23"/>
        <v>249.82382879999997</v>
      </c>
      <c r="E397" s="90">
        <f>(2*2.7-0.9*1.4)*10.764</f>
        <v>44.562960000000004</v>
      </c>
      <c r="F397" s="128">
        <f t="shared" si="24"/>
        <v>404.39917439999999</v>
      </c>
    </row>
    <row r="398" spans="1:14" x14ac:dyDescent="0.3">
      <c r="A398" s="127">
        <v>4</v>
      </c>
      <c r="B398" s="90" t="s">
        <v>325</v>
      </c>
      <c r="C398" s="91">
        <f>(6.43*3.52+1.2*3.52)*10.764</f>
        <v>289.09520639999994</v>
      </c>
      <c r="D398" s="91">
        <f t="shared" si="23"/>
        <v>346.9142476799999</v>
      </c>
      <c r="E398" s="90">
        <f>(2*3.5)*10.764</f>
        <v>75.347999999999999</v>
      </c>
      <c r="F398" s="128">
        <f t="shared" si="24"/>
        <v>583.1091302399999</v>
      </c>
    </row>
    <row r="399" spans="1:14" x14ac:dyDescent="0.3">
      <c r="A399" s="127">
        <v>5</v>
      </c>
      <c r="B399" s="90" t="s">
        <v>325</v>
      </c>
      <c r="C399" s="91">
        <f>(6.43*2.7-0.9*1.4+1.2*2.7)*10.764</f>
        <v>208.18652399999999</v>
      </c>
      <c r="D399" s="91">
        <f t="shared" si="23"/>
        <v>249.82382879999997</v>
      </c>
      <c r="E399" s="90">
        <f>(2*2.7-0.9*1.4)*10.764</f>
        <v>44.562960000000004</v>
      </c>
      <c r="F399" s="128">
        <f t="shared" si="24"/>
        <v>404.39917439999999</v>
      </c>
    </row>
    <row r="400" spans="1:14" x14ac:dyDescent="0.3">
      <c r="A400" s="127">
        <v>6</v>
      </c>
      <c r="B400" s="90" t="s">
        <v>325</v>
      </c>
      <c r="C400" s="91">
        <f>(6.43*2.52+1.2*2.52)*10.764</f>
        <v>206.96588639999999</v>
      </c>
      <c r="D400" s="91">
        <f t="shared" si="23"/>
        <v>248.35906367999996</v>
      </c>
      <c r="E400" s="90">
        <f>(2*2.52)*10.764</f>
        <v>54.25056</v>
      </c>
      <c r="F400" s="128">
        <f t="shared" si="24"/>
        <v>417.94631423999999</v>
      </c>
    </row>
    <row r="401" spans="1:14" s="39" customFormat="1" ht="15.6" x14ac:dyDescent="0.3">
      <c r="A401" s="127">
        <v>7</v>
      </c>
      <c r="B401" s="90" t="s">
        <v>325</v>
      </c>
      <c r="C401" s="91">
        <f>(5.85*2.7+1.2*2.7-0.9*1.7)*10.764</f>
        <v>188.42381999999998</v>
      </c>
      <c r="D401" s="91">
        <f>C401*1.2</f>
        <v>226.10858399999998</v>
      </c>
      <c r="E401" s="90">
        <f>(2*2.7-0.9*1.7)*10.764</f>
        <v>41.656680000000001</v>
      </c>
      <c r="F401" s="128">
        <f>(C401+E401)*(($F$319)+1)</f>
        <v>368.12879999999996</v>
      </c>
      <c r="G401" s="157"/>
      <c r="H401" s="157"/>
      <c r="I401" s="40"/>
      <c r="J401" s="54"/>
      <c r="L401" s="170"/>
      <c r="M401" s="170"/>
      <c r="N401" s="40"/>
    </row>
    <row r="402" spans="1:14" x14ac:dyDescent="0.3">
      <c r="A402" s="127">
        <v>8</v>
      </c>
      <c r="B402" s="90" t="s">
        <v>325</v>
      </c>
      <c r="C402" s="90">
        <f>(3.52*6.43+1.2*3.52)*10.764</f>
        <v>289.09520639999994</v>
      </c>
      <c r="D402" s="91">
        <f t="shared" ref="D402:D403" si="25">C402*1.2</f>
        <v>346.9142476799999</v>
      </c>
      <c r="E402" s="90">
        <f>(2*3.52)*10.764</f>
        <v>75.778559999999999</v>
      </c>
      <c r="F402" s="128">
        <f t="shared" ref="F402:F403" si="26">(C402+E402)*(($F$319)+1)</f>
        <v>583.7980262399999</v>
      </c>
    </row>
    <row r="403" spans="1:14" x14ac:dyDescent="0.3">
      <c r="A403" s="127">
        <v>9</v>
      </c>
      <c r="B403" s="90" t="s">
        <v>325</v>
      </c>
      <c r="C403" s="90">
        <f>(5.51*2.7+1.69*2.28-0.9*1.7)*10.764</f>
        <v>185.14295279999999</v>
      </c>
      <c r="D403" s="91">
        <f t="shared" si="25"/>
        <v>222.17154335999999</v>
      </c>
      <c r="E403" s="90">
        <f>(2*2.7-0.9*1.4)*10.764</f>
        <v>44.562960000000004</v>
      </c>
      <c r="F403" s="128">
        <f t="shared" si="26"/>
        <v>367.52946048000001</v>
      </c>
    </row>
    <row r="404" spans="1:14" s="39" customFormat="1" ht="15.75" customHeight="1" x14ac:dyDescent="0.3">
      <c r="A404" s="151" t="s">
        <v>327</v>
      </c>
      <c r="B404" s="152"/>
      <c r="C404" s="152"/>
      <c r="D404" s="152"/>
      <c r="E404" s="152"/>
      <c r="F404" s="153"/>
      <c r="G404" s="43"/>
      <c r="H404" s="43"/>
      <c r="K404" s="40"/>
    </row>
    <row r="405" spans="1:14" s="39" customFormat="1" ht="15.75" customHeight="1" x14ac:dyDescent="0.3">
      <c r="A405" s="151" t="s">
        <v>328</v>
      </c>
      <c r="B405" s="152"/>
      <c r="C405" s="152"/>
      <c r="D405" s="152"/>
      <c r="E405" s="152"/>
      <c r="F405" s="153"/>
      <c r="G405" s="43"/>
      <c r="H405" s="43"/>
      <c r="K405" s="40"/>
    </row>
    <row r="406" spans="1:14" s="39" customFormat="1" ht="15.6" x14ac:dyDescent="0.3">
      <c r="A406" s="127">
        <v>1</v>
      </c>
      <c r="B406" s="90" t="s">
        <v>325</v>
      </c>
      <c r="C406" s="90">
        <f>(2.7*6.51+2.28*1.69+1.2*2.7)*10.764</f>
        <v>265.5500328</v>
      </c>
      <c r="D406" s="91">
        <f>C406*1.2</f>
        <v>318.66003935999998</v>
      </c>
      <c r="E406" s="90">
        <f>(2.7*2.5+2.28*1.59-1*0.9-1*0.9)*10.764</f>
        <v>92.303452799999988</v>
      </c>
      <c r="F406" s="128">
        <f>(C406+E406)*(($F$319)+1)</f>
        <v>572.56557696000004</v>
      </c>
      <c r="G406" s="157"/>
      <c r="H406" s="157"/>
      <c r="I406" s="40"/>
      <c r="J406" s="54"/>
      <c r="L406" s="170"/>
      <c r="M406" s="170"/>
      <c r="N406" s="40"/>
    </row>
    <row r="407" spans="1:14" x14ac:dyDescent="0.3">
      <c r="A407" s="127">
        <v>2</v>
      </c>
      <c r="B407" s="90" t="s">
        <v>325</v>
      </c>
      <c r="C407" s="90">
        <f>(3.52*6.43+1.2*3.52)*10.764</f>
        <v>289.09520639999994</v>
      </c>
      <c r="D407" s="91">
        <f t="shared" ref="D407:D411" si="27">C407*1.2</f>
        <v>346.9142476799999</v>
      </c>
      <c r="E407" s="90">
        <f>(3.52*2.5-1.6*0.9)*10.764</f>
        <v>79.223039999999997</v>
      </c>
      <c r="F407" s="128">
        <f t="shared" ref="F407:F411" si="28">(C407+E407)*(($F$319)+1)</f>
        <v>589.3091942399999</v>
      </c>
    </row>
    <row r="408" spans="1:14" x14ac:dyDescent="0.3">
      <c r="A408" s="127">
        <v>3</v>
      </c>
      <c r="B408" s="90" t="s">
        <v>325</v>
      </c>
      <c r="C408" s="90">
        <f>(2.7*6.43+1.2*2.7)*10.764</f>
        <v>221.74916399999998</v>
      </c>
      <c r="D408" s="91">
        <f t="shared" si="27"/>
        <v>266.09899679999995</v>
      </c>
      <c r="E408" s="90">
        <f>(1*1+1.1*2.5)*10.764</f>
        <v>40.364999999999995</v>
      </c>
      <c r="F408" s="128">
        <f t="shared" si="28"/>
        <v>419.38266239999996</v>
      </c>
    </row>
    <row r="409" spans="1:14" x14ac:dyDescent="0.3">
      <c r="A409" s="127">
        <v>4</v>
      </c>
      <c r="B409" s="90" t="s">
        <v>325</v>
      </c>
      <c r="C409" s="90">
        <f>(2.52*5.4+1.2*2.52)*10.764</f>
        <v>179.026848</v>
      </c>
      <c r="D409" s="91">
        <f t="shared" si="27"/>
        <v>214.83221760000001</v>
      </c>
      <c r="E409" s="90">
        <f>(0.9*1*2)*10.764</f>
        <v>19.3752</v>
      </c>
      <c r="F409" s="128">
        <f t="shared" si="28"/>
        <v>317.44327680000004</v>
      </c>
    </row>
    <row r="410" spans="1:14" x14ac:dyDescent="0.3">
      <c r="A410" s="127">
        <v>5</v>
      </c>
      <c r="B410" s="90" t="s">
        <v>325</v>
      </c>
      <c r="C410" s="90">
        <f>(2.7*6.43+1.2*2.7)*10.764</f>
        <v>221.74916399999998</v>
      </c>
      <c r="D410" s="91">
        <f t="shared" si="27"/>
        <v>266.09899679999995</v>
      </c>
      <c r="E410" s="90">
        <f>(1*1+1.1*2.5)*10.764</f>
        <v>40.364999999999995</v>
      </c>
      <c r="F410" s="128">
        <f t="shared" si="28"/>
        <v>419.38266239999996</v>
      </c>
    </row>
    <row r="411" spans="1:14" x14ac:dyDescent="0.3">
      <c r="A411" s="127">
        <v>6</v>
      </c>
      <c r="B411" s="90" t="s">
        <v>325</v>
      </c>
      <c r="C411" s="90">
        <f>(3.52*6.43+1.2*3.52)*10.764</f>
        <v>289.09520639999994</v>
      </c>
      <c r="D411" s="91">
        <f t="shared" si="27"/>
        <v>346.9142476799999</v>
      </c>
      <c r="E411" s="90">
        <f>(3.52*2.5-1.6*0.9)*10.764</f>
        <v>79.223039999999997</v>
      </c>
      <c r="F411" s="128">
        <f t="shared" si="28"/>
        <v>589.3091942399999</v>
      </c>
    </row>
    <row r="412" spans="1:14" s="39" customFormat="1" ht="15.6" x14ac:dyDescent="0.3">
      <c r="A412" s="127">
        <v>7</v>
      </c>
      <c r="B412" s="90" t="s">
        <v>325</v>
      </c>
      <c r="C412" s="90">
        <f>(2.7*6.43+1.2*2.7)*10.764</f>
        <v>221.74916399999998</v>
      </c>
      <c r="D412" s="91">
        <f>C412*1.2</f>
        <v>266.09899679999995</v>
      </c>
      <c r="E412" s="90">
        <f>(1*1+1.1*2.5)*10.764</f>
        <v>40.364999999999995</v>
      </c>
      <c r="F412" s="128">
        <f>(C412+E412)*(($F$319)+1)</f>
        <v>419.38266239999996</v>
      </c>
      <c r="G412" s="157"/>
      <c r="H412" s="157"/>
      <c r="I412" s="40"/>
      <c r="J412" s="54"/>
      <c r="L412" s="170"/>
      <c r="M412" s="170"/>
      <c r="N412" s="40"/>
    </row>
    <row r="413" spans="1:14" x14ac:dyDescent="0.3">
      <c r="A413" s="127">
        <v>8</v>
      </c>
      <c r="B413" s="90" t="s">
        <v>325</v>
      </c>
      <c r="C413" s="90">
        <f>(2.52*6.43+1.2*2.52)*10.764</f>
        <v>206.96588639999999</v>
      </c>
      <c r="D413" s="91">
        <f t="shared" ref="D413:D417" si="29">C413*1.2</f>
        <v>248.35906367999996</v>
      </c>
      <c r="E413" s="90">
        <f>(2.5*2.52-0.9*1)*10.764</f>
        <v>58.125599999999991</v>
      </c>
      <c r="F413" s="128">
        <f t="shared" ref="F413:F417" si="30">(C413+E413)*(($F$319)+1)</f>
        <v>424.14637824000005</v>
      </c>
    </row>
    <row r="414" spans="1:14" x14ac:dyDescent="0.3">
      <c r="A414" s="127">
        <v>9</v>
      </c>
      <c r="B414" s="90" t="s">
        <v>325</v>
      </c>
      <c r="C414" s="90">
        <f>(2.7*6.43+1.2*2.7)*10.764</f>
        <v>221.74916399999998</v>
      </c>
      <c r="D414" s="91">
        <f t="shared" si="29"/>
        <v>266.09899679999995</v>
      </c>
      <c r="E414" s="90">
        <f>(1*1+1.1*2.5)*10.764</f>
        <v>40.364999999999995</v>
      </c>
      <c r="F414" s="128">
        <f t="shared" si="30"/>
        <v>419.38266239999996</v>
      </c>
    </row>
    <row r="415" spans="1:14" x14ac:dyDescent="0.3">
      <c r="A415" s="127">
        <v>10</v>
      </c>
      <c r="B415" s="90" t="s">
        <v>325</v>
      </c>
      <c r="C415" s="90">
        <f>(2.7*5.4+1.2*2.7)*10.764</f>
        <v>191.81448</v>
      </c>
      <c r="D415" s="91">
        <f t="shared" si="29"/>
        <v>230.17737600000001</v>
      </c>
      <c r="E415" s="90">
        <f>(0.9*1*2)*10.764</f>
        <v>19.3752</v>
      </c>
      <c r="F415" s="128">
        <f t="shared" si="30"/>
        <v>337.90348800000004</v>
      </c>
    </row>
    <row r="416" spans="1:14" x14ac:dyDescent="0.3">
      <c r="A416" s="127">
        <v>11</v>
      </c>
      <c r="B416" s="90" t="s">
        <v>325</v>
      </c>
      <c r="C416" s="90">
        <f>(2.52*6.43+1.2*2.52)*10.764</f>
        <v>206.96588639999999</v>
      </c>
      <c r="D416" s="91">
        <f t="shared" si="29"/>
        <v>248.35906367999996</v>
      </c>
      <c r="E416" s="90">
        <f>(2.5*2.52-0.9*1)*10.764</f>
        <v>58.125599999999991</v>
      </c>
      <c r="F416" s="128">
        <f t="shared" si="30"/>
        <v>424.14637824000005</v>
      </c>
    </row>
    <row r="417" spans="1:14" x14ac:dyDescent="0.3">
      <c r="A417" s="127">
        <v>12</v>
      </c>
      <c r="B417" s="90" t="s">
        <v>325</v>
      </c>
      <c r="C417" s="90">
        <f>(2.7*6.43+1.2*2.7)*10.764</f>
        <v>221.74916399999998</v>
      </c>
      <c r="D417" s="91">
        <f t="shared" si="29"/>
        <v>266.09899679999995</v>
      </c>
      <c r="E417" s="90">
        <f>(1*1+1.1*2.5)*10.764</f>
        <v>40.364999999999995</v>
      </c>
      <c r="F417" s="128">
        <f t="shared" si="30"/>
        <v>419.38266239999996</v>
      </c>
    </row>
    <row r="418" spans="1:14" s="39" customFormat="1" ht="15.75" customHeight="1" x14ac:dyDescent="0.3">
      <c r="A418" s="127">
        <v>13</v>
      </c>
      <c r="B418" s="90" t="s">
        <v>325</v>
      </c>
      <c r="C418" s="90">
        <f>(3.52*6.43+1.2*3.52)*10.764</f>
        <v>289.09520639999994</v>
      </c>
      <c r="D418" s="91">
        <f>C418*1.2</f>
        <v>346.9142476799999</v>
      </c>
      <c r="E418" s="90">
        <f>(3.52*2.5-1.6*0.9)*10.764</f>
        <v>79.223039999999997</v>
      </c>
      <c r="F418" s="128">
        <f>(C418+E418)*(($F$319)+1)</f>
        <v>589.3091942399999</v>
      </c>
      <c r="G418" s="43"/>
      <c r="H418" s="43"/>
      <c r="K418" s="40"/>
    </row>
    <row r="419" spans="1:14" s="39" customFormat="1" ht="15.6" x14ac:dyDescent="0.3">
      <c r="A419" s="127">
        <v>14</v>
      </c>
      <c r="B419" s="90" t="s">
        <v>325</v>
      </c>
      <c r="C419" s="90">
        <f>(2.7*5.4+1.2*2.7)*10.764</f>
        <v>191.81448</v>
      </c>
      <c r="D419" s="91">
        <f t="shared" ref="D419:D424" si="31">C419*1.2</f>
        <v>230.17737600000001</v>
      </c>
      <c r="E419" s="90">
        <f>(0.9*1*2)*10.764</f>
        <v>19.3752</v>
      </c>
      <c r="F419" s="128">
        <f t="shared" ref="F419:F424" si="32">(C419+E419)*(($F$319)+1)</f>
        <v>337.90348800000004</v>
      </c>
      <c r="G419" s="157"/>
      <c r="H419" s="157"/>
      <c r="I419" s="40"/>
      <c r="J419" s="54"/>
      <c r="L419" s="170"/>
      <c r="M419" s="170"/>
      <c r="N419" s="40"/>
    </row>
    <row r="420" spans="1:14" x14ac:dyDescent="0.3">
      <c r="A420" s="127">
        <v>15</v>
      </c>
      <c r="B420" s="90" t="s">
        <v>325</v>
      </c>
      <c r="C420" s="90">
        <f>(2.52*6.43+1.2*2.52)*10.764</f>
        <v>206.96588639999999</v>
      </c>
      <c r="D420" s="91">
        <f t="shared" si="31"/>
        <v>248.35906367999996</v>
      </c>
      <c r="E420" s="90">
        <f>(2.5*2.52-0.9*1)*10.764</f>
        <v>58.125599999999991</v>
      </c>
      <c r="F420" s="128">
        <f t="shared" si="32"/>
        <v>424.14637824000005</v>
      </c>
    </row>
    <row r="421" spans="1:14" x14ac:dyDescent="0.3">
      <c r="A421" s="127">
        <v>16</v>
      </c>
      <c r="B421" s="90" t="s">
        <v>325</v>
      </c>
      <c r="C421" s="90">
        <f>(2.7*6.43+1.2*2.7)*10.764</f>
        <v>221.74916399999998</v>
      </c>
      <c r="D421" s="91">
        <f t="shared" si="31"/>
        <v>266.09899679999995</v>
      </c>
      <c r="E421" s="90">
        <f>(1*1+1.1*2.5)*10.764</f>
        <v>40.364999999999995</v>
      </c>
      <c r="F421" s="128">
        <f t="shared" si="32"/>
        <v>419.38266239999996</v>
      </c>
    </row>
    <row r="422" spans="1:14" x14ac:dyDescent="0.3">
      <c r="A422" s="127">
        <v>17</v>
      </c>
      <c r="B422" s="90" t="s">
        <v>325</v>
      </c>
      <c r="C422" s="90">
        <f>(3.52*6.43+1.2*3.52)*10.764</f>
        <v>289.09520639999994</v>
      </c>
      <c r="D422" s="91">
        <f t="shared" si="31"/>
        <v>346.9142476799999</v>
      </c>
      <c r="E422" s="90">
        <f>(3.52*2.5-1.6*0.9)*10.764</f>
        <v>79.223039999999997</v>
      </c>
      <c r="F422" s="128">
        <f t="shared" si="32"/>
        <v>589.3091942399999</v>
      </c>
    </row>
    <row r="423" spans="1:14" x14ac:dyDescent="0.3">
      <c r="A423" s="127">
        <v>18</v>
      </c>
      <c r="B423" s="90" t="s">
        <v>325</v>
      </c>
      <c r="C423" s="90">
        <f>(2.7*6.51+2.28*1.69+1.2*2.7)*10.764</f>
        <v>265.5500328</v>
      </c>
      <c r="D423" s="91">
        <f t="shared" si="31"/>
        <v>318.66003935999998</v>
      </c>
      <c r="E423" s="90">
        <f>(2.5*2.7+2.28*1.68-1.7*1.6-1.1*1.3)*10.764</f>
        <v>69.216825599999979</v>
      </c>
      <c r="F423" s="128">
        <f t="shared" si="32"/>
        <v>535.62697344000003</v>
      </c>
    </row>
    <row r="424" spans="1:14" x14ac:dyDescent="0.3">
      <c r="A424" s="127">
        <v>19</v>
      </c>
      <c r="B424" s="90" t="s">
        <v>325</v>
      </c>
      <c r="C424" s="90">
        <f>(5.85*2.7+1.2*2.7)*10.764</f>
        <v>204.89273999999997</v>
      </c>
      <c r="D424" s="91">
        <f t="shared" si="31"/>
        <v>245.87128799999996</v>
      </c>
      <c r="E424" s="90">
        <f>(2*2.7)*10.764</f>
        <v>58.125599999999999</v>
      </c>
      <c r="F424" s="128">
        <f t="shared" si="32"/>
        <v>420.82934399999999</v>
      </c>
    </row>
    <row r="425" spans="1:14" s="39" customFormat="1" ht="15.75" customHeight="1" x14ac:dyDescent="0.3">
      <c r="A425" s="127">
        <v>20</v>
      </c>
      <c r="B425" s="90" t="s">
        <v>325</v>
      </c>
      <c r="C425" s="90">
        <f>(5.85*3.52+1.2*3.52)*10.764</f>
        <v>267.11942399999998</v>
      </c>
      <c r="D425" s="91">
        <f>C425*1.2</f>
        <v>320.54330879999998</v>
      </c>
      <c r="E425" s="90">
        <f>(2*3.52)*10.764</f>
        <v>75.778559999999999</v>
      </c>
      <c r="F425" s="128">
        <f>(C425+E425)*(($F$319)+1)</f>
        <v>548.63677439999992</v>
      </c>
      <c r="G425" s="43"/>
      <c r="H425" s="43"/>
      <c r="K425" s="40"/>
    </row>
    <row r="426" spans="1:14" s="39" customFormat="1" ht="15.6" x14ac:dyDescent="0.3">
      <c r="A426" s="127">
        <v>21</v>
      </c>
      <c r="B426" s="90" t="s">
        <v>325</v>
      </c>
      <c r="C426" s="90">
        <f>(5.85*2.7+1.2*2.7)*10.764</f>
        <v>204.89273999999997</v>
      </c>
      <c r="D426" s="91">
        <f t="shared" ref="D426:D430" si="33">C426*1.2</f>
        <v>245.87128799999996</v>
      </c>
      <c r="E426" s="90">
        <f>(2*2.7-1.3*0.9)*10.764</f>
        <v>45.53172</v>
      </c>
      <c r="F426" s="128">
        <f t="shared" ref="F426:F430" si="34">(C426+E426)*(($F$319)+1)</f>
        <v>400.67913599999997</v>
      </c>
      <c r="G426" s="157"/>
      <c r="H426" s="157"/>
      <c r="I426" s="40"/>
      <c r="J426" s="54"/>
      <c r="L426" s="170"/>
      <c r="M426" s="170"/>
      <c r="N426" s="40"/>
    </row>
    <row r="427" spans="1:14" x14ac:dyDescent="0.3">
      <c r="A427" s="127">
        <v>22</v>
      </c>
      <c r="B427" s="90" t="s">
        <v>325</v>
      </c>
      <c r="C427" s="90">
        <f>(5.85*2.52+1.2*2.52)*10.764</f>
        <v>191.23322399999998</v>
      </c>
      <c r="D427" s="91">
        <f t="shared" si="33"/>
        <v>229.47986879999996</v>
      </c>
      <c r="E427" s="90">
        <f>(2*2.52)*10.764</f>
        <v>54.25056</v>
      </c>
      <c r="F427" s="128">
        <f t="shared" si="34"/>
        <v>392.77405440000001</v>
      </c>
    </row>
    <row r="428" spans="1:14" x14ac:dyDescent="0.3">
      <c r="A428" s="127">
        <v>23</v>
      </c>
      <c r="B428" s="90" t="s">
        <v>325</v>
      </c>
      <c r="C428" s="90">
        <f>(5.85*2.7+1.2*2.7)*10.764</f>
        <v>204.89273999999997</v>
      </c>
      <c r="D428" s="91">
        <f t="shared" si="33"/>
        <v>245.87128799999996</v>
      </c>
      <c r="E428" s="90">
        <f>(2*2.7-1.3*0.9)*10.764</f>
        <v>45.53172</v>
      </c>
      <c r="F428" s="128">
        <f t="shared" si="34"/>
        <v>400.67913599999997</v>
      </c>
    </row>
    <row r="429" spans="1:14" x14ac:dyDescent="0.3">
      <c r="A429" s="127">
        <v>24</v>
      </c>
      <c r="B429" s="90" t="s">
        <v>325</v>
      </c>
      <c r="C429" s="90">
        <f>(5.85*3.52+1.2*3.52)*10.764</f>
        <v>267.11942399999998</v>
      </c>
      <c r="D429" s="91">
        <f t="shared" si="33"/>
        <v>320.54330879999998</v>
      </c>
      <c r="E429" s="90">
        <f>(2*3.52)*10.764</f>
        <v>75.778559999999999</v>
      </c>
      <c r="F429" s="128">
        <f t="shared" si="34"/>
        <v>548.63677439999992</v>
      </c>
    </row>
    <row r="430" spans="1:14" x14ac:dyDescent="0.3">
      <c r="A430" s="127">
        <v>25</v>
      </c>
      <c r="B430" s="90" t="s">
        <v>325</v>
      </c>
      <c r="C430" s="90">
        <f>(5.85*2.7+1.2*2.7)*10.764</f>
        <v>204.89273999999997</v>
      </c>
      <c r="D430" s="91">
        <f t="shared" si="33"/>
        <v>245.87128799999996</v>
      </c>
      <c r="E430" s="90">
        <f>(2*2.7-1.3*0.9)*10.764</f>
        <v>45.53172</v>
      </c>
      <c r="F430" s="128">
        <f t="shared" si="34"/>
        <v>400.67913599999997</v>
      </c>
    </row>
    <row r="431" spans="1:14" s="39" customFormat="1" ht="15.75" customHeight="1" x14ac:dyDescent="0.3">
      <c r="A431" s="151" t="s">
        <v>329</v>
      </c>
      <c r="B431" s="152"/>
      <c r="C431" s="152"/>
      <c r="D431" s="152"/>
      <c r="E431" s="152"/>
      <c r="F431" s="153"/>
      <c r="G431" s="43"/>
      <c r="H431" s="43"/>
      <c r="K431" s="40"/>
    </row>
    <row r="432" spans="1:14" s="39" customFormat="1" ht="15.75" customHeight="1" x14ac:dyDescent="0.3">
      <c r="A432" s="151" t="s">
        <v>328</v>
      </c>
      <c r="B432" s="152"/>
      <c r="C432" s="152"/>
      <c r="D432" s="152"/>
      <c r="E432" s="152"/>
      <c r="F432" s="153"/>
      <c r="G432" s="43"/>
      <c r="H432" s="43"/>
      <c r="K432" s="40"/>
    </row>
    <row r="433" spans="1:14" s="39" customFormat="1" ht="15.6" x14ac:dyDescent="0.3">
      <c r="A433" s="127">
        <v>1</v>
      </c>
      <c r="B433" s="90" t="s">
        <v>325</v>
      </c>
      <c r="C433" s="90">
        <f>(23.69+1.5*1.8+0.6*1.67+0.6*2.24)*10.764</f>
        <v>309.31430399999999</v>
      </c>
      <c r="D433" s="91">
        <f>C433*1.2</f>
        <v>371.17716479999996</v>
      </c>
      <c r="E433" s="90">
        <f>(2*2.7-1.5*1)*10.764</f>
        <v>41.979599999999998</v>
      </c>
      <c r="F433" s="128">
        <f>(C433+E433)*(($F$319)+1)</f>
        <v>562.07024639999997</v>
      </c>
      <c r="G433" s="157"/>
      <c r="H433" s="157"/>
      <c r="I433" s="40"/>
      <c r="J433" s="54"/>
      <c r="L433" s="170"/>
      <c r="M433" s="170"/>
      <c r="N433" s="40"/>
    </row>
    <row r="434" spans="1:14" x14ac:dyDescent="0.3">
      <c r="A434" s="127">
        <v>2</v>
      </c>
      <c r="B434" s="90" t="s">
        <v>325</v>
      </c>
      <c r="C434" s="90">
        <f>(6.1*3.52+1.2*3.52)*10.764</f>
        <v>276.59174399999995</v>
      </c>
      <c r="D434" s="91">
        <f t="shared" ref="D434:D438" si="35">C434*1.2</f>
        <v>331.91009279999992</v>
      </c>
      <c r="E434" s="90">
        <f>(2*3.52)*10.764</f>
        <v>75.778559999999999</v>
      </c>
      <c r="F434" s="128">
        <f t="shared" ref="F434:F438" si="36">(C434+E434)*(($F$319)+1)</f>
        <v>563.79248639999992</v>
      </c>
    </row>
    <row r="435" spans="1:14" x14ac:dyDescent="0.3">
      <c r="A435" s="127">
        <v>3</v>
      </c>
      <c r="B435" s="90" t="s">
        <v>325</v>
      </c>
      <c r="C435" s="90">
        <f>(3.85*2.7+1.2*2.7+2*1.1+1.6*0.8)*10.764</f>
        <v>184.22586000000001</v>
      </c>
      <c r="D435" s="91">
        <f t="shared" si="35"/>
        <v>221.071032</v>
      </c>
      <c r="E435" s="90">
        <f>(2*2.7-1.5*1)*10.764</f>
        <v>41.979599999999998</v>
      </c>
      <c r="F435" s="128">
        <f t="shared" si="36"/>
        <v>361.92873600000007</v>
      </c>
    </row>
    <row r="436" spans="1:14" x14ac:dyDescent="0.3">
      <c r="A436" s="127">
        <v>4</v>
      </c>
      <c r="B436" s="90" t="s">
        <v>325</v>
      </c>
      <c r="C436" s="90">
        <f>(6.1*2.52+1.2*2.52)*10.764</f>
        <v>198.014544</v>
      </c>
      <c r="D436" s="91">
        <f t="shared" si="35"/>
        <v>237.6174528</v>
      </c>
      <c r="E436" s="90">
        <f>(2*2.52)*10.764</f>
        <v>54.25056</v>
      </c>
      <c r="F436" s="128">
        <f t="shared" si="36"/>
        <v>403.62416640000004</v>
      </c>
    </row>
    <row r="437" spans="1:14" x14ac:dyDescent="0.3">
      <c r="A437" s="127">
        <v>5</v>
      </c>
      <c r="B437" s="90" t="s">
        <v>325</v>
      </c>
      <c r="C437" s="90">
        <f>(3.85*2.7+1.2*2.7+2*1.1+1.6*0.8)*10.764</f>
        <v>184.22586000000001</v>
      </c>
      <c r="D437" s="91">
        <f t="shared" si="35"/>
        <v>221.071032</v>
      </c>
      <c r="E437" s="90">
        <f>(2*2.7-1.5*1)*10.764</f>
        <v>41.979599999999998</v>
      </c>
      <c r="F437" s="128">
        <f t="shared" si="36"/>
        <v>361.92873600000007</v>
      </c>
    </row>
    <row r="438" spans="1:14" x14ac:dyDescent="0.3">
      <c r="A438" s="127">
        <v>6</v>
      </c>
      <c r="B438" s="90" t="s">
        <v>325</v>
      </c>
      <c r="C438" s="90">
        <f>(6.1*3.52+1.2*3.52)*10.764</f>
        <v>276.59174399999995</v>
      </c>
      <c r="D438" s="91">
        <f t="shared" si="35"/>
        <v>331.91009279999992</v>
      </c>
      <c r="E438" s="90">
        <f>(2*3.52)*10.764</f>
        <v>75.778559999999999</v>
      </c>
      <c r="F438" s="128">
        <f t="shared" si="36"/>
        <v>563.79248639999992</v>
      </c>
    </row>
    <row r="439" spans="1:14" s="39" customFormat="1" ht="15.6" x14ac:dyDescent="0.3">
      <c r="A439" s="127">
        <v>7</v>
      </c>
      <c r="B439" s="90" t="s">
        <v>325</v>
      </c>
      <c r="C439" s="90">
        <f>(3.85*2.7+1.2*2.7+2*1.1+1.6*0.8)*10.764</f>
        <v>184.22586000000001</v>
      </c>
      <c r="D439" s="91">
        <f>C439*1.2</f>
        <v>221.071032</v>
      </c>
      <c r="E439" s="90">
        <f>(2*2.7-1.5*1)*10.764</f>
        <v>41.979599999999998</v>
      </c>
      <c r="F439" s="128">
        <f>(C439+E439)*(($F$319)+1)</f>
        <v>361.92873600000007</v>
      </c>
      <c r="G439" s="157"/>
      <c r="H439" s="157"/>
      <c r="I439" s="40"/>
      <c r="J439" s="54"/>
      <c r="L439" s="170"/>
      <c r="M439" s="170"/>
      <c r="N439" s="40"/>
    </row>
    <row r="440" spans="1:14" x14ac:dyDescent="0.3">
      <c r="A440" s="127">
        <v>8</v>
      </c>
      <c r="B440" s="90" t="s">
        <v>325</v>
      </c>
      <c r="C440" s="90">
        <f>(3.85*2.7+1.2*2.7+2*1.1+1.6*0.8)*10.764</f>
        <v>184.22586000000001</v>
      </c>
      <c r="D440" s="91">
        <f t="shared" ref="D440:D444" si="37">C440*1.2</f>
        <v>221.071032</v>
      </c>
      <c r="E440" s="90">
        <f>(2*2.7-1.5*1)*10.764</f>
        <v>41.979599999999998</v>
      </c>
      <c r="F440" s="128">
        <f t="shared" ref="F440:F444" si="38">(C440+E440)*(($F$319)+1)</f>
        <v>361.92873600000007</v>
      </c>
    </row>
    <row r="441" spans="1:14" x14ac:dyDescent="0.3">
      <c r="A441" s="127">
        <v>9</v>
      </c>
      <c r="B441" s="90" t="s">
        <v>325</v>
      </c>
      <c r="C441" s="90">
        <f>(6.1*3.52+1.2*3.52)*10.764</f>
        <v>276.59174399999995</v>
      </c>
      <c r="D441" s="91">
        <f t="shared" si="37"/>
        <v>331.91009279999992</v>
      </c>
      <c r="E441" s="90">
        <f>(2*3.52)*10.764</f>
        <v>75.778559999999999</v>
      </c>
      <c r="F441" s="128">
        <f t="shared" si="38"/>
        <v>563.79248639999992</v>
      </c>
    </row>
    <row r="442" spans="1:14" x14ac:dyDescent="0.3">
      <c r="A442" s="127">
        <v>10</v>
      </c>
      <c r="B442" s="90" t="s">
        <v>325</v>
      </c>
      <c r="C442" s="90">
        <f>(3.85*2.7+1.2*2.7+2*1.1+1.6*0.8)*10.764</f>
        <v>184.22586000000001</v>
      </c>
      <c r="D442" s="91">
        <f t="shared" si="37"/>
        <v>221.071032</v>
      </c>
      <c r="E442" s="90">
        <f>(2*2.7-1.5*1)*10.764</f>
        <v>41.979599999999998</v>
      </c>
      <c r="F442" s="128">
        <f t="shared" si="38"/>
        <v>361.92873600000007</v>
      </c>
    </row>
    <row r="443" spans="1:14" x14ac:dyDescent="0.3">
      <c r="A443" s="127">
        <v>11</v>
      </c>
      <c r="B443" s="90" t="s">
        <v>325</v>
      </c>
      <c r="C443" s="90">
        <f>(6.1*2.52+1.2*2.52)*10.764</f>
        <v>198.014544</v>
      </c>
      <c r="D443" s="91">
        <f t="shared" si="37"/>
        <v>237.6174528</v>
      </c>
      <c r="E443" s="90">
        <f>(2*2.52)*10.764</f>
        <v>54.25056</v>
      </c>
      <c r="F443" s="128">
        <f t="shared" si="38"/>
        <v>403.62416640000004</v>
      </c>
    </row>
    <row r="444" spans="1:14" x14ac:dyDescent="0.3">
      <c r="A444" s="127">
        <v>12</v>
      </c>
      <c r="B444" s="90" t="s">
        <v>325</v>
      </c>
      <c r="C444" s="90">
        <f>(3.85*2.7+1.2*2.7+2*1.1+1.6*0.8)*10.764</f>
        <v>184.22586000000001</v>
      </c>
      <c r="D444" s="91">
        <f t="shared" si="37"/>
        <v>221.071032</v>
      </c>
      <c r="E444" s="90">
        <f>(2*2.7-1.5*1)*10.764</f>
        <v>41.979599999999998</v>
      </c>
      <c r="F444" s="128">
        <f t="shared" si="38"/>
        <v>361.92873600000007</v>
      </c>
    </row>
    <row r="445" spans="1:14" s="39" customFormat="1" ht="15.75" customHeight="1" x14ac:dyDescent="0.3">
      <c r="A445" s="127">
        <v>13</v>
      </c>
      <c r="B445" s="90" t="s">
        <v>325</v>
      </c>
      <c r="C445" s="90">
        <f>(6.1*3.52+1.2*3.52)*10.764</f>
        <v>276.59174399999995</v>
      </c>
      <c r="D445" s="91">
        <f>C445*1.2</f>
        <v>331.91009279999992</v>
      </c>
      <c r="E445" s="90">
        <f>(2*3.52)*10.764</f>
        <v>75.778559999999999</v>
      </c>
      <c r="F445" s="128">
        <f>(C445+E445)*(($F$319)+1)</f>
        <v>563.79248639999992</v>
      </c>
      <c r="G445" s="43"/>
      <c r="H445" s="43"/>
      <c r="K445" s="40"/>
    </row>
    <row r="446" spans="1:14" s="39" customFormat="1" ht="15.6" x14ac:dyDescent="0.3">
      <c r="A446" s="127">
        <v>14</v>
      </c>
      <c r="B446" s="90" t="s">
        <v>325</v>
      </c>
      <c r="C446" s="90">
        <f>(3.85*2.7+1.2*2.7+2*1.1+1.6*0.8)*10.764</f>
        <v>184.22586000000001</v>
      </c>
      <c r="D446" s="91">
        <f t="shared" ref="D446" si="39">C446*1.2</f>
        <v>221.071032</v>
      </c>
      <c r="E446" s="90">
        <f>(2*2.7-1.5*1)*10.764</f>
        <v>41.979599999999998</v>
      </c>
      <c r="F446" s="128">
        <f t="shared" ref="F446" si="40">(C446+E446)*(($F$319)+1)</f>
        <v>361.92873600000007</v>
      </c>
      <c r="G446" s="157"/>
      <c r="H446" s="157"/>
      <c r="I446" s="40"/>
      <c r="J446" s="54"/>
      <c r="L446" s="170"/>
      <c r="M446" s="170"/>
      <c r="N446" s="40"/>
    </row>
    <row r="447" spans="1:14" s="39" customFormat="1" ht="15.75" customHeight="1" x14ac:dyDescent="0.3">
      <c r="A447" s="151" t="s">
        <v>330</v>
      </c>
      <c r="B447" s="152"/>
      <c r="C447" s="152"/>
      <c r="D447" s="152"/>
      <c r="E447" s="152"/>
      <c r="F447" s="153"/>
      <c r="G447" s="43"/>
      <c r="H447" s="43"/>
      <c r="K447" s="40"/>
    </row>
    <row r="448" spans="1:14" s="39" customFormat="1" ht="15.75" customHeight="1" x14ac:dyDescent="0.3">
      <c r="A448" s="151" t="s">
        <v>328</v>
      </c>
      <c r="B448" s="152"/>
      <c r="C448" s="152"/>
      <c r="D448" s="152"/>
      <c r="E448" s="152"/>
      <c r="F448" s="153"/>
      <c r="G448" s="43"/>
      <c r="H448" s="43"/>
      <c r="K448" s="40"/>
    </row>
    <row r="449" spans="1:14" s="39" customFormat="1" ht="15.6" x14ac:dyDescent="0.3">
      <c r="A449" s="127">
        <v>1</v>
      </c>
      <c r="B449" s="90" t="s">
        <v>325</v>
      </c>
      <c r="C449" s="90">
        <f>(2.7*5.85)*10.764</f>
        <v>170.01738</v>
      </c>
      <c r="D449" s="91">
        <f>C449*1.2</f>
        <v>204.02085600000001</v>
      </c>
      <c r="E449" s="90">
        <f>(1.2*2.7)*10.764</f>
        <v>34.875360000000001</v>
      </c>
      <c r="F449" s="128">
        <f>(C449+E449)*(($F$319)+1)</f>
        <v>327.82838400000003</v>
      </c>
      <c r="G449" s="157"/>
      <c r="H449" s="157"/>
      <c r="I449" s="40"/>
      <c r="J449" s="54"/>
      <c r="L449" s="170"/>
      <c r="M449" s="170"/>
      <c r="N449" s="40"/>
    </row>
    <row r="450" spans="1:14" x14ac:dyDescent="0.3">
      <c r="A450" s="127">
        <v>2</v>
      </c>
      <c r="B450" s="90" t="s">
        <v>325</v>
      </c>
      <c r="C450" s="90">
        <f>(3.48*5.85)*10.764</f>
        <v>219.13351199999997</v>
      </c>
      <c r="D450" s="91">
        <f t="shared" ref="D450:D454" si="41">C450*1.2</f>
        <v>262.96021439999993</v>
      </c>
      <c r="E450" s="90">
        <f>(2*3.48)*10.764</f>
        <v>74.917439999999999</v>
      </c>
      <c r="F450" s="128">
        <f t="shared" ref="F450:F454" si="42">(C450+E450)*(($F$319)+1)</f>
        <v>470.48152319999991</v>
      </c>
    </row>
    <row r="451" spans="1:14" x14ac:dyDescent="0.3">
      <c r="A451" s="127">
        <v>3</v>
      </c>
      <c r="B451" s="90" t="s">
        <v>325</v>
      </c>
      <c r="C451" s="90">
        <f>(2.7*5.85)*10.764</f>
        <v>170.01738</v>
      </c>
      <c r="D451" s="91">
        <f t="shared" si="41"/>
        <v>204.02085600000001</v>
      </c>
      <c r="E451" s="90">
        <f>(2*2.7-1.5*0.9)*10.764</f>
        <v>43.594200000000008</v>
      </c>
      <c r="F451" s="128">
        <f t="shared" si="42"/>
        <v>341.77852800000005</v>
      </c>
    </row>
    <row r="452" spans="1:14" x14ac:dyDescent="0.3">
      <c r="A452" s="127">
        <v>4</v>
      </c>
      <c r="B452" s="90" t="s">
        <v>325</v>
      </c>
      <c r="C452" s="90">
        <f>(5.85*2.48)*10.764</f>
        <v>156.16411199999999</v>
      </c>
      <c r="D452" s="91">
        <f t="shared" si="41"/>
        <v>187.39693439999999</v>
      </c>
      <c r="E452" s="90">
        <f>(2*2.48)*10.764</f>
        <v>53.389439999999993</v>
      </c>
      <c r="F452" s="128">
        <f t="shared" si="42"/>
        <v>335.28568319999999</v>
      </c>
    </row>
    <row r="453" spans="1:14" x14ac:dyDescent="0.3">
      <c r="A453" s="127">
        <v>5</v>
      </c>
      <c r="B453" s="90" t="s">
        <v>325</v>
      </c>
      <c r="C453" s="90">
        <f>(2.7*5.85)*10.764</f>
        <v>170.01738</v>
      </c>
      <c r="D453" s="91">
        <f t="shared" si="41"/>
        <v>204.02085600000001</v>
      </c>
      <c r="E453" s="90">
        <f>(2*2.7-1.2*0.9)*10.764</f>
        <v>46.500480000000003</v>
      </c>
      <c r="F453" s="128">
        <f t="shared" si="42"/>
        <v>346.42857600000002</v>
      </c>
    </row>
    <row r="454" spans="1:14" x14ac:dyDescent="0.3">
      <c r="A454" s="127">
        <v>6</v>
      </c>
      <c r="B454" s="90" t="s">
        <v>325</v>
      </c>
      <c r="C454" s="90">
        <f>(3.48*5.85)*10.764</f>
        <v>219.13351199999997</v>
      </c>
      <c r="D454" s="91">
        <f t="shared" si="41"/>
        <v>262.96021439999993</v>
      </c>
      <c r="E454" s="90">
        <f>(1.2*3.48)*10.764</f>
        <v>44.950463999999997</v>
      </c>
      <c r="F454" s="128">
        <f t="shared" si="42"/>
        <v>422.53436159999995</v>
      </c>
    </row>
    <row r="455" spans="1:14" s="39" customFormat="1" ht="15.6" x14ac:dyDescent="0.3">
      <c r="A455" s="127">
        <v>7</v>
      </c>
      <c r="B455" s="90" t="s">
        <v>325</v>
      </c>
      <c r="C455" s="90">
        <f>(2.7*5.85)*10.764</f>
        <v>170.01738</v>
      </c>
      <c r="D455" s="91">
        <f>C455*1.2</f>
        <v>204.02085600000001</v>
      </c>
      <c r="E455" s="90">
        <f>(1.2*2.7)*10.764</f>
        <v>34.875360000000001</v>
      </c>
      <c r="F455" s="128">
        <f>(C455+E455)*(($F$319)+1)</f>
        <v>327.82838400000003</v>
      </c>
      <c r="G455" s="157"/>
      <c r="H455" s="157"/>
      <c r="I455" s="40"/>
      <c r="J455" s="54"/>
      <c r="L455" s="170"/>
      <c r="M455" s="170"/>
      <c r="N455" s="40"/>
    </row>
    <row r="456" spans="1:14" x14ac:dyDescent="0.3">
      <c r="A456" s="127">
        <v>8</v>
      </c>
      <c r="B456" s="90" t="s">
        <v>325</v>
      </c>
      <c r="C456" s="90">
        <f>(2.7*5.85)*10.764</f>
        <v>170.01738</v>
      </c>
      <c r="D456" s="91">
        <f t="shared" ref="D456:D460" si="43">C456*1.2</f>
        <v>204.02085600000001</v>
      </c>
      <c r="E456" s="90">
        <f>(2.7*1.2)*10.764</f>
        <v>34.875360000000001</v>
      </c>
      <c r="F456" s="128">
        <f t="shared" ref="F456:F460" si="44">(C456+E456)*(($F$319)+1)</f>
        <v>327.82838400000003</v>
      </c>
    </row>
    <row r="457" spans="1:14" x14ac:dyDescent="0.3">
      <c r="A457" s="127">
        <v>9</v>
      </c>
      <c r="B457" s="90" t="s">
        <v>325</v>
      </c>
      <c r="C457" s="90">
        <f>(3.48*5.85)*10.764</f>
        <v>219.13351199999997</v>
      </c>
      <c r="D457" s="91">
        <f t="shared" si="43"/>
        <v>262.96021439999993</v>
      </c>
      <c r="E457" s="90">
        <f>(3.48*1.2)*10.764</f>
        <v>44.950463999999997</v>
      </c>
      <c r="F457" s="128">
        <f t="shared" si="44"/>
        <v>422.53436159999995</v>
      </c>
    </row>
    <row r="458" spans="1:14" x14ac:dyDescent="0.3">
      <c r="A458" s="127">
        <v>10</v>
      </c>
      <c r="B458" s="90" t="s">
        <v>325</v>
      </c>
      <c r="C458" s="90">
        <f>(2.7*5.85)*10.764</f>
        <v>170.01738</v>
      </c>
      <c r="D458" s="91">
        <f t="shared" si="43"/>
        <v>204.02085600000001</v>
      </c>
      <c r="E458" s="90">
        <f>(1.2*2.7)*10.764</f>
        <v>34.875360000000001</v>
      </c>
      <c r="F458" s="128">
        <f t="shared" si="44"/>
        <v>327.82838400000003</v>
      </c>
    </row>
    <row r="459" spans="1:14" x14ac:dyDescent="0.3">
      <c r="A459" s="127">
        <v>11</v>
      </c>
      <c r="B459" s="90" t="s">
        <v>325</v>
      </c>
      <c r="C459" s="90">
        <f>(2.7*5.85)*10.764</f>
        <v>170.01738</v>
      </c>
      <c r="D459" s="91">
        <f t="shared" si="43"/>
        <v>204.02085600000001</v>
      </c>
      <c r="E459" s="90">
        <f>(1.2*2.7)*10.764</f>
        <v>34.875360000000001</v>
      </c>
      <c r="F459" s="128">
        <f t="shared" si="44"/>
        <v>327.82838400000003</v>
      </c>
    </row>
    <row r="460" spans="1:14" x14ac:dyDescent="0.3">
      <c r="A460" s="127">
        <v>12</v>
      </c>
      <c r="B460" s="90" t="s">
        <v>325</v>
      </c>
      <c r="C460" s="90">
        <f>(3.48*5.85)*10.764</f>
        <v>219.13351199999997</v>
      </c>
      <c r="D460" s="91">
        <f t="shared" si="43"/>
        <v>262.96021439999993</v>
      </c>
      <c r="E460" s="90">
        <f>(2*3.48)*10.764</f>
        <v>74.917439999999999</v>
      </c>
      <c r="F460" s="128">
        <f t="shared" si="44"/>
        <v>470.48152319999991</v>
      </c>
    </row>
    <row r="461" spans="1:14" s="39" customFormat="1" ht="15.75" customHeight="1" x14ac:dyDescent="0.3">
      <c r="A461" s="127">
        <v>13</v>
      </c>
      <c r="B461" s="90" t="s">
        <v>325</v>
      </c>
      <c r="C461" s="90">
        <f>(2.7*5.85)*10.764</f>
        <v>170.01738</v>
      </c>
      <c r="D461" s="91">
        <f>C461*1.2</f>
        <v>204.02085600000001</v>
      </c>
      <c r="E461" s="90">
        <f>(2.7*1.2)*10.764</f>
        <v>34.875360000000001</v>
      </c>
      <c r="F461" s="128">
        <f>(C461+E461)*(($F$319)+1)</f>
        <v>327.82838400000003</v>
      </c>
      <c r="G461" s="43"/>
      <c r="H461" s="43"/>
      <c r="K461" s="40"/>
    </row>
    <row r="462" spans="1:14" s="39" customFormat="1" ht="15.6" x14ac:dyDescent="0.3">
      <c r="A462" s="127">
        <v>14</v>
      </c>
      <c r="B462" s="90" t="s">
        <v>325</v>
      </c>
      <c r="C462" s="90">
        <f>(6.7*2.73+1.2*3.12+1.2*3.12)*10.764</f>
        <v>277.48515599999996</v>
      </c>
      <c r="D462" s="91">
        <f t="shared" ref="D462:D465" si="45">C462*1.2</f>
        <v>332.98218719999994</v>
      </c>
      <c r="E462" s="90">
        <f>(2*1.2+1.2*1.2)*10.764</f>
        <v>41.333759999999998</v>
      </c>
      <c r="F462" s="128">
        <f t="shared" ref="F462:F465" si="46">(C462+E462)*(($F$319)+1)</f>
        <v>510.11026559999993</v>
      </c>
      <c r="G462" s="157"/>
      <c r="H462" s="157"/>
      <c r="I462" s="40"/>
      <c r="J462" s="54"/>
      <c r="L462" s="170"/>
      <c r="M462" s="170"/>
      <c r="N462" s="40"/>
    </row>
    <row r="463" spans="1:14" x14ac:dyDescent="0.3">
      <c r="A463" s="127">
        <v>15</v>
      </c>
      <c r="B463" s="90" t="s">
        <v>325</v>
      </c>
      <c r="C463" s="90">
        <f>(2.7*5.85)*10.764</f>
        <v>170.01738</v>
      </c>
      <c r="D463" s="91">
        <f t="shared" si="45"/>
        <v>204.02085600000001</v>
      </c>
      <c r="E463" s="90">
        <f>(1.2*2.7)*10.764</f>
        <v>34.875360000000001</v>
      </c>
      <c r="F463" s="128">
        <f t="shared" si="46"/>
        <v>327.82838400000003</v>
      </c>
    </row>
    <row r="464" spans="1:14" x14ac:dyDescent="0.3">
      <c r="A464" s="127">
        <v>16</v>
      </c>
      <c r="B464" s="90" t="s">
        <v>325</v>
      </c>
      <c r="C464" s="90">
        <f>(3.48*5.85)*10.764</f>
        <v>219.13351199999997</v>
      </c>
      <c r="D464" s="91">
        <f t="shared" si="45"/>
        <v>262.96021439999993</v>
      </c>
      <c r="E464" s="90">
        <f>(2*3.48)*10.764</f>
        <v>74.917439999999999</v>
      </c>
      <c r="F464" s="128">
        <f t="shared" si="46"/>
        <v>470.48152319999991</v>
      </c>
    </row>
    <row r="465" spans="1:14" x14ac:dyDescent="0.3">
      <c r="A465" s="127">
        <v>17</v>
      </c>
      <c r="B465" s="90" t="s">
        <v>325</v>
      </c>
      <c r="C465" s="90">
        <f>(2.7*5.85)*10.764</f>
        <v>170.01738</v>
      </c>
      <c r="D465" s="91">
        <f t="shared" si="45"/>
        <v>204.02085600000001</v>
      </c>
      <c r="E465" s="90">
        <f>(2.7*1.2)*10.764</f>
        <v>34.875360000000001</v>
      </c>
      <c r="F465" s="128">
        <f t="shared" si="46"/>
        <v>327.82838400000003</v>
      </c>
    </row>
    <row r="466" spans="1:14" x14ac:dyDescent="0.3">
      <c r="A466" s="264"/>
      <c r="B466" s="265"/>
      <c r="C466" s="265"/>
      <c r="D466" s="265"/>
      <c r="E466" s="265"/>
      <c r="F466" s="266"/>
    </row>
    <row r="467" spans="1:14" s="38" customFormat="1" ht="15.6" x14ac:dyDescent="0.3">
      <c r="A467" s="142" t="s">
        <v>52</v>
      </c>
      <c r="B467" s="143"/>
      <c r="C467" s="143"/>
      <c r="D467" s="143"/>
      <c r="E467" s="143"/>
      <c r="F467" s="144"/>
      <c r="G467" s="42"/>
      <c r="H467" s="42"/>
    </row>
    <row r="468" spans="1:14" s="38" customFormat="1" ht="15.6" x14ac:dyDescent="0.3">
      <c r="A468" s="140" t="s">
        <v>271</v>
      </c>
      <c r="B468" s="154" t="s">
        <v>53</v>
      </c>
      <c r="C468" s="154" t="s">
        <v>54</v>
      </c>
      <c r="D468" s="154" t="s">
        <v>56</v>
      </c>
      <c r="E468" s="257" t="s">
        <v>55</v>
      </c>
      <c r="F468" s="125" t="s">
        <v>284</v>
      </c>
      <c r="G468" s="42"/>
      <c r="H468" s="42"/>
    </row>
    <row r="469" spans="1:14" s="38" customFormat="1" ht="15.6" x14ac:dyDescent="0.3">
      <c r="A469" s="141"/>
      <c r="B469" s="155"/>
      <c r="C469" s="155"/>
      <c r="D469" s="155"/>
      <c r="E469" s="258"/>
      <c r="F469" s="126">
        <v>0.5</v>
      </c>
      <c r="G469" s="156"/>
      <c r="H469" s="156"/>
      <c r="I469" s="156"/>
      <c r="J469" s="156"/>
      <c r="K469" s="156"/>
    </row>
    <row r="470" spans="1:14" s="38" customFormat="1" ht="15.6" x14ac:dyDescent="0.3">
      <c r="A470" s="142" t="s">
        <v>322</v>
      </c>
      <c r="B470" s="143"/>
      <c r="C470" s="143"/>
      <c r="D470" s="143"/>
      <c r="E470" s="143"/>
      <c r="F470" s="144"/>
      <c r="G470" s="156"/>
      <c r="H470" s="156"/>
      <c r="K470"/>
    </row>
    <row r="471" spans="1:14" s="37" customFormat="1" ht="15.6" x14ac:dyDescent="0.3">
      <c r="A471" s="151" t="s">
        <v>381</v>
      </c>
      <c r="B471" s="152"/>
      <c r="C471" s="152"/>
      <c r="D471" s="152"/>
      <c r="E471" s="152"/>
      <c r="F471" s="153"/>
      <c r="G471" s="158"/>
      <c r="H471" s="158"/>
      <c r="I471" s="158"/>
      <c r="J471" s="158"/>
      <c r="K471" s="158"/>
    </row>
    <row r="472" spans="1:14" s="39" customFormat="1" ht="15.75" customHeight="1" x14ac:dyDescent="0.3">
      <c r="A472" s="151" t="s">
        <v>332</v>
      </c>
      <c r="B472" s="152"/>
      <c r="C472" s="152"/>
      <c r="D472" s="152"/>
      <c r="E472" s="152"/>
      <c r="F472" s="153"/>
      <c r="G472" s="43"/>
      <c r="H472" s="43"/>
      <c r="K472" s="40"/>
    </row>
    <row r="473" spans="1:14" s="39" customFormat="1" ht="15.75" customHeight="1" x14ac:dyDescent="0.3">
      <c r="A473" s="127">
        <v>1</v>
      </c>
      <c r="B473" s="90" t="s">
        <v>331</v>
      </c>
      <c r="C473" s="90">
        <f>(23.69+1.5*1.8+1.2*1.8+3.18*0.75+0.6*1.67)*10.764</f>
        <v>343.76986799999997</v>
      </c>
      <c r="D473" s="91">
        <f>C473*1.2</f>
        <v>412.52384159999997</v>
      </c>
      <c r="E473" s="90">
        <f>(5*1.2)*10.764</f>
        <v>64.584000000000003</v>
      </c>
      <c r="F473" s="128">
        <f>C473*(($F$469)+1)+(IF(E473&lt;101,E473,IF(E473&lt;201,E473/2,IF(E473&lt;=301,E473/3,E473/4))))</f>
        <v>580.23880200000008</v>
      </c>
      <c r="G473" s="43"/>
      <c r="H473" s="43"/>
      <c r="K473"/>
    </row>
    <row r="474" spans="1:14" s="39" customFormat="1" ht="15.6" x14ac:dyDescent="0.3">
      <c r="A474" s="127">
        <v>2</v>
      </c>
      <c r="B474" s="90" t="s">
        <v>331</v>
      </c>
      <c r="C474" s="90">
        <f>(23.69+1.5*1.8+1.2*1.38+0.6*1.67+0.75*3.16)*10.764</f>
        <v>338.18335199999996</v>
      </c>
      <c r="D474" s="91">
        <f t="shared" ref="D474:D478" si="47">C474*1.2</f>
        <v>405.82002239999991</v>
      </c>
      <c r="E474" s="90">
        <f>(3.5*1.8)*10.764</f>
        <v>67.813199999999995</v>
      </c>
      <c r="F474" s="128">
        <f t="shared" ref="F474:F478" si="48">C474*(($F$469)+1)+(IF(E474&lt;101,E474,IF(E474&lt;201,E474/2,IF(E474&lt;=301,E474/3,E474/4))))</f>
        <v>575.08822799999984</v>
      </c>
      <c r="G474" s="157"/>
      <c r="H474" s="157"/>
      <c r="I474" s="40"/>
      <c r="J474" s="54"/>
      <c r="K474"/>
      <c r="L474" s="170"/>
      <c r="M474" s="170"/>
      <c r="N474" s="40"/>
    </row>
    <row r="475" spans="1:14" x14ac:dyDescent="0.3">
      <c r="A475" s="127">
        <v>3</v>
      </c>
      <c r="B475" s="90" t="s">
        <v>331</v>
      </c>
      <c r="C475" s="90">
        <f>(23.69+1.5*1.8+1.2*1.38+0.6*1.67+0.75*3.16)*10.764</f>
        <v>338.18335199999996</v>
      </c>
      <c r="D475" s="91">
        <f t="shared" si="47"/>
        <v>405.82002239999991</v>
      </c>
      <c r="E475" s="90">
        <f>(3.5*1.8+5*1.2+1.4*2.7)*10.764</f>
        <v>173.08512000000002</v>
      </c>
      <c r="F475" s="128">
        <f t="shared" si="48"/>
        <v>593.81758799999989</v>
      </c>
    </row>
    <row r="476" spans="1:14" x14ac:dyDescent="0.3">
      <c r="A476" s="127">
        <v>4</v>
      </c>
      <c r="B476" s="90" t="s">
        <v>331</v>
      </c>
      <c r="C476" s="90">
        <f>(23.69+1.5*1.8+1.2*1.8+3.18*0.75+0.6*1.67)*10.764</f>
        <v>343.76986799999997</v>
      </c>
      <c r="D476" s="91">
        <f t="shared" si="47"/>
        <v>412.52384159999997</v>
      </c>
      <c r="E476" s="90">
        <f>(5*1.2+3.5*1.8)*10.764</f>
        <v>132.3972</v>
      </c>
      <c r="F476" s="128">
        <f t="shared" si="48"/>
        <v>581.85340199999996</v>
      </c>
    </row>
    <row r="477" spans="1:14" ht="15.6" x14ac:dyDescent="0.3">
      <c r="A477" s="127">
        <v>5</v>
      </c>
      <c r="B477" s="90" t="s">
        <v>331</v>
      </c>
      <c r="C477" s="90">
        <f>(23.69+1.5*1.8+1.2*1.8+3.18*0.75+0.6*1.67)*10.764</f>
        <v>343.76986799999997</v>
      </c>
      <c r="D477" s="91">
        <f t="shared" si="47"/>
        <v>412.52384159999997</v>
      </c>
      <c r="E477" s="90">
        <f>(3.5*1.8)*10.764</f>
        <v>67.813199999999995</v>
      </c>
      <c r="F477" s="128">
        <f t="shared" si="48"/>
        <v>583.46800200000007</v>
      </c>
      <c r="K477" s="40"/>
    </row>
    <row r="478" spans="1:14" ht="15.6" x14ac:dyDescent="0.3">
      <c r="A478" s="127">
        <v>6</v>
      </c>
      <c r="B478" s="90" t="s">
        <v>331</v>
      </c>
      <c r="C478" s="90">
        <f>(23.69+1.5*1.8+0.6*1.67+1.2*1.2)*10.764</f>
        <v>310.34764799999999</v>
      </c>
      <c r="D478" s="91">
        <f t="shared" si="47"/>
        <v>372.4171776</v>
      </c>
      <c r="E478" s="90">
        <f>(1.2*5+1.83*3.13+2.84*1.5)*10.764</f>
        <v>172.09375559999998</v>
      </c>
      <c r="F478" s="128">
        <f t="shared" si="48"/>
        <v>551.56834979999996</v>
      </c>
      <c r="K478" s="39"/>
    </row>
    <row r="479" spans="1:14" s="39" customFormat="1" ht="15.75" customHeight="1" x14ac:dyDescent="0.3">
      <c r="A479" s="127">
        <v>7</v>
      </c>
      <c r="B479" s="90" t="s">
        <v>331</v>
      </c>
      <c r="C479" s="90">
        <f>(23.69+1.5*1.8+0.6*1.67)*10.764</f>
        <v>294.847488</v>
      </c>
      <c r="D479" s="91">
        <f>C479*1.2</f>
        <v>353.81698560000001</v>
      </c>
      <c r="E479" s="90">
        <f>(6.4*1.2+2.84*1.5+4.5*1.2)*10.764</f>
        <v>186.64775999999998</v>
      </c>
      <c r="F479" s="128">
        <f>C479*(($F$469)+1)+(IF(E479&lt;101,E479,IF(E479&lt;201,E479/2,IF(E479&lt;=301,E479/3,E479/4))))</f>
        <v>535.59511199999997</v>
      </c>
      <c r="G479" s="43"/>
      <c r="H479" s="43"/>
      <c r="K479"/>
    </row>
    <row r="480" spans="1:14" s="39" customFormat="1" ht="15.6" x14ac:dyDescent="0.3">
      <c r="A480" s="127">
        <v>8</v>
      </c>
      <c r="B480" s="90" t="s">
        <v>331</v>
      </c>
      <c r="C480" s="90">
        <f>(23.69+1.5*1.8+0.6*1.67+3.16*0.75)*10.764</f>
        <v>320.35816799999998</v>
      </c>
      <c r="D480" s="91">
        <f t="shared" ref="D480:D489" si="49">C480*1.2</f>
        <v>384.42980159999996</v>
      </c>
      <c r="E480" s="90">
        <f>(1.2*5+1.8*3.5+0.6*1)*10.764</f>
        <v>138.85559999999998</v>
      </c>
      <c r="F480" s="128">
        <f t="shared" ref="F480:F489" si="50">C480*(($F$469)+1)+(IF(E480&lt;101,E480,IF(E480&lt;201,E480/2,IF(E480&lt;=301,E480/3,E480/4))))</f>
        <v>549.96505200000001</v>
      </c>
      <c r="G480" s="157"/>
      <c r="H480" s="157"/>
      <c r="I480" s="40"/>
      <c r="J480" s="54"/>
      <c r="K480"/>
      <c r="L480" s="170"/>
      <c r="M480" s="170"/>
      <c r="N480" s="40"/>
    </row>
    <row r="481" spans="1:14" x14ac:dyDescent="0.3">
      <c r="A481" s="127">
        <v>9</v>
      </c>
      <c r="B481" s="90" t="s">
        <v>331</v>
      </c>
      <c r="C481" s="90">
        <f>(23.69+1.5*1.8+0.6*1.67)*10.764</f>
        <v>294.847488</v>
      </c>
      <c r="D481" s="91">
        <f t="shared" si="49"/>
        <v>353.81698560000001</v>
      </c>
      <c r="E481" s="90">
        <f>(6.4*1.2+2.7*1.5+4.5*1.2)*10.764</f>
        <v>184.38731999999999</v>
      </c>
      <c r="F481" s="128">
        <f t="shared" si="50"/>
        <v>534.46489199999996</v>
      </c>
    </row>
    <row r="482" spans="1:14" x14ac:dyDescent="0.3">
      <c r="A482" s="127">
        <v>10</v>
      </c>
      <c r="B482" s="90" t="s">
        <v>331</v>
      </c>
      <c r="C482" s="90">
        <f>(23.69+1.5*1.8+0.6*1.67)*10.764</f>
        <v>294.847488</v>
      </c>
      <c r="D482" s="91">
        <f t="shared" si="49"/>
        <v>353.81698560000001</v>
      </c>
      <c r="E482" s="90">
        <f>(6.4*1.2+2.7*1.5+4.5*1.2)*10.764</f>
        <v>184.38731999999999</v>
      </c>
      <c r="F482" s="128">
        <f t="shared" si="50"/>
        <v>534.46489199999996</v>
      </c>
    </row>
    <row r="483" spans="1:14" ht="15.6" x14ac:dyDescent="0.3">
      <c r="A483" s="127">
        <v>11</v>
      </c>
      <c r="B483" s="90" t="s">
        <v>331</v>
      </c>
      <c r="C483" s="90">
        <f>(23.69+1.5*1.8+0.6*1.67+3.16*0.75)*10.764</f>
        <v>320.35816799999998</v>
      </c>
      <c r="D483" s="91">
        <f t="shared" si="49"/>
        <v>384.42980159999996</v>
      </c>
      <c r="E483" s="90">
        <f>(3.5*1.5+4.5*1.5)*10.764</f>
        <v>129.16800000000001</v>
      </c>
      <c r="F483" s="128">
        <f t="shared" si="50"/>
        <v>545.12125199999991</v>
      </c>
      <c r="K483" s="40"/>
    </row>
    <row r="484" spans="1:14" ht="15.6" x14ac:dyDescent="0.3">
      <c r="A484" s="127">
        <v>12</v>
      </c>
      <c r="B484" s="90" t="s">
        <v>331</v>
      </c>
      <c r="C484" s="90">
        <f>(23.69+1.5*1.8+3.16*0.75+1.2*1.2+0.6*1.67)*10.764</f>
        <v>335.85832799999997</v>
      </c>
      <c r="D484" s="91">
        <f t="shared" si="49"/>
        <v>403.02999359999995</v>
      </c>
      <c r="E484" s="90">
        <f>(3.5*1.8)*10.764</f>
        <v>67.813199999999995</v>
      </c>
      <c r="F484" s="128">
        <f t="shared" si="50"/>
        <v>571.60069199999998</v>
      </c>
      <c r="K484" s="39"/>
    </row>
    <row r="485" spans="1:14" s="39" customFormat="1" ht="15.6" x14ac:dyDescent="0.3">
      <c r="A485" s="127">
        <v>13</v>
      </c>
      <c r="B485" s="90" t="s">
        <v>331</v>
      </c>
      <c r="C485" s="90">
        <f>(23.69+1.5*1.8+0.6*1.67)*10.764</f>
        <v>294.847488</v>
      </c>
      <c r="D485" s="91">
        <f t="shared" si="49"/>
        <v>353.81698560000001</v>
      </c>
      <c r="E485" s="90">
        <f>(1.8*2.5+4.5*1.2+4.2*1.2)*10.764</f>
        <v>160.81415999999996</v>
      </c>
      <c r="F485" s="128">
        <f t="shared" si="50"/>
        <v>522.67831200000001</v>
      </c>
      <c r="G485" s="157"/>
      <c r="H485" s="157"/>
      <c r="I485" s="40"/>
      <c r="J485" s="54"/>
      <c r="K485"/>
      <c r="L485" s="170"/>
      <c r="M485" s="170"/>
      <c r="N485" s="40"/>
    </row>
    <row r="486" spans="1:14" x14ac:dyDescent="0.3">
      <c r="A486" s="127">
        <v>14</v>
      </c>
      <c r="B486" s="90" t="s">
        <v>331</v>
      </c>
      <c r="C486" s="90">
        <f>(23.69+1.5*1.8+0.6*1.67)*10.764</f>
        <v>294.847488</v>
      </c>
      <c r="D486" s="91">
        <f t="shared" si="49"/>
        <v>353.81698560000001</v>
      </c>
      <c r="E486" s="90">
        <f>(1.8*2.5+4.5*1.2+4.2*1.2)*10.764</f>
        <v>160.81415999999996</v>
      </c>
      <c r="F486" s="128">
        <f t="shared" si="50"/>
        <v>522.67831200000001</v>
      </c>
    </row>
    <row r="487" spans="1:14" x14ac:dyDescent="0.3">
      <c r="A487" s="127">
        <v>15</v>
      </c>
      <c r="B487" s="90" t="s">
        <v>331</v>
      </c>
      <c r="C487" s="90">
        <f>(23.69+1.5*1.8+3.16*0.75+1.2*1.2+0.6*1.67)*10.764</f>
        <v>335.85832799999997</v>
      </c>
      <c r="D487" s="91">
        <f t="shared" si="49"/>
        <v>403.02999359999995</v>
      </c>
      <c r="E487" s="90">
        <f>(3.5*1.8)*10.764</f>
        <v>67.813199999999995</v>
      </c>
      <c r="F487" s="128">
        <f t="shared" si="50"/>
        <v>571.60069199999998</v>
      </c>
    </row>
    <row r="488" spans="1:14" ht="15.6" x14ac:dyDescent="0.3">
      <c r="A488" s="127">
        <v>16</v>
      </c>
      <c r="B488" s="90" t="s">
        <v>331</v>
      </c>
      <c r="C488" s="90">
        <f>(23.69+1.5*1.8+0.6*1.67+0.75*2.24)*10.764</f>
        <v>312.93100799999996</v>
      </c>
      <c r="D488" s="91">
        <f t="shared" si="49"/>
        <v>375.51720959999994</v>
      </c>
      <c r="E488" s="90">
        <f>(3.5*1.8+4.5*1.5)*10.764</f>
        <v>140.47020000000001</v>
      </c>
      <c r="F488" s="128">
        <f t="shared" si="50"/>
        <v>539.6316119999999</v>
      </c>
      <c r="K488" s="40"/>
    </row>
    <row r="489" spans="1:14" ht="15.6" x14ac:dyDescent="0.3">
      <c r="A489" s="127">
        <v>17</v>
      </c>
      <c r="B489" s="90" t="s">
        <v>331</v>
      </c>
      <c r="C489" s="90">
        <f>(23.69+1.5*1.8+0.6*1.67)*10.764</f>
        <v>294.847488</v>
      </c>
      <c r="D489" s="91">
        <f t="shared" si="49"/>
        <v>353.81698560000001</v>
      </c>
      <c r="E489" s="90">
        <f>(6.4*1.2+2.7*1.8+4.5*1.2)*10.764</f>
        <v>193.10615999999996</v>
      </c>
      <c r="F489" s="128">
        <f t="shared" si="50"/>
        <v>538.82431199999996</v>
      </c>
      <c r="K489" s="39"/>
    </row>
    <row r="490" spans="1:14" s="39" customFormat="1" ht="15.75" customHeight="1" x14ac:dyDescent="0.3">
      <c r="A490" s="127">
        <v>18</v>
      </c>
      <c r="B490" s="90" t="s">
        <v>331</v>
      </c>
      <c r="C490" s="90">
        <f>(23.69+1.5*1.8+0.6*1.67)*10.764</f>
        <v>294.847488</v>
      </c>
      <c r="D490" s="91">
        <f>C490*1.2</f>
        <v>353.81698560000001</v>
      </c>
      <c r="E490" s="90">
        <f>(6.4*1.2+2.7*1.8+4.5*1.2)*10.764</f>
        <v>193.10615999999996</v>
      </c>
      <c r="F490" s="128">
        <f>C490*(($F$469)+1)+(IF(E490&lt;101,E490,IF(E490&lt;201,E490/2,IF(E490&lt;=301,E490/3,E490/4))))</f>
        <v>538.82431199999996</v>
      </c>
      <c r="G490" s="43"/>
      <c r="H490" s="43"/>
      <c r="K490"/>
    </row>
    <row r="491" spans="1:14" s="39" customFormat="1" ht="15.6" x14ac:dyDescent="0.3">
      <c r="A491" s="127">
        <v>19</v>
      </c>
      <c r="B491" s="90" t="s">
        <v>331</v>
      </c>
      <c r="C491" s="90">
        <f>(23.69+1.5*1.8+0.6*1.67+0.75*2.24)*10.764</f>
        <v>312.93100799999996</v>
      </c>
      <c r="D491" s="91">
        <f t="shared" ref="D491:D500" si="51">C491*1.2</f>
        <v>375.51720959999994</v>
      </c>
      <c r="E491" s="90">
        <f>(1.2*5+1.8*3.5+0.6*1)*10.764</f>
        <v>138.85559999999998</v>
      </c>
      <c r="F491" s="128">
        <f t="shared" ref="F491:F500" si="52">C491*(($F$469)+1)+(IF(E491&lt;101,E491,IF(E491&lt;201,E491/2,IF(E491&lt;=301,E491/3,E491/4))))</f>
        <v>538.82431199999996</v>
      </c>
      <c r="G491" s="157"/>
      <c r="H491" s="157"/>
      <c r="I491" s="40"/>
      <c r="J491" s="54"/>
      <c r="K491"/>
      <c r="L491" s="170"/>
      <c r="M491" s="170"/>
      <c r="N491" s="40"/>
    </row>
    <row r="492" spans="1:14" x14ac:dyDescent="0.3">
      <c r="A492" s="127">
        <v>20</v>
      </c>
      <c r="B492" s="90" t="s">
        <v>331</v>
      </c>
      <c r="C492" s="90">
        <f>(23.69+1.5*1.8+0.6*1.67)*10.764</f>
        <v>294.847488</v>
      </c>
      <c r="D492" s="91">
        <f t="shared" si="51"/>
        <v>353.81698560000001</v>
      </c>
      <c r="E492" s="90">
        <f>(6.4*1.2+2.7*1.8+4.5*1.2)*10.764</f>
        <v>193.10615999999996</v>
      </c>
      <c r="F492" s="128">
        <f t="shared" si="52"/>
        <v>538.82431199999996</v>
      </c>
    </row>
    <row r="493" spans="1:14" x14ac:dyDescent="0.3">
      <c r="A493" s="127">
        <v>21</v>
      </c>
      <c r="B493" s="90" t="s">
        <v>331</v>
      </c>
      <c r="C493" s="90">
        <f>(23.69+1.5*1.8+0.6*1.67+1.2*1.2)*10.764</f>
        <v>310.34764799999999</v>
      </c>
      <c r="D493" s="91">
        <f t="shared" si="51"/>
        <v>372.4171776</v>
      </c>
      <c r="E493" s="90">
        <f>(1.2*5+1.8*2.7+3.13*1.83)*10.764</f>
        <v>178.55215559999996</v>
      </c>
      <c r="F493" s="128">
        <f t="shared" si="52"/>
        <v>554.79754979999996</v>
      </c>
    </row>
    <row r="494" spans="1:14" ht="15.6" x14ac:dyDescent="0.3">
      <c r="A494" s="127">
        <v>22</v>
      </c>
      <c r="B494" s="90" t="s">
        <v>331</v>
      </c>
      <c r="C494" s="90">
        <f>(23.69+1.5*1.8+0.6*1.67+1.2*1.2)*10.764</f>
        <v>310.34764799999999</v>
      </c>
      <c r="D494" s="91">
        <f t="shared" si="51"/>
        <v>372.4171776</v>
      </c>
      <c r="E494" s="90">
        <f>(1.2*5+1.8*2.7)*10.764</f>
        <v>116.89703999999999</v>
      </c>
      <c r="F494" s="128">
        <f t="shared" si="52"/>
        <v>523.96999200000005</v>
      </c>
      <c r="K494" s="40"/>
    </row>
    <row r="495" spans="1:14" ht="15.6" x14ac:dyDescent="0.3">
      <c r="A495" s="127">
        <v>23</v>
      </c>
      <c r="B495" s="90" t="s">
        <v>331</v>
      </c>
      <c r="C495" s="90">
        <f>(23.69+1.5*1.8+0.6*1.67)*10.764</f>
        <v>294.847488</v>
      </c>
      <c r="D495" s="91">
        <f t="shared" si="51"/>
        <v>353.81698560000001</v>
      </c>
      <c r="E495" s="90">
        <f>(6.4*1.2+2.7*1.8+4.5*1.2)*10.764</f>
        <v>193.10615999999996</v>
      </c>
      <c r="F495" s="128">
        <f t="shared" si="52"/>
        <v>538.82431199999996</v>
      </c>
      <c r="K495" s="39"/>
    </row>
    <row r="496" spans="1:14" x14ac:dyDescent="0.3">
      <c r="A496" s="127">
        <v>24</v>
      </c>
      <c r="B496" s="90" t="s">
        <v>331</v>
      </c>
      <c r="C496" s="90">
        <f>(23.69+1.5*1.8+0.6*1.68+3.16*0.75)*10.764</f>
        <v>320.422752</v>
      </c>
      <c r="D496" s="91">
        <f t="shared" si="51"/>
        <v>384.50730240000001</v>
      </c>
      <c r="E496" s="90">
        <f>(3.5*1.8+1.5*3.5+1.5*1.2+2.8*1.2)*10.764</f>
        <v>179.86644000000001</v>
      </c>
      <c r="F496" s="128">
        <f t="shared" si="52"/>
        <v>570.56734800000004</v>
      </c>
    </row>
    <row r="497" spans="1:14" x14ac:dyDescent="0.3">
      <c r="A497" s="127">
        <v>25</v>
      </c>
      <c r="B497" s="90" t="s">
        <v>331</v>
      </c>
      <c r="C497" s="90">
        <f>(23.69+1.5*1.8+0.6*1.68+3.16*0.75)*10.764</f>
        <v>320.422752</v>
      </c>
      <c r="D497" s="91">
        <f t="shared" si="51"/>
        <v>384.50730240000001</v>
      </c>
      <c r="E497" s="90">
        <f>(3.5*1.8+5*1.2)*10.764</f>
        <v>132.3972</v>
      </c>
      <c r="F497" s="128">
        <f t="shared" si="52"/>
        <v>546.83272800000009</v>
      </c>
    </row>
    <row r="498" spans="1:14" ht="15.6" x14ac:dyDescent="0.3">
      <c r="A498" s="127">
        <v>26</v>
      </c>
      <c r="B498" s="90" t="s">
        <v>331</v>
      </c>
      <c r="C498" s="90">
        <f>(23.69+1.5*1.8+0.6*1.67)*10.764</f>
        <v>294.847488</v>
      </c>
      <c r="D498" s="91">
        <f t="shared" si="51"/>
        <v>353.81698560000001</v>
      </c>
      <c r="E498" s="90">
        <f>(6.4*1.2+2.7*1.8+4.5*1.2)*10.764</f>
        <v>193.10615999999996</v>
      </c>
      <c r="F498" s="128">
        <f t="shared" si="52"/>
        <v>538.82431199999996</v>
      </c>
      <c r="K498" s="40"/>
    </row>
    <row r="499" spans="1:14" ht="15.6" x14ac:dyDescent="0.3">
      <c r="A499" s="127">
        <v>27</v>
      </c>
      <c r="B499" s="90" t="s">
        <v>331</v>
      </c>
      <c r="C499" s="90">
        <f>(23.69+1.5*1.8+0.6*1.67+1.2*1.2)*10.764</f>
        <v>310.34764799999999</v>
      </c>
      <c r="D499" s="91">
        <f t="shared" si="51"/>
        <v>372.4171776</v>
      </c>
      <c r="E499" s="90">
        <f>(1.2*5+1.8*2.7)*10.764</f>
        <v>116.89703999999999</v>
      </c>
      <c r="F499" s="128">
        <f t="shared" si="52"/>
        <v>523.96999200000005</v>
      </c>
      <c r="K499" s="39"/>
    </row>
    <row r="500" spans="1:14" ht="15.6" x14ac:dyDescent="0.3">
      <c r="A500" s="127">
        <v>28</v>
      </c>
      <c r="B500" s="90" t="s">
        <v>331</v>
      </c>
      <c r="C500" s="90">
        <f>(23.69+1.8*(1.5+1.2)+0.6*1.68+3.16*0.75)*10.764</f>
        <v>343.67299199999997</v>
      </c>
      <c r="D500" s="91">
        <f t="shared" si="51"/>
        <v>412.40759039999995</v>
      </c>
      <c r="E500" s="90">
        <f>(5*1.2)*10.764</f>
        <v>64.584000000000003</v>
      </c>
      <c r="F500" s="128">
        <f t="shared" si="52"/>
        <v>580.09348799999998</v>
      </c>
      <c r="K500" s="39"/>
    </row>
    <row r="501" spans="1:14" s="39" customFormat="1" ht="15.75" customHeight="1" x14ac:dyDescent="0.3">
      <c r="A501" s="151" t="s">
        <v>333</v>
      </c>
      <c r="B501" s="152"/>
      <c r="C501" s="152"/>
      <c r="D501" s="152"/>
      <c r="E501" s="152"/>
      <c r="F501" s="153"/>
      <c r="G501" s="43"/>
      <c r="H501" s="43"/>
      <c r="K501" s="40"/>
    </row>
    <row r="502" spans="1:14" s="39" customFormat="1" ht="15.75" customHeight="1" x14ac:dyDescent="0.3">
      <c r="A502" s="127">
        <v>1</v>
      </c>
      <c r="B502" s="90" t="s">
        <v>331</v>
      </c>
      <c r="C502" s="90">
        <f t="shared" ref="C502:C529" si="53">(23.69+1.8*(1.5+1.2)+0.6*1.68+3.16*0.75+1.2*1.2)*10.764</f>
        <v>359.17315200000002</v>
      </c>
      <c r="D502" s="91">
        <f>C502*1.2</f>
        <v>431.0077824</v>
      </c>
      <c r="E502" s="90">
        <v>0</v>
      </c>
      <c r="F502" s="128">
        <f>C502*(($F$469)+1)+(IF(E502&lt;101,E502,IF(E502&lt;201,E502/2,IF(E502&lt;=301,E502/3,E502/4))))</f>
        <v>538.759728</v>
      </c>
      <c r="G502" s="43"/>
      <c r="H502" s="43"/>
      <c r="K502"/>
    </row>
    <row r="503" spans="1:14" s="39" customFormat="1" ht="15.6" x14ac:dyDescent="0.3">
      <c r="A503" s="127">
        <v>2</v>
      </c>
      <c r="B503" s="90" t="s">
        <v>331</v>
      </c>
      <c r="C503" s="90">
        <f t="shared" si="53"/>
        <v>359.17315200000002</v>
      </c>
      <c r="D503" s="91">
        <f t="shared" ref="D503:D507" si="54">C503*1.2</f>
        <v>431.0077824</v>
      </c>
      <c r="E503" s="90">
        <v>0</v>
      </c>
      <c r="F503" s="128">
        <f t="shared" ref="F503:F507" si="55">C503*(($F$469)+1)+(IF(E503&lt;101,E503,IF(E503&lt;201,E503/2,IF(E503&lt;=301,E503/3,E503/4))))</f>
        <v>538.759728</v>
      </c>
      <c r="G503" s="157"/>
      <c r="H503" s="157"/>
      <c r="I503" s="40"/>
      <c r="J503" s="54"/>
      <c r="K503"/>
      <c r="L503" s="170"/>
      <c r="M503" s="170"/>
      <c r="N503" s="40"/>
    </row>
    <row r="504" spans="1:14" x14ac:dyDescent="0.3">
      <c r="A504" s="127">
        <v>3</v>
      </c>
      <c r="B504" s="90" t="s">
        <v>331</v>
      </c>
      <c r="C504" s="90">
        <f t="shared" si="53"/>
        <v>359.17315200000002</v>
      </c>
      <c r="D504" s="91">
        <f t="shared" si="54"/>
        <v>431.0077824</v>
      </c>
      <c r="E504" s="90">
        <v>0</v>
      </c>
      <c r="F504" s="128">
        <f t="shared" si="55"/>
        <v>538.759728</v>
      </c>
    </row>
    <row r="505" spans="1:14" x14ac:dyDescent="0.3">
      <c r="A505" s="127">
        <v>4</v>
      </c>
      <c r="B505" s="90" t="s">
        <v>331</v>
      </c>
      <c r="C505" s="90">
        <f t="shared" si="53"/>
        <v>359.17315200000002</v>
      </c>
      <c r="D505" s="91">
        <f t="shared" si="54"/>
        <v>431.0077824</v>
      </c>
      <c r="E505" s="90">
        <v>0</v>
      </c>
      <c r="F505" s="128">
        <f t="shared" si="55"/>
        <v>538.759728</v>
      </c>
    </row>
    <row r="506" spans="1:14" ht="15.6" x14ac:dyDescent="0.3">
      <c r="A506" s="127">
        <v>5</v>
      </c>
      <c r="B506" s="90" t="s">
        <v>331</v>
      </c>
      <c r="C506" s="90">
        <f t="shared" si="53"/>
        <v>359.17315200000002</v>
      </c>
      <c r="D506" s="91">
        <f t="shared" si="54"/>
        <v>431.0077824</v>
      </c>
      <c r="E506" s="90">
        <v>0</v>
      </c>
      <c r="F506" s="128">
        <f t="shared" si="55"/>
        <v>538.759728</v>
      </c>
      <c r="K506" s="40"/>
    </row>
    <row r="507" spans="1:14" ht="15.6" x14ac:dyDescent="0.3">
      <c r="A507" s="127">
        <v>6</v>
      </c>
      <c r="B507" s="90" t="s">
        <v>331</v>
      </c>
      <c r="C507" s="90">
        <f t="shared" si="53"/>
        <v>359.17315200000002</v>
      </c>
      <c r="D507" s="91">
        <f t="shared" si="54"/>
        <v>431.0077824</v>
      </c>
      <c r="E507" s="90">
        <v>0</v>
      </c>
      <c r="F507" s="128">
        <f t="shared" si="55"/>
        <v>538.759728</v>
      </c>
      <c r="K507" s="39"/>
    </row>
    <row r="508" spans="1:14" s="39" customFormat="1" ht="15.75" customHeight="1" x14ac:dyDescent="0.3">
      <c r="A508" s="127">
        <v>7</v>
      </c>
      <c r="B508" s="90" t="s">
        <v>331</v>
      </c>
      <c r="C508" s="90">
        <f t="shared" si="53"/>
        <v>359.17315200000002</v>
      </c>
      <c r="D508" s="91">
        <f>C508*1.2</f>
        <v>431.0077824</v>
      </c>
      <c r="E508" s="90">
        <v>0</v>
      </c>
      <c r="F508" s="128">
        <f>C508*(($F$469)+1)+(IF(E508&lt;101,E508,IF(E508&lt;201,E508/2,IF(E508&lt;=301,E508/3,E508/4))))</f>
        <v>538.759728</v>
      </c>
      <c r="G508" s="43"/>
      <c r="H508" s="43"/>
      <c r="K508"/>
    </row>
    <row r="509" spans="1:14" s="39" customFormat="1" ht="15.6" x14ac:dyDescent="0.3">
      <c r="A509" s="127">
        <v>8</v>
      </c>
      <c r="B509" s="90" t="s">
        <v>331</v>
      </c>
      <c r="C509" s="90">
        <f t="shared" si="53"/>
        <v>359.17315200000002</v>
      </c>
      <c r="D509" s="91">
        <f t="shared" ref="D509:D518" si="56">C509*1.2</f>
        <v>431.0077824</v>
      </c>
      <c r="E509" s="90">
        <v>0</v>
      </c>
      <c r="F509" s="128">
        <f t="shared" ref="F509:F518" si="57">C509*(($F$469)+1)+(IF(E509&lt;101,E509,IF(E509&lt;201,E509/2,IF(E509&lt;=301,E509/3,E509/4))))</f>
        <v>538.759728</v>
      </c>
      <c r="G509" s="157"/>
      <c r="H509" s="157"/>
      <c r="I509" s="40"/>
      <c r="J509" s="54"/>
      <c r="K509"/>
      <c r="L509" s="170"/>
      <c r="M509" s="170"/>
      <c r="N509" s="40"/>
    </row>
    <row r="510" spans="1:14" x14ac:dyDescent="0.3">
      <c r="A510" s="127">
        <v>9</v>
      </c>
      <c r="B510" s="90" t="s">
        <v>331</v>
      </c>
      <c r="C510" s="90">
        <f t="shared" si="53"/>
        <v>359.17315200000002</v>
      </c>
      <c r="D510" s="91">
        <f t="shared" si="56"/>
        <v>431.0077824</v>
      </c>
      <c r="E510" s="90">
        <v>0</v>
      </c>
      <c r="F510" s="128">
        <f t="shared" si="57"/>
        <v>538.759728</v>
      </c>
    </row>
    <row r="511" spans="1:14" x14ac:dyDescent="0.3">
      <c r="A511" s="127">
        <v>10</v>
      </c>
      <c r="B511" s="90" t="s">
        <v>331</v>
      </c>
      <c r="C511" s="90">
        <f t="shared" si="53"/>
        <v>359.17315200000002</v>
      </c>
      <c r="D511" s="91">
        <f t="shared" si="56"/>
        <v>431.0077824</v>
      </c>
      <c r="E511" s="90">
        <v>0</v>
      </c>
      <c r="F511" s="128">
        <f t="shared" si="57"/>
        <v>538.759728</v>
      </c>
    </row>
    <row r="512" spans="1:14" ht="15.6" x14ac:dyDescent="0.3">
      <c r="A512" s="127">
        <v>11</v>
      </c>
      <c r="B512" s="90" t="s">
        <v>331</v>
      </c>
      <c r="C512" s="90">
        <f t="shared" si="53"/>
        <v>359.17315200000002</v>
      </c>
      <c r="D512" s="91">
        <f t="shared" si="56"/>
        <v>431.0077824</v>
      </c>
      <c r="E512" s="90">
        <v>0</v>
      </c>
      <c r="F512" s="128">
        <f t="shared" si="57"/>
        <v>538.759728</v>
      </c>
      <c r="K512" s="40"/>
    </row>
    <row r="513" spans="1:14" ht="15.6" x14ac:dyDescent="0.3">
      <c r="A513" s="127">
        <v>12</v>
      </c>
      <c r="B513" s="90" t="s">
        <v>331</v>
      </c>
      <c r="C513" s="90">
        <f t="shared" si="53"/>
        <v>359.17315200000002</v>
      </c>
      <c r="D513" s="91">
        <f t="shared" si="56"/>
        <v>431.0077824</v>
      </c>
      <c r="E513" s="90">
        <v>0</v>
      </c>
      <c r="F513" s="128">
        <f t="shared" si="57"/>
        <v>538.759728</v>
      </c>
      <c r="K513" s="39"/>
    </row>
    <row r="514" spans="1:14" s="39" customFormat="1" ht="15.6" x14ac:dyDescent="0.3">
      <c r="A514" s="127">
        <v>13</v>
      </c>
      <c r="B514" s="90" t="s">
        <v>331</v>
      </c>
      <c r="C514" s="90">
        <f t="shared" si="53"/>
        <v>359.17315200000002</v>
      </c>
      <c r="D514" s="91">
        <f t="shared" si="56"/>
        <v>431.0077824</v>
      </c>
      <c r="E514" s="90">
        <v>0</v>
      </c>
      <c r="F514" s="128">
        <f t="shared" si="57"/>
        <v>538.759728</v>
      </c>
      <c r="G514" s="157"/>
      <c r="H514" s="157"/>
      <c r="I514" s="40"/>
      <c r="J514" s="54"/>
      <c r="K514"/>
      <c r="L514" s="170"/>
      <c r="M514" s="170"/>
      <c r="N514" s="40"/>
    </row>
    <row r="515" spans="1:14" x14ac:dyDescent="0.3">
      <c r="A515" s="127">
        <v>14</v>
      </c>
      <c r="B515" s="90" t="s">
        <v>331</v>
      </c>
      <c r="C515" s="90">
        <f t="shared" si="53"/>
        <v>359.17315200000002</v>
      </c>
      <c r="D515" s="91">
        <f t="shared" si="56"/>
        <v>431.0077824</v>
      </c>
      <c r="E515" s="90">
        <v>0</v>
      </c>
      <c r="F515" s="128">
        <f t="shared" si="57"/>
        <v>538.759728</v>
      </c>
    </row>
    <row r="516" spans="1:14" x14ac:dyDescent="0.3">
      <c r="A516" s="127">
        <v>15</v>
      </c>
      <c r="B516" s="90" t="s">
        <v>331</v>
      </c>
      <c r="C516" s="90">
        <f t="shared" si="53"/>
        <v>359.17315200000002</v>
      </c>
      <c r="D516" s="91">
        <f t="shared" si="56"/>
        <v>431.0077824</v>
      </c>
      <c r="E516" s="90">
        <v>0</v>
      </c>
      <c r="F516" s="128">
        <f t="shared" si="57"/>
        <v>538.759728</v>
      </c>
    </row>
    <row r="517" spans="1:14" ht="15.6" x14ac:dyDescent="0.3">
      <c r="A517" s="127">
        <v>16</v>
      </c>
      <c r="B517" s="90" t="s">
        <v>331</v>
      </c>
      <c r="C517" s="90">
        <f t="shared" si="53"/>
        <v>359.17315200000002</v>
      </c>
      <c r="D517" s="91">
        <f t="shared" si="56"/>
        <v>431.0077824</v>
      </c>
      <c r="E517" s="90">
        <v>0</v>
      </c>
      <c r="F517" s="128">
        <f t="shared" si="57"/>
        <v>538.759728</v>
      </c>
      <c r="K517" s="40"/>
    </row>
    <row r="518" spans="1:14" ht="15.6" x14ac:dyDescent="0.3">
      <c r="A518" s="127">
        <v>17</v>
      </c>
      <c r="B518" s="90" t="s">
        <v>331</v>
      </c>
      <c r="C518" s="90">
        <f t="shared" si="53"/>
        <v>359.17315200000002</v>
      </c>
      <c r="D518" s="91">
        <f t="shared" si="56"/>
        <v>431.0077824</v>
      </c>
      <c r="E518" s="90">
        <v>0</v>
      </c>
      <c r="F518" s="128">
        <f t="shared" si="57"/>
        <v>538.759728</v>
      </c>
      <c r="K518" s="39"/>
    </row>
    <row r="519" spans="1:14" s="39" customFormat="1" ht="15.75" customHeight="1" x14ac:dyDescent="0.3">
      <c r="A519" s="127">
        <v>18</v>
      </c>
      <c r="B519" s="90" t="s">
        <v>331</v>
      </c>
      <c r="C519" s="90">
        <f t="shared" si="53"/>
        <v>359.17315200000002</v>
      </c>
      <c r="D519" s="91">
        <f>C519*1.2</f>
        <v>431.0077824</v>
      </c>
      <c r="E519" s="90">
        <v>0</v>
      </c>
      <c r="F519" s="128">
        <f>C519*(($F$469)+1)+(IF(E519&lt;101,E519,IF(E519&lt;201,E519/2,IF(E519&lt;=301,E519/3,E519/4))))</f>
        <v>538.759728</v>
      </c>
      <c r="G519" s="43"/>
      <c r="H519" s="43"/>
      <c r="K519"/>
    </row>
    <row r="520" spans="1:14" s="39" customFormat="1" ht="15.6" x14ac:dyDescent="0.3">
      <c r="A520" s="127">
        <v>19</v>
      </c>
      <c r="B520" s="90" t="s">
        <v>331</v>
      </c>
      <c r="C520" s="90">
        <f t="shared" si="53"/>
        <v>359.17315200000002</v>
      </c>
      <c r="D520" s="91">
        <f t="shared" ref="D520:D529" si="58">C520*1.2</f>
        <v>431.0077824</v>
      </c>
      <c r="E520" s="90">
        <v>0</v>
      </c>
      <c r="F520" s="128">
        <f t="shared" ref="F520:F529" si="59">C520*(($F$469)+1)+(IF(E520&lt;101,E520,IF(E520&lt;201,E520/2,IF(E520&lt;=301,E520/3,E520/4))))</f>
        <v>538.759728</v>
      </c>
      <c r="G520" s="157"/>
      <c r="H520" s="157"/>
      <c r="I520" s="40"/>
      <c r="J520" s="54"/>
      <c r="K520"/>
      <c r="L520" s="170"/>
      <c r="M520" s="170"/>
      <c r="N520" s="40"/>
    </row>
    <row r="521" spans="1:14" x14ac:dyDescent="0.3">
      <c r="A521" s="127">
        <v>20</v>
      </c>
      <c r="B521" s="90" t="s">
        <v>331</v>
      </c>
      <c r="C521" s="90">
        <f t="shared" si="53"/>
        <v>359.17315200000002</v>
      </c>
      <c r="D521" s="91">
        <f t="shared" si="58"/>
        <v>431.0077824</v>
      </c>
      <c r="E521" s="90">
        <v>0</v>
      </c>
      <c r="F521" s="128">
        <f t="shared" si="59"/>
        <v>538.759728</v>
      </c>
    </row>
    <row r="522" spans="1:14" x14ac:dyDescent="0.3">
      <c r="A522" s="127">
        <v>21</v>
      </c>
      <c r="B522" s="90" t="s">
        <v>331</v>
      </c>
      <c r="C522" s="90">
        <f t="shared" si="53"/>
        <v>359.17315200000002</v>
      </c>
      <c r="D522" s="91">
        <f t="shared" si="58"/>
        <v>431.0077824</v>
      </c>
      <c r="E522" s="90">
        <v>0</v>
      </c>
      <c r="F522" s="128">
        <f t="shared" si="59"/>
        <v>538.759728</v>
      </c>
    </row>
    <row r="523" spans="1:14" ht="15.6" x14ac:dyDescent="0.3">
      <c r="A523" s="127">
        <v>22</v>
      </c>
      <c r="B523" s="90" t="s">
        <v>331</v>
      </c>
      <c r="C523" s="90">
        <f t="shared" si="53"/>
        <v>359.17315200000002</v>
      </c>
      <c r="D523" s="91">
        <f t="shared" si="58"/>
        <v>431.0077824</v>
      </c>
      <c r="E523" s="90">
        <v>0</v>
      </c>
      <c r="F523" s="128">
        <f t="shared" si="59"/>
        <v>538.759728</v>
      </c>
      <c r="K523" s="40"/>
    </row>
    <row r="524" spans="1:14" ht="15.6" x14ac:dyDescent="0.3">
      <c r="A524" s="127">
        <v>23</v>
      </c>
      <c r="B524" s="90" t="s">
        <v>331</v>
      </c>
      <c r="C524" s="90">
        <f t="shared" si="53"/>
        <v>359.17315200000002</v>
      </c>
      <c r="D524" s="91">
        <f t="shared" si="58"/>
        <v>431.0077824</v>
      </c>
      <c r="E524" s="90">
        <v>0</v>
      </c>
      <c r="F524" s="128">
        <f t="shared" si="59"/>
        <v>538.759728</v>
      </c>
      <c r="K524" s="39"/>
    </row>
    <row r="525" spans="1:14" x14ac:dyDescent="0.3">
      <c r="A525" s="127">
        <v>24</v>
      </c>
      <c r="B525" s="90" t="s">
        <v>331</v>
      </c>
      <c r="C525" s="90">
        <f t="shared" si="53"/>
        <v>359.17315200000002</v>
      </c>
      <c r="D525" s="91">
        <f t="shared" si="58"/>
        <v>431.0077824</v>
      </c>
      <c r="E525" s="90">
        <v>0</v>
      </c>
      <c r="F525" s="128">
        <f t="shared" si="59"/>
        <v>538.759728</v>
      </c>
    </row>
    <row r="526" spans="1:14" x14ac:dyDescent="0.3">
      <c r="A526" s="127">
        <v>25</v>
      </c>
      <c r="B526" s="90" t="s">
        <v>331</v>
      </c>
      <c r="C526" s="90">
        <f t="shared" si="53"/>
        <v>359.17315200000002</v>
      </c>
      <c r="D526" s="91">
        <f t="shared" si="58"/>
        <v>431.0077824</v>
      </c>
      <c r="E526" s="90">
        <v>0</v>
      </c>
      <c r="F526" s="128">
        <f t="shared" si="59"/>
        <v>538.759728</v>
      </c>
    </row>
    <row r="527" spans="1:14" ht="15.6" x14ac:dyDescent="0.3">
      <c r="A527" s="127">
        <v>26</v>
      </c>
      <c r="B527" s="90" t="s">
        <v>331</v>
      </c>
      <c r="C527" s="90">
        <f t="shared" si="53"/>
        <v>359.17315200000002</v>
      </c>
      <c r="D527" s="91">
        <f t="shared" si="58"/>
        <v>431.0077824</v>
      </c>
      <c r="E527" s="90">
        <v>0</v>
      </c>
      <c r="F527" s="128">
        <f t="shared" si="59"/>
        <v>538.759728</v>
      </c>
      <c r="K527" s="40"/>
    </row>
    <row r="528" spans="1:14" ht="15.6" x14ac:dyDescent="0.3">
      <c r="A528" s="127">
        <v>27</v>
      </c>
      <c r="B528" s="90" t="s">
        <v>331</v>
      </c>
      <c r="C528" s="90">
        <f t="shared" si="53"/>
        <v>359.17315200000002</v>
      </c>
      <c r="D528" s="91">
        <f t="shared" si="58"/>
        <v>431.0077824</v>
      </c>
      <c r="E528" s="90">
        <v>0</v>
      </c>
      <c r="F528" s="128">
        <f t="shared" si="59"/>
        <v>538.759728</v>
      </c>
      <c r="K528" s="39"/>
    </row>
    <row r="529" spans="1:14" ht="15.6" x14ac:dyDescent="0.3">
      <c r="A529" s="127">
        <v>28</v>
      </c>
      <c r="B529" s="90" t="s">
        <v>331</v>
      </c>
      <c r="C529" s="90">
        <f t="shared" si="53"/>
        <v>359.17315200000002</v>
      </c>
      <c r="D529" s="91">
        <f t="shared" si="58"/>
        <v>431.0077824</v>
      </c>
      <c r="E529" s="90">
        <v>0</v>
      </c>
      <c r="F529" s="128">
        <f t="shared" si="59"/>
        <v>538.759728</v>
      </c>
      <c r="K529" s="39"/>
    </row>
    <row r="530" spans="1:14" s="39" customFormat="1" ht="15.75" customHeight="1" x14ac:dyDescent="0.3">
      <c r="A530" s="151" t="s">
        <v>334</v>
      </c>
      <c r="B530" s="152"/>
      <c r="C530" s="152"/>
      <c r="D530" s="152"/>
      <c r="E530" s="152"/>
      <c r="F530" s="153"/>
      <c r="G530" s="43"/>
      <c r="H530" s="43"/>
      <c r="K530" s="40"/>
    </row>
    <row r="531" spans="1:14" s="39" customFormat="1" ht="15.75" customHeight="1" x14ac:dyDescent="0.3">
      <c r="A531" s="127">
        <v>1</v>
      </c>
      <c r="B531" s="90" t="s">
        <v>331</v>
      </c>
      <c r="C531" s="90">
        <f t="shared" ref="C531:C542" si="60">(23.69+1.8*(1.5+1.2)+0.6*1.68+3.16*0.75+1.2*1.2)*10.764</f>
        <v>359.17315200000002</v>
      </c>
      <c r="D531" s="91">
        <f>C531*1.2</f>
        <v>431.0077824</v>
      </c>
      <c r="E531" s="90">
        <v>0</v>
      </c>
      <c r="F531" s="128">
        <f>C531*(($F$469)+1)+(IF(E531&lt;101,E531,IF(E531&lt;201,E531/2,IF(E531&lt;=301,E531/3,E531/4))))</f>
        <v>538.759728</v>
      </c>
      <c r="G531" s="43"/>
      <c r="H531" s="43"/>
      <c r="K531"/>
    </row>
    <row r="532" spans="1:14" s="39" customFormat="1" ht="15.6" x14ac:dyDescent="0.3">
      <c r="A532" s="127">
        <v>2</v>
      </c>
      <c r="B532" s="90" t="s">
        <v>331</v>
      </c>
      <c r="C532" s="90">
        <f t="shared" si="60"/>
        <v>359.17315200000002</v>
      </c>
      <c r="D532" s="91">
        <f t="shared" ref="D532:D536" si="61">C532*1.2</f>
        <v>431.0077824</v>
      </c>
      <c r="E532" s="90">
        <v>0</v>
      </c>
      <c r="F532" s="128">
        <f t="shared" ref="F532:F536" si="62">C532*(($F$469)+1)+(IF(E532&lt;101,E532,IF(E532&lt;201,E532/2,IF(E532&lt;=301,E532/3,E532/4))))</f>
        <v>538.759728</v>
      </c>
      <c r="G532" s="157"/>
      <c r="H532" s="157"/>
      <c r="I532" s="40"/>
      <c r="J532" s="54"/>
      <c r="K532"/>
      <c r="L532" s="170"/>
      <c r="M532" s="170"/>
      <c r="N532" s="40"/>
    </row>
    <row r="533" spans="1:14" x14ac:dyDescent="0.3">
      <c r="A533" s="127">
        <v>3</v>
      </c>
      <c r="B533" s="90" t="s">
        <v>331</v>
      </c>
      <c r="C533" s="90">
        <f t="shared" si="60"/>
        <v>359.17315200000002</v>
      </c>
      <c r="D533" s="91">
        <f t="shared" si="61"/>
        <v>431.0077824</v>
      </c>
      <c r="E533" s="90">
        <v>0</v>
      </c>
      <c r="F533" s="128">
        <f t="shared" si="62"/>
        <v>538.759728</v>
      </c>
    </row>
    <row r="534" spans="1:14" x14ac:dyDescent="0.3">
      <c r="A534" s="127">
        <v>4</v>
      </c>
      <c r="B534" s="90" t="s">
        <v>331</v>
      </c>
      <c r="C534" s="90">
        <f t="shared" si="60"/>
        <v>359.17315200000002</v>
      </c>
      <c r="D534" s="91">
        <f t="shared" si="61"/>
        <v>431.0077824</v>
      </c>
      <c r="E534" s="90">
        <v>0</v>
      </c>
      <c r="F534" s="128">
        <f t="shared" si="62"/>
        <v>538.759728</v>
      </c>
    </row>
    <row r="535" spans="1:14" ht="15.6" x14ac:dyDescent="0.3">
      <c r="A535" s="127">
        <v>5</v>
      </c>
      <c r="B535" s="90" t="s">
        <v>331</v>
      </c>
      <c r="C535" s="90">
        <f t="shared" si="60"/>
        <v>359.17315200000002</v>
      </c>
      <c r="D535" s="91">
        <f t="shared" si="61"/>
        <v>431.0077824</v>
      </c>
      <c r="E535" s="90">
        <v>0</v>
      </c>
      <c r="F535" s="128">
        <f t="shared" si="62"/>
        <v>538.759728</v>
      </c>
      <c r="K535" s="40"/>
    </row>
    <row r="536" spans="1:14" ht="15.6" x14ac:dyDescent="0.3">
      <c r="A536" s="127">
        <v>6</v>
      </c>
      <c r="B536" s="90" t="s">
        <v>331</v>
      </c>
      <c r="C536" s="90">
        <f t="shared" si="60"/>
        <v>359.17315200000002</v>
      </c>
      <c r="D536" s="91">
        <f t="shared" si="61"/>
        <v>431.0077824</v>
      </c>
      <c r="E536" s="90">
        <v>0</v>
      </c>
      <c r="F536" s="128">
        <f t="shared" si="62"/>
        <v>538.759728</v>
      </c>
      <c r="K536" s="39"/>
    </row>
    <row r="537" spans="1:14" s="39" customFormat="1" ht="15.75" customHeight="1" x14ac:dyDescent="0.3">
      <c r="A537" s="127">
        <v>7</v>
      </c>
      <c r="B537" s="90" t="s">
        <v>331</v>
      </c>
      <c r="C537" s="90">
        <f t="shared" si="60"/>
        <v>359.17315200000002</v>
      </c>
      <c r="D537" s="91">
        <f>C537*1.2</f>
        <v>431.0077824</v>
      </c>
      <c r="E537" s="90">
        <v>0</v>
      </c>
      <c r="F537" s="128">
        <f>C537*(($F$469)+1)+(IF(E537&lt;101,E537,IF(E537&lt;201,E537/2,IF(E537&lt;=301,E537/3,E537/4))))</f>
        <v>538.759728</v>
      </c>
      <c r="G537" s="43"/>
      <c r="H537" s="43"/>
      <c r="K537"/>
    </row>
    <row r="538" spans="1:14" s="39" customFormat="1" ht="15.6" x14ac:dyDescent="0.3">
      <c r="A538" s="127">
        <v>8</v>
      </c>
      <c r="B538" s="90" t="s">
        <v>331</v>
      </c>
      <c r="C538" s="90">
        <f t="shared" si="60"/>
        <v>359.17315200000002</v>
      </c>
      <c r="D538" s="91">
        <f t="shared" ref="D538:D542" si="63">C538*1.2</f>
        <v>431.0077824</v>
      </c>
      <c r="E538" s="90">
        <v>0</v>
      </c>
      <c r="F538" s="128">
        <f t="shared" ref="F538:F547" si="64">C538*(($F$469)+1)+(IF(E538&lt;101,E538,IF(E538&lt;201,E538/2,IF(E538&lt;=301,E538/3,E538/4))))</f>
        <v>538.759728</v>
      </c>
      <c r="G538" s="157"/>
      <c r="H538" s="157"/>
      <c r="I538" s="40"/>
      <c r="J538" s="54"/>
      <c r="K538"/>
      <c r="L538" s="170"/>
      <c r="M538" s="170"/>
      <c r="N538" s="40"/>
    </row>
    <row r="539" spans="1:14" x14ac:dyDescent="0.3">
      <c r="A539" s="127">
        <v>9</v>
      </c>
      <c r="B539" s="90" t="s">
        <v>331</v>
      </c>
      <c r="C539" s="90">
        <f t="shared" si="60"/>
        <v>359.17315200000002</v>
      </c>
      <c r="D539" s="91">
        <f t="shared" si="63"/>
        <v>431.0077824</v>
      </c>
      <c r="E539" s="90">
        <v>0</v>
      </c>
      <c r="F539" s="128">
        <f t="shared" si="64"/>
        <v>538.759728</v>
      </c>
    </row>
    <row r="540" spans="1:14" x14ac:dyDescent="0.3">
      <c r="A540" s="127">
        <v>10</v>
      </c>
      <c r="B540" s="90" t="s">
        <v>331</v>
      </c>
      <c r="C540" s="90">
        <f t="shared" si="60"/>
        <v>359.17315200000002</v>
      </c>
      <c r="D540" s="91">
        <f t="shared" si="63"/>
        <v>431.0077824</v>
      </c>
      <c r="E540" s="90">
        <v>0</v>
      </c>
      <c r="F540" s="128">
        <f t="shared" si="64"/>
        <v>538.759728</v>
      </c>
    </row>
    <row r="541" spans="1:14" ht="15.6" x14ac:dyDescent="0.3">
      <c r="A541" s="127">
        <v>11</v>
      </c>
      <c r="B541" s="90" t="s">
        <v>331</v>
      </c>
      <c r="C541" s="90">
        <f t="shared" si="60"/>
        <v>359.17315200000002</v>
      </c>
      <c r="D541" s="91">
        <f t="shared" si="63"/>
        <v>431.0077824</v>
      </c>
      <c r="E541" s="90">
        <v>0</v>
      </c>
      <c r="F541" s="128">
        <f t="shared" si="64"/>
        <v>538.759728</v>
      </c>
      <c r="K541" s="40"/>
    </row>
    <row r="542" spans="1:14" ht="15.6" x14ac:dyDescent="0.3">
      <c r="A542" s="127">
        <v>12</v>
      </c>
      <c r="B542" s="90" t="s">
        <v>331</v>
      </c>
      <c r="C542" s="90">
        <f t="shared" si="60"/>
        <v>359.17315200000002</v>
      </c>
      <c r="D542" s="91">
        <f t="shared" si="63"/>
        <v>431.0077824</v>
      </c>
      <c r="E542" s="90">
        <v>0</v>
      </c>
      <c r="F542" s="128">
        <f t="shared" si="64"/>
        <v>538.759728</v>
      </c>
      <c r="K542" s="39"/>
    </row>
    <row r="543" spans="1:14" s="39" customFormat="1" ht="15.6" x14ac:dyDescent="0.3">
      <c r="A543" s="127">
        <v>13</v>
      </c>
      <c r="B543" s="159" t="s">
        <v>335</v>
      </c>
      <c r="C543" s="160"/>
      <c r="D543" s="160"/>
      <c r="E543" s="161"/>
      <c r="F543" s="128">
        <f t="shared" si="64"/>
        <v>0</v>
      </c>
      <c r="G543" s="157"/>
      <c r="H543" s="157"/>
      <c r="I543" s="40"/>
      <c r="J543" s="54"/>
      <c r="K543"/>
      <c r="L543" s="170"/>
      <c r="M543" s="170"/>
      <c r="N543" s="40"/>
    </row>
    <row r="544" spans="1:14" x14ac:dyDescent="0.3">
      <c r="A544" s="127">
        <v>14</v>
      </c>
      <c r="B544" s="162"/>
      <c r="C544" s="163"/>
      <c r="D544" s="163"/>
      <c r="E544" s="164"/>
      <c r="F544" s="128">
        <f t="shared" si="64"/>
        <v>0</v>
      </c>
    </row>
    <row r="545" spans="1:14" x14ac:dyDescent="0.3">
      <c r="A545" s="127">
        <v>15</v>
      </c>
      <c r="B545" s="165"/>
      <c r="C545" s="166"/>
      <c r="D545" s="166"/>
      <c r="E545" s="167"/>
      <c r="F545" s="128">
        <f t="shared" si="64"/>
        <v>0</v>
      </c>
    </row>
    <row r="546" spans="1:14" ht="15.6" x14ac:dyDescent="0.3">
      <c r="A546" s="127">
        <v>16</v>
      </c>
      <c r="B546" s="90" t="s">
        <v>331</v>
      </c>
      <c r="C546" s="90">
        <f t="shared" ref="C546:C558" si="65">(23.69+1.8*(1.5+1.2)+0.6*1.68+3.16*0.75+1.2*1.2)*10.764</f>
        <v>359.17315200000002</v>
      </c>
      <c r="D546" s="91">
        <f t="shared" ref="D546:D547" si="66">C546*1.2</f>
        <v>431.0077824</v>
      </c>
      <c r="E546" s="90">
        <v>0</v>
      </c>
      <c r="F546" s="128">
        <f t="shared" si="64"/>
        <v>538.759728</v>
      </c>
      <c r="K546" s="40"/>
    </row>
    <row r="547" spans="1:14" ht="15.6" x14ac:dyDescent="0.3">
      <c r="A547" s="127">
        <v>17</v>
      </c>
      <c r="B547" s="90" t="s">
        <v>331</v>
      </c>
      <c r="C547" s="90">
        <f t="shared" si="65"/>
        <v>359.17315200000002</v>
      </c>
      <c r="D547" s="91">
        <f t="shared" si="66"/>
        <v>431.0077824</v>
      </c>
      <c r="E547" s="90">
        <v>0</v>
      </c>
      <c r="F547" s="128">
        <f t="shared" si="64"/>
        <v>538.759728</v>
      </c>
      <c r="K547" s="39"/>
    </row>
    <row r="548" spans="1:14" s="39" customFormat="1" ht="15.75" customHeight="1" x14ac:dyDescent="0.3">
      <c r="A548" s="127">
        <v>18</v>
      </c>
      <c r="B548" s="90" t="s">
        <v>331</v>
      </c>
      <c r="C548" s="90">
        <f t="shared" si="65"/>
        <v>359.17315200000002</v>
      </c>
      <c r="D548" s="91">
        <f>C548*1.2</f>
        <v>431.0077824</v>
      </c>
      <c r="E548" s="90">
        <v>0</v>
      </c>
      <c r="F548" s="128">
        <f>C548*(($F$469)+1)+(IF(E548&lt;101,E548,IF(E548&lt;201,E548/2,IF(E548&lt;=301,E548/3,E548/4))))</f>
        <v>538.759728</v>
      </c>
      <c r="G548" s="43"/>
      <c r="H548" s="43"/>
      <c r="K548"/>
    </row>
    <row r="549" spans="1:14" s="39" customFormat="1" ht="15.6" x14ac:dyDescent="0.3">
      <c r="A549" s="127">
        <v>19</v>
      </c>
      <c r="B549" s="90" t="s">
        <v>331</v>
      </c>
      <c r="C549" s="90">
        <f t="shared" si="65"/>
        <v>359.17315200000002</v>
      </c>
      <c r="D549" s="91">
        <f t="shared" ref="D549:D558" si="67">C549*1.2</f>
        <v>431.0077824</v>
      </c>
      <c r="E549" s="90">
        <v>0</v>
      </c>
      <c r="F549" s="128">
        <f t="shared" ref="F549:F558" si="68">C549*(($F$469)+1)+(IF(E549&lt;101,E549,IF(E549&lt;201,E549/2,IF(E549&lt;=301,E549/3,E549/4))))</f>
        <v>538.759728</v>
      </c>
      <c r="G549" s="157"/>
      <c r="H549" s="157"/>
      <c r="I549" s="40"/>
      <c r="J549" s="54"/>
      <c r="K549"/>
      <c r="L549" s="170"/>
      <c r="M549" s="170"/>
      <c r="N549" s="40"/>
    </row>
    <row r="550" spans="1:14" x14ac:dyDescent="0.3">
      <c r="A550" s="127">
        <v>20</v>
      </c>
      <c r="B550" s="90" t="s">
        <v>331</v>
      </c>
      <c r="C550" s="90">
        <f t="shared" si="65"/>
        <v>359.17315200000002</v>
      </c>
      <c r="D550" s="91">
        <f t="shared" si="67"/>
        <v>431.0077824</v>
      </c>
      <c r="E550" s="90">
        <v>0</v>
      </c>
      <c r="F550" s="128">
        <f t="shared" si="68"/>
        <v>538.759728</v>
      </c>
    </row>
    <row r="551" spans="1:14" x14ac:dyDescent="0.3">
      <c r="A551" s="127">
        <v>21</v>
      </c>
      <c r="B551" s="90" t="s">
        <v>331</v>
      </c>
      <c r="C551" s="90">
        <f t="shared" si="65"/>
        <v>359.17315200000002</v>
      </c>
      <c r="D551" s="91">
        <f t="shared" si="67"/>
        <v>431.0077824</v>
      </c>
      <c r="E551" s="90">
        <v>0</v>
      </c>
      <c r="F551" s="128">
        <f t="shared" si="68"/>
        <v>538.759728</v>
      </c>
    </row>
    <row r="552" spans="1:14" ht="15.6" x14ac:dyDescent="0.3">
      <c r="A552" s="127">
        <v>22</v>
      </c>
      <c r="B552" s="90" t="s">
        <v>331</v>
      </c>
      <c r="C552" s="90">
        <f t="shared" si="65"/>
        <v>359.17315200000002</v>
      </c>
      <c r="D552" s="91">
        <f t="shared" si="67"/>
        <v>431.0077824</v>
      </c>
      <c r="E552" s="90">
        <v>0</v>
      </c>
      <c r="F552" s="128">
        <f t="shared" si="68"/>
        <v>538.759728</v>
      </c>
      <c r="K552" s="40"/>
    </row>
    <row r="553" spans="1:14" ht="15.6" x14ac:dyDescent="0.3">
      <c r="A553" s="127">
        <v>23</v>
      </c>
      <c r="B553" s="90" t="s">
        <v>331</v>
      </c>
      <c r="C553" s="90">
        <f t="shared" si="65"/>
        <v>359.17315200000002</v>
      </c>
      <c r="D553" s="91">
        <f t="shared" si="67"/>
        <v>431.0077824</v>
      </c>
      <c r="E553" s="90">
        <v>0</v>
      </c>
      <c r="F553" s="128">
        <f t="shared" si="68"/>
        <v>538.759728</v>
      </c>
      <c r="K553" s="39"/>
    </row>
    <row r="554" spans="1:14" x14ac:dyDescent="0.3">
      <c r="A554" s="127">
        <v>24</v>
      </c>
      <c r="B554" s="90" t="s">
        <v>331</v>
      </c>
      <c r="C554" s="90">
        <f t="shared" si="65"/>
        <v>359.17315200000002</v>
      </c>
      <c r="D554" s="91">
        <f t="shared" si="67"/>
        <v>431.0077824</v>
      </c>
      <c r="E554" s="90">
        <v>0</v>
      </c>
      <c r="F554" s="128">
        <f t="shared" si="68"/>
        <v>538.759728</v>
      </c>
    </row>
    <row r="555" spans="1:14" x14ac:dyDescent="0.3">
      <c r="A555" s="127">
        <v>25</v>
      </c>
      <c r="B555" s="90" t="s">
        <v>331</v>
      </c>
      <c r="C555" s="90">
        <f t="shared" si="65"/>
        <v>359.17315200000002</v>
      </c>
      <c r="D555" s="91">
        <f t="shared" si="67"/>
        <v>431.0077824</v>
      </c>
      <c r="E555" s="90">
        <v>0</v>
      </c>
      <c r="F555" s="128">
        <f t="shared" si="68"/>
        <v>538.759728</v>
      </c>
    </row>
    <row r="556" spans="1:14" ht="15.6" x14ac:dyDescent="0.3">
      <c r="A556" s="127">
        <v>26</v>
      </c>
      <c r="B556" s="90" t="s">
        <v>331</v>
      </c>
      <c r="C556" s="90">
        <f t="shared" si="65"/>
        <v>359.17315200000002</v>
      </c>
      <c r="D556" s="91">
        <f t="shared" si="67"/>
        <v>431.0077824</v>
      </c>
      <c r="E556" s="90">
        <v>0</v>
      </c>
      <c r="F556" s="128">
        <f t="shared" si="68"/>
        <v>538.759728</v>
      </c>
      <c r="K556" s="40"/>
    </row>
    <row r="557" spans="1:14" ht="15.6" x14ac:dyDescent="0.3">
      <c r="A557" s="127">
        <v>27</v>
      </c>
      <c r="B557" s="90" t="s">
        <v>331</v>
      </c>
      <c r="C557" s="90">
        <f t="shared" si="65"/>
        <v>359.17315200000002</v>
      </c>
      <c r="D557" s="91">
        <f t="shared" si="67"/>
        <v>431.0077824</v>
      </c>
      <c r="E557" s="90">
        <v>0</v>
      </c>
      <c r="F557" s="128">
        <f t="shared" si="68"/>
        <v>538.759728</v>
      </c>
      <c r="K557" s="39"/>
    </row>
    <row r="558" spans="1:14" ht="15.6" x14ac:dyDescent="0.3">
      <c r="A558" s="127">
        <v>28</v>
      </c>
      <c r="B558" s="90" t="s">
        <v>331</v>
      </c>
      <c r="C558" s="90">
        <f t="shared" si="65"/>
        <v>359.17315200000002</v>
      </c>
      <c r="D558" s="91">
        <f t="shared" si="67"/>
        <v>431.0077824</v>
      </c>
      <c r="E558" s="90">
        <v>0</v>
      </c>
      <c r="F558" s="128">
        <f t="shared" si="68"/>
        <v>538.759728</v>
      </c>
      <c r="K558" s="39"/>
    </row>
    <row r="559" spans="1:14" s="37" customFormat="1" ht="15.6" x14ac:dyDescent="0.3">
      <c r="A559" s="151" t="s">
        <v>380</v>
      </c>
      <c r="B559" s="152"/>
      <c r="C559" s="152"/>
      <c r="D559" s="152"/>
      <c r="E559" s="152"/>
      <c r="F559" s="153"/>
      <c r="G559" s="158"/>
      <c r="H559" s="158"/>
      <c r="I559" s="158"/>
      <c r="J559" s="158"/>
      <c r="K559" s="158"/>
    </row>
    <row r="560" spans="1:14" s="39" customFormat="1" ht="15.75" customHeight="1" x14ac:dyDescent="0.3">
      <c r="A560" s="151" t="s">
        <v>342</v>
      </c>
      <c r="B560" s="152"/>
      <c r="C560" s="152"/>
      <c r="D560" s="152"/>
      <c r="E560" s="152"/>
      <c r="F560" s="153"/>
      <c r="G560" s="43"/>
      <c r="H560" s="43"/>
      <c r="K560" s="40"/>
    </row>
    <row r="561" spans="1:14" s="39" customFormat="1" ht="15.75" customHeight="1" x14ac:dyDescent="0.3">
      <c r="A561" s="151" t="s">
        <v>332</v>
      </c>
      <c r="B561" s="152"/>
      <c r="C561" s="152"/>
      <c r="D561" s="152"/>
      <c r="E561" s="152"/>
      <c r="F561" s="153"/>
      <c r="G561" s="43"/>
      <c r="H561" s="43"/>
      <c r="K561" s="40"/>
    </row>
    <row r="562" spans="1:14" s="39" customFormat="1" ht="15.75" customHeight="1" x14ac:dyDescent="0.3">
      <c r="A562" s="127">
        <v>1</v>
      </c>
      <c r="B562" s="90" t="s">
        <v>331</v>
      </c>
      <c r="C562" s="90">
        <f>(23.69+1.8*(1.5+1.2)+0.6*1.68+3.16*0.75)*10.764</f>
        <v>343.67299199999997</v>
      </c>
      <c r="D562" s="91">
        <f>C562*1.2</f>
        <v>412.40759039999995</v>
      </c>
      <c r="E562" s="90">
        <f>(1.2*5)*10.764</f>
        <v>64.584000000000003</v>
      </c>
      <c r="F562" s="128">
        <f>C562*(($F$469)+1)+(IF(E562&lt;101,E562,IF(E562&lt;201,E562/2,IF(E562&lt;=301,E562/3,E562/4))))</f>
        <v>580.09348799999998</v>
      </c>
      <c r="G562" s="43"/>
      <c r="H562" s="43"/>
      <c r="K562"/>
    </row>
    <row r="563" spans="1:14" s="39" customFormat="1" ht="15.6" x14ac:dyDescent="0.3">
      <c r="A563" s="127">
        <v>2</v>
      </c>
      <c r="B563" s="90" t="s">
        <v>331</v>
      </c>
      <c r="C563" s="90">
        <f>(23.69+1.8*(1.5)+1.2*1.38+0.6*1.68+3.16*0.75)*10.764</f>
        <v>338.24793599999998</v>
      </c>
      <c r="D563" s="91">
        <f t="shared" ref="D563:D567" si="69">C563*1.2</f>
        <v>405.89752319999997</v>
      </c>
      <c r="E563" s="90">
        <f>(3.5*1.8)*10.764</f>
        <v>67.813199999999995</v>
      </c>
      <c r="F563" s="128">
        <f t="shared" ref="F563:F567" si="70">C563*(($F$469)+1)+(IF(E563&lt;101,E563,IF(E563&lt;201,E563/2,IF(E563&lt;=301,E563/3,E563/4))))</f>
        <v>575.18510399999991</v>
      </c>
      <c r="G563" s="157"/>
      <c r="H563" s="157"/>
      <c r="I563" s="40"/>
      <c r="J563" s="54"/>
      <c r="K563"/>
      <c r="L563" s="170"/>
      <c r="M563" s="170"/>
      <c r="N563" s="40"/>
    </row>
    <row r="564" spans="1:14" x14ac:dyDescent="0.3">
      <c r="A564" s="127">
        <v>3</v>
      </c>
      <c r="B564" s="90" t="s">
        <v>331</v>
      </c>
      <c r="C564" s="90">
        <f>(23.69+1.8*(1.5)+1.2*1.38+0.6*1.68+3.16*0.75)*10.764</f>
        <v>338.24793599999998</v>
      </c>
      <c r="D564" s="91">
        <f t="shared" si="69"/>
        <v>405.89752319999997</v>
      </c>
      <c r="E564" s="90">
        <f>(3.5*1.8)*10.764</f>
        <v>67.813199999999995</v>
      </c>
      <c r="F564" s="128">
        <f t="shared" si="70"/>
        <v>575.18510399999991</v>
      </c>
    </row>
    <row r="565" spans="1:14" x14ac:dyDescent="0.3">
      <c r="A565" s="127">
        <v>4</v>
      </c>
      <c r="B565" s="90" t="s">
        <v>331</v>
      </c>
      <c r="C565" s="90">
        <f>(23.69+1.8*(1.5)+0.6*1.68+3.16*0.75)*10.764</f>
        <v>320.422752</v>
      </c>
      <c r="D565" s="91">
        <f t="shared" si="69"/>
        <v>384.50730240000001</v>
      </c>
      <c r="E565" s="90">
        <f>(1.2*5+3.5*1.8)*10.764</f>
        <v>132.3972</v>
      </c>
      <c r="F565" s="128">
        <f t="shared" si="70"/>
        <v>546.83272800000009</v>
      </c>
    </row>
    <row r="566" spans="1:14" ht="15.6" x14ac:dyDescent="0.3">
      <c r="A566" s="127">
        <v>5</v>
      </c>
      <c r="B566" s="90" t="s">
        <v>331</v>
      </c>
      <c r="C566" s="90">
        <f>(23.69+1.8*(1.5)+0.6*1.68+3.16*0.75)*10.764</f>
        <v>320.422752</v>
      </c>
      <c r="D566" s="91">
        <f t="shared" si="69"/>
        <v>384.50730240000001</v>
      </c>
      <c r="E566" s="90">
        <f>(3.5*1.8+2.33*3.7)*10.764</f>
        <v>160.60964399999997</v>
      </c>
      <c r="F566" s="128">
        <f t="shared" si="70"/>
        <v>560.93894999999998</v>
      </c>
      <c r="K566" s="40"/>
    </row>
    <row r="567" spans="1:14" ht="15.6" x14ac:dyDescent="0.3">
      <c r="A567" s="127">
        <v>6</v>
      </c>
      <c r="B567" s="90" t="s">
        <v>331</v>
      </c>
      <c r="C567" s="90">
        <f>(23.69+1.8*(1.5)+1.2*1.38+0.6*1.68+3.16*0.75)*10.764</f>
        <v>338.24793599999998</v>
      </c>
      <c r="D567" s="91">
        <f t="shared" si="69"/>
        <v>405.89752319999997</v>
      </c>
      <c r="E567" s="90">
        <f>(3.5*1.8)*10.764</f>
        <v>67.813199999999995</v>
      </c>
      <c r="F567" s="128">
        <f t="shared" si="70"/>
        <v>575.18510399999991</v>
      </c>
      <c r="K567" s="39"/>
    </row>
    <row r="568" spans="1:14" s="39" customFormat="1" ht="15.75" customHeight="1" x14ac:dyDescent="0.3">
      <c r="A568" s="127">
        <v>7</v>
      </c>
      <c r="B568" s="90" t="s">
        <v>331</v>
      </c>
      <c r="C568" s="90">
        <f>(23.69+1.8*(1.5)+0.6*1.68+3.16*0.75)*10.764</f>
        <v>320.422752</v>
      </c>
      <c r="D568" s="91">
        <f>C568*1.2</f>
        <v>384.50730240000001</v>
      </c>
      <c r="E568" s="99">
        <f>(3.5*1.8)*10.764</f>
        <v>67.813199999999995</v>
      </c>
      <c r="F568" s="128">
        <f>C568*(($F$469)+1)+(IF(E568&lt;101,E568,IF(E568&lt;201,E568/2,IF(E568&lt;=301,E568/3,E568/4))))</f>
        <v>548.44732799999997</v>
      </c>
      <c r="G568" s="43"/>
      <c r="H568" s="43"/>
      <c r="K568"/>
    </row>
    <row r="569" spans="1:14" s="39" customFormat="1" ht="15.6" x14ac:dyDescent="0.3">
      <c r="A569" s="127">
        <v>8</v>
      </c>
      <c r="B569" s="90" t="s">
        <v>331</v>
      </c>
      <c r="C569" s="90">
        <f>(23.69+1.8*(1.5)+(1.2*1.2)+0.6*1.68+3.16*0.75)*10.764</f>
        <v>335.922912</v>
      </c>
      <c r="D569" s="91">
        <f t="shared" ref="D569:D578" si="71">C569*1.2</f>
        <v>403.10749440000001</v>
      </c>
      <c r="E569" s="90">
        <f>(3.5*1.8)*10.764</f>
        <v>67.813199999999995</v>
      </c>
      <c r="F569" s="128">
        <f t="shared" ref="F569:F578" si="72">C569*(($F$469)+1)+(IF(E569&lt;101,E569,IF(E569&lt;201,E569/2,IF(E569&lt;=301,E569/3,E569/4))))</f>
        <v>571.69756800000005</v>
      </c>
      <c r="G569" s="157"/>
      <c r="H569" s="157"/>
      <c r="I569" s="40"/>
      <c r="J569" s="54"/>
      <c r="K569"/>
      <c r="L569" s="170"/>
      <c r="M569" s="170"/>
      <c r="N569" s="40"/>
    </row>
    <row r="570" spans="1:14" x14ac:dyDescent="0.3">
      <c r="A570" s="127">
        <v>9</v>
      </c>
      <c r="B570" s="90" t="s">
        <v>331</v>
      </c>
      <c r="C570" s="90">
        <f>(23.69+1.8*(1.5)+(1.2*1.2)+0.6*1.68+3.16*0.75)*10.764</f>
        <v>335.922912</v>
      </c>
      <c r="D570" s="91">
        <f t="shared" si="71"/>
        <v>403.10749440000001</v>
      </c>
      <c r="E570" s="90">
        <f>(3.5*1.8)*10.764</f>
        <v>67.813199999999995</v>
      </c>
      <c r="F570" s="128">
        <f t="shared" si="72"/>
        <v>571.69756800000005</v>
      </c>
    </row>
    <row r="571" spans="1:14" x14ac:dyDescent="0.3">
      <c r="A571" s="127">
        <v>10</v>
      </c>
      <c r="B571" s="90" t="s">
        <v>331</v>
      </c>
      <c r="C571" s="90">
        <f>(23.69+1.8*(1.5+1.2)+0.6*1.68+3.16*0.75)*10.764</f>
        <v>343.67299199999997</v>
      </c>
      <c r="D571" s="91">
        <f t="shared" si="71"/>
        <v>412.40759039999995</v>
      </c>
      <c r="E571" s="90">
        <f>(5*1.2)*10.764</f>
        <v>64.584000000000003</v>
      </c>
      <c r="F571" s="128">
        <f t="shared" si="72"/>
        <v>580.09348799999998</v>
      </c>
    </row>
    <row r="572" spans="1:14" ht="15.6" x14ac:dyDescent="0.3">
      <c r="A572" s="127">
        <v>11</v>
      </c>
      <c r="B572" s="90" t="s">
        <v>331</v>
      </c>
      <c r="C572" s="90">
        <f>(23.69+1.8*(1.5+1.2)+0.6*1.68+3.16*0.75)*10.764</f>
        <v>343.67299199999997</v>
      </c>
      <c r="D572" s="91">
        <f t="shared" si="71"/>
        <v>412.40759039999995</v>
      </c>
      <c r="E572" s="90">
        <f>(5*1.2)*10.764</f>
        <v>64.584000000000003</v>
      </c>
      <c r="F572" s="128">
        <f t="shared" si="72"/>
        <v>580.09348799999998</v>
      </c>
      <c r="K572" s="40"/>
    </row>
    <row r="573" spans="1:14" ht="15.6" x14ac:dyDescent="0.3">
      <c r="A573" s="127">
        <v>12</v>
      </c>
      <c r="B573" s="90" t="s">
        <v>331</v>
      </c>
      <c r="C573" s="90">
        <f>(23.69+1.8*(1.5)+(1.2*1.2)+0.6*1.68+3.16*0.75)*10.764</f>
        <v>335.922912</v>
      </c>
      <c r="D573" s="91">
        <f t="shared" si="71"/>
        <v>403.10749440000001</v>
      </c>
      <c r="E573" s="90">
        <f>(3.5*1.8)*10.764</f>
        <v>67.813199999999995</v>
      </c>
      <c r="F573" s="128">
        <f t="shared" si="72"/>
        <v>571.69756800000005</v>
      </c>
      <c r="K573" s="39"/>
    </row>
    <row r="574" spans="1:14" s="39" customFormat="1" ht="15.6" x14ac:dyDescent="0.3">
      <c r="A574" s="127">
        <v>13</v>
      </c>
      <c r="B574" s="90" t="s">
        <v>331</v>
      </c>
      <c r="C574" s="90">
        <f t="shared" ref="C574:C581" si="73">(23.69+1.8*(1.5)+0.6*1.68+3.16*0.75)*10.764</f>
        <v>320.422752</v>
      </c>
      <c r="D574" s="91">
        <f t="shared" si="71"/>
        <v>384.50730240000001</v>
      </c>
      <c r="E574" s="90">
        <f>(3.5*1.8+5*1.2)*10.764</f>
        <v>132.3972</v>
      </c>
      <c r="F574" s="128">
        <f t="shared" si="72"/>
        <v>546.83272800000009</v>
      </c>
      <c r="G574" s="157"/>
      <c r="H574" s="157"/>
      <c r="I574" s="40"/>
      <c r="J574" s="54"/>
      <c r="K574"/>
      <c r="L574" s="170"/>
      <c r="M574" s="170"/>
      <c r="N574" s="40"/>
    </row>
    <row r="575" spans="1:14" x14ac:dyDescent="0.3">
      <c r="A575" s="127">
        <v>14</v>
      </c>
      <c r="B575" s="90" t="s">
        <v>331</v>
      </c>
      <c r="C575" s="90">
        <f t="shared" si="73"/>
        <v>320.422752</v>
      </c>
      <c r="D575" s="91">
        <f t="shared" si="71"/>
        <v>384.50730240000001</v>
      </c>
      <c r="E575" s="90">
        <f>(3.5*1.8+5*1.2)*10.764</f>
        <v>132.3972</v>
      </c>
      <c r="F575" s="128">
        <f t="shared" si="72"/>
        <v>546.83272800000009</v>
      </c>
    </row>
    <row r="576" spans="1:14" x14ac:dyDescent="0.3">
      <c r="A576" s="127">
        <v>15</v>
      </c>
      <c r="B576" s="90" t="s">
        <v>331</v>
      </c>
      <c r="C576" s="90">
        <f t="shared" si="73"/>
        <v>320.422752</v>
      </c>
      <c r="D576" s="91">
        <f t="shared" si="71"/>
        <v>384.50730240000001</v>
      </c>
      <c r="E576" s="90">
        <f>(3.5*1.8+5*1.2)*10.764</f>
        <v>132.3972</v>
      </c>
      <c r="F576" s="128">
        <f t="shared" si="72"/>
        <v>546.83272800000009</v>
      </c>
    </row>
    <row r="577" spans="1:14" ht="15.6" x14ac:dyDescent="0.3">
      <c r="A577" s="127">
        <v>16</v>
      </c>
      <c r="B577" s="90" t="s">
        <v>331</v>
      </c>
      <c r="C577" s="90">
        <f t="shared" si="73"/>
        <v>320.422752</v>
      </c>
      <c r="D577" s="91">
        <f t="shared" si="71"/>
        <v>384.50730240000001</v>
      </c>
      <c r="E577" s="90">
        <f t="shared" ref="E577:E581" si="74">(3.5*1.8+5*1.2)*10.764</f>
        <v>132.3972</v>
      </c>
      <c r="F577" s="128">
        <f t="shared" si="72"/>
        <v>546.83272800000009</v>
      </c>
      <c r="K577" s="40"/>
    </row>
    <row r="578" spans="1:14" ht="15.6" x14ac:dyDescent="0.3">
      <c r="A578" s="127">
        <v>17</v>
      </c>
      <c r="B578" s="90" t="s">
        <v>331</v>
      </c>
      <c r="C578" s="90">
        <f t="shared" si="73"/>
        <v>320.422752</v>
      </c>
      <c r="D578" s="91">
        <f t="shared" si="71"/>
        <v>384.50730240000001</v>
      </c>
      <c r="E578" s="90">
        <f t="shared" si="74"/>
        <v>132.3972</v>
      </c>
      <c r="F578" s="128">
        <f t="shared" si="72"/>
        <v>546.83272800000009</v>
      </c>
      <c r="K578" s="39"/>
    </row>
    <row r="579" spans="1:14" s="39" customFormat="1" ht="15.75" customHeight="1" x14ac:dyDescent="0.3">
      <c r="A579" s="127">
        <v>18</v>
      </c>
      <c r="B579" s="90" t="s">
        <v>331</v>
      </c>
      <c r="C579" s="90">
        <f t="shared" si="73"/>
        <v>320.422752</v>
      </c>
      <c r="D579" s="91">
        <f>C579*1.2</f>
        <v>384.50730240000001</v>
      </c>
      <c r="E579" s="90">
        <f t="shared" si="74"/>
        <v>132.3972</v>
      </c>
      <c r="F579" s="128">
        <f>C579*(($F$469)+1)+(IF(E579&lt;101,E579,IF(E579&lt;201,E579/2,IF(E579&lt;=301,E579/3,E579/4))))</f>
        <v>546.83272800000009</v>
      </c>
      <c r="G579" s="43"/>
      <c r="H579" s="43"/>
      <c r="K579"/>
    </row>
    <row r="580" spans="1:14" s="39" customFormat="1" ht="15.6" x14ac:dyDescent="0.3">
      <c r="A580" s="127">
        <v>19</v>
      </c>
      <c r="B580" s="90" t="s">
        <v>331</v>
      </c>
      <c r="C580" s="90">
        <f t="shared" si="73"/>
        <v>320.422752</v>
      </c>
      <c r="D580" s="91">
        <f t="shared" ref="D580:D593" si="75">C580*1.2</f>
        <v>384.50730240000001</v>
      </c>
      <c r="E580" s="90">
        <f t="shared" si="74"/>
        <v>132.3972</v>
      </c>
      <c r="F580" s="128">
        <f t="shared" ref="F580:F593" si="76">C580*(($F$469)+1)+(IF(E580&lt;101,E580,IF(E580&lt;201,E580/2,IF(E580&lt;=301,E580/3,E580/4))))</f>
        <v>546.83272800000009</v>
      </c>
      <c r="G580" s="157"/>
      <c r="H580" s="157"/>
      <c r="I580" s="40"/>
      <c r="J580" s="54"/>
      <c r="K580"/>
      <c r="L580" s="170"/>
      <c r="M580" s="170"/>
      <c r="N580" s="40"/>
    </row>
    <row r="581" spans="1:14" x14ac:dyDescent="0.3">
      <c r="A581" s="127">
        <v>20</v>
      </c>
      <c r="B581" s="90" t="s">
        <v>331</v>
      </c>
      <c r="C581" s="90">
        <f t="shared" si="73"/>
        <v>320.422752</v>
      </c>
      <c r="D581" s="91">
        <f t="shared" si="75"/>
        <v>384.50730240000001</v>
      </c>
      <c r="E581" s="90">
        <f t="shared" si="74"/>
        <v>132.3972</v>
      </c>
      <c r="F581" s="128">
        <f t="shared" si="76"/>
        <v>546.83272800000009</v>
      </c>
    </row>
    <row r="582" spans="1:14" x14ac:dyDescent="0.3">
      <c r="A582" s="127">
        <v>21</v>
      </c>
      <c r="B582" s="90" t="s">
        <v>331</v>
      </c>
      <c r="C582" s="90">
        <f>(23.69+1.8*(1.5)+(1.2*1.2)+0.6*1.68+3.16*0.75)*10.764</f>
        <v>335.922912</v>
      </c>
      <c r="D582" s="91">
        <f t="shared" si="75"/>
        <v>403.10749440000001</v>
      </c>
      <c r="E582" s="90">
        <f>(3.5*1.8)*10.764</f>
        <v>67.813199999999995</v>
      </c>
      <c r="F582" s="128">
        <f t="shared" si="76"/>
        <v>571.69756800000005</v>
      </c>
    </row>
    <row r="583" spans="1:14" ht="15.6" x14ac:dyDescent="0.3">
      <c r="A583" s="127">
        <v>22</v>
      </c>
      <c r="B583" s="90" t="s">
        <v>331</v>
      </c>
      <c r="C583" s="90">
        <f>(23.69+1.8*(1.5+1.2)+0.6*1.68+3.16*0.75)*10.764</f>
        <v>343.67299199999997</v>
      </c>
      <c r="D583" s="91">
        <f t="shared" si="75"/>
        <v>412.40759039999995</v>
      </c>
      <c r="E583" s="90">
        <f>(5*1.2)*10.764</f>
        <v>64.584000000000003</v>
      </c>
      <c r="F583" s="128">
        <f t="shared" si="76"/>
        <v>580.09348799999998</v>
      </c>
      <c r="K583" s="40"/>
    </row>
    <row r="584" spans="1:14" ht="15.6" x14ac:dyDescent="0.3">
      <c r="A584" s="127">
        <v>23</v>
      </c>
      <c r="B584" s="90" t="s">
        <v>331</v>
      </c>
      <c r="C584" s="90">
        <f>(23.69+1.8*(1.5)+(1.2*1.2)+0.6*1.68+3.16*0.75)*10.764</f>
        <v>335.922912</v>
      </c>
      <c r="D584" s="91">
        <f t="shared" si="75"/>
        <v>403.10749440000001</v>
      </c>
      <c r="E584" s="90">
        <f>(3.5*1.8+2.66*3.8)*10.764</f>
        <v>176.615712</v>
      </c>
      <c r="F584" s="128">
        <f t="shared" si="76"/>
        <v>592.19222400000001</v>
      </c>
      <c r="K584" s="39"/>
    </row>
    <row r="585" spans="1:14" x14ac:dyDescent="0.3">
      <c r="A585" s="127">
        <v>24</v>
      </c>
      <c r="B585" s="90" t="s">
        <v>331</v>
      </c>
      <c r="C585" s="90">
        <f>(23.69+1.8*(1.5)+0.6*1.68+3.16*0.75)*10.764</f>
        <v>320.422752</v>
      </c>
      <c r="D585" s="91">
        <f t="shared" si="75"/>
        <v>384.50730240000001</v>
      </c>
      <c r="E585" s="90">
        <f t="shared" ref="E585:E587" si="77">(3.5*1.8+5*1.2)*10.764</f>
        <v>132.3972</v>
      </c>
      <c r="F585" s="128">
        <f t="shared" si="76"/>
        <v>546.83272800000009</v>
      </c>
    </row>
    <row r="586" spans="1:14" x14ac:dyDescent="0.3">
      <c r="A586" s="127">
        <v>25</v>
      </c>
      <c r="B586" s="90" t="s">
        <v>331</v>
      </c>
      <c r="C586" s="90">
        <f>(23.69+1.8*(1.5)+(1.2*1.2)+0.6*1.68+3.16*0.75)*10.764</f>
        <v>335.922912</v>
      </c>
      <c r="D586" s="91">
        <f t="shared" si="75"/>
        <v>403.10749440000001</v>
      </c>
      <c r="E586" s="90">
        <f>(3.5*1.8+3.8*3.8)*10.764</f>
        <v>223.24535999999998</v>
      </c>
      <c r="F586" s="128">
        <f t="shared" si="76"/>
        <v>578.299488</v>
      </c>
    </row>
    <row r="587" spans="1:14" ht="15.6" x14ac:dyDescent="0.3">
      <c r="A587" s="127">
        <v>26</v>
      </c>
      <c r="B587" s="90" t="s">
        <v>331</v>
      </c>
      <c r="C587" s="90">
        <f>(23.69+1.8*(1.5)+0.6*1.68+3.16*0.75)*10.764</f>
        <v>320.422752</v>
      </c>
      <c r="D587" s="91">
        <f t="shared" si="75"/>
        <v>384.50730240000001</v>
      </c>
      <c r="E587" s="90">
        <f t="shared" si="77"/>
        <v>132.3972</v>
      </c>
      <c r="F587" s="128">
        <f t="shared" si="76"/>
        <v>546.83272800000009</v>
      </c>
      <c r="K587" s="40"/>
    </row>
    <row r="588" spans="1:14" ht="15.6" x14ac:dyDescent="0.3">
      <c r="A588" s="127">
        <v>27</v>
      </c>
      <c r="B588" s="90" t="s">
        <v>331</v>
      </c>
      <c r="C588" s="90">
        <f>(23.69+1.8*(1.5)+0.6*1.68+3.16*0.75)*10.764</f>
        <v>320.422752</v>
      </c>
      <c r="D588" s="91">
        <f t="shared" si="75"/>
        <v>384.50730240000001</v>
      </c>
      <c r="E588" s="90">
        <f>(3.5*1.8+5*1.2)*10.764</f>
        <v>132.3972</v>
      </c>
      <c r="F588" s="128">
        <f t="shared" si="76"/>
        <v>546.83272800000009</v>
      </c>
      <c r="K588" s="39"/>
    </row>
    <row r="589" spans="1:14" ht="15.6" x14ac:dyDescent="0.3">
      <c r="A589" s="127">
        <v>28</v>
      </c>
      <c r="B589" s="90" t="s">
        <v>331</v>
      </c>
      <c r="C589" s="90">
        <f>(23.69+1.8*(1.5)+(1.2*1.2)+0.6*1.68+3.16*0.75)*10.764</f>
        <v>335.922912</v>
      </c>
      <c r="D589" s="91">
        <f t="shared" si="75"/>
        <v>403.10749440000001</v>
      </c>
      <c r="E589" s="90">
        <f>(3.5*1.8)*10.764</f>
        <v>67.813199999999995</v>
      </c>
      <c r="F589" s="128">
        <f t="shared" si="76"/>
        <v>571.69756800000005</v>
      </c>
      <c r="K589" s="39"/>
    </row>
    <row r="590" spans="1:14" x14ac:dyDescent="0.3">
      <c r="A590" s="127">
        <v>29</v>
      </c>
      <c r="B590" s="90" t="s">
        <v>331</v>
      </c>
      <c r="C590" s="90">
        <f>(23.69+1.8*(1.5+1.2)+0.6*1.68+3.16*0.75)*10.764</f>
        <v>343.67299199999997</v>
      </c>
      <c r="D590" s="91">
        <f t="shared" si="75"/>
        <v>412.40759039999995</v>
      </c>
      <c r="E590" s="90">
        <f>(5*1.2)*10.764</f>
        <v>64.584000000000003</v>
      </c>
      <c r="F590" s="128">
        <f t="shared" si="76"/>
        <v>580.09348799999998</v>
      </c>
    </row>
    <row r="591" spans="1:14" x14ac:dyDescent="0.3">
      <c r="A591" s="127">
        <v>30</v>
      </c>
      <c r="B591" s="90" t="s">
        <v>331</v>
      </c>
      <c r="C591" s="90">
        <f>(23.69+1.8*(1.5)+(1.2*1.2)+0.6*1.68+3.16*0.75)*10.764</f>
        <v>335.922912</v>
      </c>
      <c r="D591" s="91">
        <f t="shared" si="75"/>
        <v>403.10749440000001</v>
      </c>
      <c r="E591" s="90">
        <f>(3.5*1.8)*10.764</f>
        <v>67.813199999999995</v>
      </c>
      <c r="F591" s="128">
        <f t="shared" si="76"/>
        <v>571.69756800000005</v>
      </c>
    </row>
    <row r="592" spans="1:14" ht="15.6" x14ac:dyDescent="0.3">
      <c r="A592" s="127">
        <v>31</v>
      </c>
      <c r="B592" s="90" t="s">
        <v>331</v>
      </c>
      <c r="C592" s="90">
        <f>(23.69+1.8*(1.5)+0.6*1.68+3.16*0.75)*10.764</f>
        <v>320.422752</v>
      </c>
      <c r="D592" s="91">
        <f t="shared" si="75"/>
        <v>384.50730240000001</v>
      </c>
      <c r="E592" s="90">
        <f t="shared" ref="E592:E595" si="78">(3.5*1.8+5*1.2)*10.764</f>
        <v>132.3972</v>
      </c>
      <c r="F592" s="128">
        <f t="shared" si="76"/>
        <v>546.83272800000009</v>
      </c>
      <c r="K592" s="40"/>
    </row>
    <row r="593" spans="1:14" ht="15.6" x14ac:dyDescent="0.3">
      <c r="A593" s="127">
        <v>32</v>
      </c>
      <c r="B593" s="90" t="s">
        <v>331</v>
      </c>
      <c r="C593" s="90">
        <f>(23.69+1.8*(1.5)+(1.2*1.2)+0.6*1.68+3.16*0.75)*10.764</f>
        <v>335.922912</v>
      </c>
      <c r="D593" s="91">
        <f t="shared" si="75"/>
        <v>403.10749440000001</v>
      </c>
      <c r="E593" s="90">
        <f>(3.5*1.8+3.8*2.7)*10.764</f>
        <v>178.25183999999999</v>
      </c>
      <c r="F593" s="128">
        <f t="shared" si="76"/>
        <v>593.01028799999995</v>
      </c>
      <c r="K593" s="39"/>
    </row>
    <row r="594" spans="1:14" s="39" customFormat="1" ht="15.75" customHeight="1" x14ac:dyDescent="0.3">
      <c r="A594" s="127">
        <v>33</v>
      </c>
      <c r="B594" s="90" t="s">
        <v>331</v>
      </c>
      <c r="C594" s="90">
        <f>(23.69+1.8*(1.5)+0.6*1.68+3.16*0.75)*10.764</f>
        <v>320.422752</v>
      </c>
      <c r="D594" s="91">
        <f>C594*1.2</f>
        <v>384.50730240000001</v>
      </c>
      <c r="E594" s="90">
        <f t="shared" si="78"/>
        <v>132.3972</v>
      </c>
      <c r="F594" s="128">
        <f>C594*(($F$469)+1)+(IF(E594&lt;101,E594,IF(E594&lt;201,E594/2,IF(E594&lt;=301,E594/3,E594/4))))</f>
        <v>546.83272800000009</v>
      </c>
      <c r="G594" s="43"/>
      <c r="H594" s="43"/>
      <c r="K594"/>
    </row>
    <row r="595" spans="1:14" s="39" customFormat="1" ht="15.6" x14ac:dyDescent="0.3">
      <c r="A595" s="127">
        <v>34</v>
      </c>
      <c r="B595" s="90" t="s">
        <v>331</v>
      </c>
      <c r="C595" s="90">
        <f>(23.69+1.8*(1.5)+0.6*1.68+3.16*0.75)*10.764</f>
        <v>320.422752</v>
      </c>
      <c r="D595" s="91">
        <f t="shared" ref="D595:D597" si="79">C595*1.2</f>
        <v>384.50730240000001</v>
      </c>
      <c r="E595" s="90">
        <f t="shared" si="78"/>
        <v>132.3972</v>
      </c>
      <c r="F595" s="128">
        <f t="shared" ref="F595:F597" si="80">C595*(($F$469)+1)+(IF(E595&lt;101,E595,IF(E595&lt;201,E595/2,IF(E595&lt;=301,E595/3,E595/4))))</f>
        <v>546.83272800000009</v>
      </c>
      <c r="G595" s="157"/>
      <c r="H595" s="157"/>
      <c r="I595" s="40"/>
      <c r="J595" s="54"/>
      <c r="K595"/>
      <c r="L595" s="170"/>
      <c r="M595" s="170"/>
      <c r="N595" s="40"/>
    </row>
    <row r="596" spans="1:14" x14ac:dyDescent="0.3">
      <c r="A596" s="127">
        <v>35</v>
      </c>
      <c r="B596" s="90" t="s">
        <v>331</v>
      </c>
      <c r="C596" s="90">
        <f>(23.69+1.8*(1.5)+(1.2*1.2)+0.6*1.68+3.16*0.75)*10.764</f>
        <v>335.922912</v>
      </c>
      <c r="D596" s="91">
        <f t="shared" si="79"/>
        <v>403.10749440000001</v>
      </c>
      <c r="E596" s="90">
        <f>(3.5*1.8)*10.764</f>
        <v>67.813199999999995</v>
      </c>
      <c r="F596" s="128">
        <f t="shared" si="80"/>
        <v>571.69756800000005</v>
      </c>
    </row>
    <row r="597" spans="1:14" x14ac:dyDescent="0.3">
      <c r="A597" s="127">
        <v>36</v>
      </c>
      <c r="B597" s="90" t="s">
        <v>331</v>
      </c>
      <c r="C597" s="90">
        <f>(23.69+1.8*(1.5+1.2)+0.6*1.68+3.16*0.75)*10.764</f>
        <v>343.67299199999997</v>
      </c>
      <c r="D597" s="91">
        <f t="shared" si="79"/>
        <v>412.40759039999995</v>
      </c>
      <c r="E597" s="90">
        <f>(5*1.2)*10.764</f>
        <v>64.584000000000003</v>
      </c>
      <c r="F597" s="128">
        <f t="shared" si="80"/>
        <v>580.09348799999998</v>
      </c>
    </row>
    <row r="598" spans="1:14" s="39" customFormat="1" ht="15.75" customHeight="1" x14ac:dyDescent="0.3">
      <c r="A598" s="151" t="s">
        <v>333</v>
      </c>
      <c r="B598" s="152"/>
      <c r="C598" s="152"/>
      <c r="D598" s="152"/>
      <c r="E598" s="152"/>
      <c r="F598" s="153"/>
      <c r="G598" s="43"/>
      <c r="H598" s="43"/>
      <c r="K598" s="40"/>
    </row>
    <row r="599" spans="1:14" s="39" customFormat="1" ht="15.75" customHeight="1" x14ac:dyDescent="0.3">
      <c r="A599" s="127">
        <v>1</v>
      </c>
      <c r="B599" s="90" t="s">
        <v>331</v>
      </c>
      <c r="C599" s="90">
        <f t="shared" ref="C599:C634" si="81">(23.69+1.8*(1.5+1.2)+0.6*1.68+3.16*0.75+1.2*1.2)*10.764</f>
        <v>359.17315200000002</v>
      </c>
      <c r="D599" s="91">
        <f>C599*1.2</f>
        <v>431.0077824</v>
      </c>
      <c r="E599" s="90">
        <v>0</v>
      </c>
      <c r="F599" s="128">
        <f>C599*(($F$469)+1)+(IF(E599&lt;101,E599,IF(E599&lt;201,E599/2,IF(E599&lt;=301,E599/3,E599/4))))</f>
        <v>538.759728</v>
      </c>
      <c r="G599" s="43"/>
      <c r="H599" s="43"/>
      <c r="K599"/>
    </row>
    <row r="600" spans="1:14" s="39" customFormat="1" ht="15.6" x14ac:dyDescent="0.3">
      <c r="A600" s="127">
        <v>2</v>
      </c>
      <c r="B600" s="90" t="s">
        <v>331</v>
      </c>
      <c r="C600" s="90">
        <f t="shared" si="81"/>
        <v>359.17315200000002</v>
      </c>
      <c r="D600" s="91">
        <f t="shared" ref="D600:D604" si="82">C600*1.2</f>
        <v>431.0077824</v>
      </c>
      <c r="E600" s="90">
        <v>0</v>
      </c>
      <c r="F600" s="128">
        <f t="shared" ref="F600:F604" si="83">C600*(($F$469)+1)+(IF(E600&lt;101,E600,IF(E600&lt;201,E600/2,IF(E600&lt;=301,E600/3,E600/4))))</f>
        <v>538.759728</v>
      </c>
      <c r="G600" s="157"/>
      <c r="H600" s="157"/>
      <c r="I600" s="40"/>
      <c r="J600" s="54"/>
      <c r="K600"/>
      <c r="L600" s="170"/>
      <c r="M600" s="170"/>
      <c r="N600" s="40"/>
    </row>
    <row r="601" spans="1:14" x14ac:dyDescent="0.3">
      <c r="A601" s="127">
        <v>3</v>
      </c>
      <c r="B601" s="90" t="s">
        <v>331</v>
      </c>
      <c r="C601" s="90">
        <f t="shared" si="81"/>
        <v>359.17315200000002</v>
      </c>
      <c r="D601" s="91">
        <f t="shared" si="82"/>
        <v>431.0077824</v>
      </c>
      <c r="E601" s="90">
        <v>0</v>
      </c>
      <c r="F601" s="128">
        <f t="shared" si="83"/>
        <v>538.759728</v>
      </c>
    </row>
    <row r="602" spans="1:14" x14ac:dyDescent="0.3">
      <c r="A602" s="127">
        <v>4</v>
      </c>
      <c r="B602" s="90" t="s">
        <v>331</v>
      </c>
      <c r="C602" s="90">
        <f t="shared" si="81"/>
        <v>359.17315200000002</v>
      </c>
      <c r="D602" s="91">
        <f t="shared" si="82"/>
        <v>431.0077824</v>
      </c>
      <c r="E602" s="90">
        <v>0</v>
      </c>
      <c r="F602" s="128">
        <f t="shared" si="83"/>
        <v>538.759728</v>
      </c>
    </row>
    <row r="603" spans="1:14" ht="15.6" x14ac:dyDescent="0.3">
      <c r="A603" s="127">
        <v>5</v>
      </c>
      <c r="B603" s="90" t="s">
        <v>331</v>
      </c>
      <c r="C603" s="90">
        <f t="shared" si="81"/>
        <v>359.17315200000002</v>
      </c>
      <c r="D603" s="91">
        <f t="shared" si="82"/>
        <v>431.0077824</v>
      </c>
      <c r="E603" s="90">
        <v>0</v>
      </c>
      <c r="F603" s="128">
        <f t="shared" si="83"/>
        <v>538.759728</v>
      </c>
      <c r="K603" s="40"/>
    </row>
    <row r="604" spans="1:14" ht="15.6" x14ac:dyDescent="0.3">
      <c r="A604" s="127">
        <v>6</v>
      </c>
      <c r="B604" s="90" t="s">
        <v>331</v>
      </c>
      <c r="C604" s="90">
        <f t="shared" si="81"/>
        <v>359.17315200000002</v>
      </c>
      <c r="D604" s="91">
        <f t="shared" si="82"/>
        <v>431.0077824</v>
      </c>
      <c r="E604" s="90">
        <v>0</v>
      </c>
      <c r="F604" s="128">
        <f t="shared" si="83"/>
        <v>538.759728</v>
      </c>
      <c r="K604" s="39"/>
    </row>
    <row r="605" spans="1:14" s="39" customFormat="1" ht="15.75" customHeight="1" x14ac:dyDescent="0.3">
      <c r="A605" s="127">
        <v>7</v>
      </c>
      <c r="B605" s="90" t="s">
        <v>331</v>
      </c>
      <c r="C605" s="90">
        <f t="shared" si="81"/>
        <v>359.17315200000002</v>
      </c>
      <c r="D605" s="91">
        <f>C605*1.2</f>
        <v>431.0077824</v>
      </c>
      <c r="E605" s="90">
        <v>0</v>
      </c>
      <c r="F605" s="128">
        <f>C605*(($F$469)+1)+(IF(E605&lt;101,E605,IF(E605&lt;201,E605/2,IF(E605&lt;=301,E605/3,E605/4))))</f>
        <v>538.759728</v>
      </c>
      <c r="G605" s="43"/>
      <c r="H605" s="43"/>
      <c r="K605"/>
    </row>
    <row r="606" spans="1:14" s="39" customFormat="1" ht="15.6" x14ac:dyDescent="0.3">
      <c r="A606" s="127">
        <v>8</v>
      </c>
      <c r="B606" s="90" t="s">
        <v>331</v>
      </c>
      <c r="C606" s="90">
        <f t="shared" si="81"/>
        <v>359.17315200000002</v>
      </c>
      <c r="D606" s="91">
        <f t="shared" ref="D606:D615" si="84">C606*1.2</f>
        <v>431.0077824</v>
      </c>
      <c r="E606" s="90">
        <v>0</v>
      </c>
      <c r="F606" s="128">
        <f t="shared" ref="F606:F615" si="85">C606*(($F$469)+1)+(IF(E606&lt;101,E606,IF(E606&lt;201,E606/2,IF(E606&lt;=301,E606/3,E606/4))))</f>
        <v>538.759728</v>
      </c>
      <c r="G606" s="157"/>
      <c r="H606" s="157"/>
      <c r="I606" s="40"/>
      <c r="J606" s="54"/>
      <c r="K606"/>
      <c r="L606" s="170"/>
      <c r="M606" s="170"/>
      <c r="N606" s="40"/>
    </row>
    <row r="607" spans="1:14" x14ac:dyDescent="0.3">
      <c r="A607" s="127">
        <v>9</v>
      </c>
      <c r="B607" s="90" t="s">
        <v>331</v>
      </c>
      <c r="C607" s="90">
        <f t="shared" si="81"/>
        <v>359.17315200000002</v>
      </c>
      <c r="D607" s="91">
        <f t="shared" si="84"/>
        <v>431.0077824</v>
      </c>
      <c r="E607" s="90">
        <v>0</v>
      </c>
      <c r="F607" s="128">
        <f t="shared" si="85"/>
        <v>538.759728</v>
      </c>
    </row>
    <row r="608" spans="1:14" x14ac:dyDescent="0.3">
      <c r="A608" s="127">
        <v>10</v>
      </c>
      <c r="B608" s="90" t="s">
        <v>331</v>
      </c>
      <c r="C608" s="90">
        <f t="shared" si="81"/>
        <v>359.17315200000002</v>
      </c>
      <c r="D608" s="91">
        <f t="shared" si="84"/>
        <v>431.0077824</v>
      </c>
      <c r="E608" s="90">
        <v>0</v>
      </c>
      <c r="F608" s="128">
        <f t="shared" si="85"/>
        <v>538.759728</v>
      </c>
    </row>
    <row r="609" spans="1:14" ht="15.6" x14ac:dyDescent="0.3">
      <c r="A609" s="127">
        <v>11</v>
      </c>
      <c r="B609" s="90" t="s">
        <v>331</v>
      </c>
      <c r="C609" s="90">
        <f t="shared" si="81"/>
        <v>359.17315200000002</v>
      </c>
      <c r="D609" s="91">
        <f t="shared" si="84"/>
        <v>431.0077824</v>
      </c>
      <c r="E609" s="90">
        <v>0</v>
      </c>
      <c r="F609" s="128">
        <f t="shared" si="85"/>
        <v>538.759728</v>
      </c>
      <c r="K609" s="40"/>
    </row>
    <row r="610" spans="1:14" ht="15.6" x14ac:dyDescent="0.3">
      <c r="A610" s="127">
        <v>12</v>
      </c>
      <c r="B610" s="90" t="s">
        <v>331</v>
      </c>
      <c r="C610" s="90">
        <f t="shared" si="81"/>
        <v>359.17315200000002</v>
      </c>
      <c r="D610" s="91">
        <f t="shared" si="84"/>
        <v>431.0077824</v>
      </c>
      <c r="E610" s="90">
        <v>0</v>
      </c>
      <c r="F610" s="128">
        <f t="shared" si="85"/>
        <v>538.759728</v>
      </c>
      <c r="K610" s="39"/>
    </row>
    <row r="611" spans="1:14" s="39" customFormat="1" ht="15.6" x14ac:dyDescent="0.3">
      <c r="A611" s="127">
        <v>13</v>
      </c>
      <c r="B611" s="90" t="s">
        <v>331</v>
      </c>
      <c r="C611" s="90">
        <f t="shared" si="81"/>
        <v>359.17315200000002</v>
      </c>
      <c r="D611" s="91">
        <f t="shared" si="84"/>
        <v>431.0077824</v>
      </c>
      <c r="E611" s="90">
        <v>0</v>
      </c>
      <c r="F611" s="128">
        <f t="shared" si="85"/>
        <v>538.759728</v>
      </c>
      <c r="G611" s="157"/>
      <c r="H611" s="157"/>
      <c r="I611" s="40"/>
      <c r="J611" s="54"/>
      <c r="K611"/>
      <c r="L611" s="170"/>
      <c r="M611" s="170"/>
      <c r="N611" s="40"/>
    </row>
    <row r="612" spans="1:14" x14ac:dyDescent="0.3">
      <c r="A612" s="127">
        <v>14</v>
      </c>
      <c r="B612" s="90" t="s">
        <v>331</v>
      </c>
      <c r="C612" s="90">
        <f t="shared" si="81"/>
        <v>359.17315200000002</v>
      </c>
      <c r="D612" s="91">
        <f t="shared" si="84"/>
        <v>431.0077824</v>
      </c>
      <c r="E612" s="90">
        <v>0</v>
      </c>
      <c r="F612" s="128">
        <f t="shared" si="85"/>
        <v>538.759728</v>
      </c>
    </row>
    <row r="613" spans="1:14" x14ac:dyDescent="0.3">
      <c r="A613" s="127">
        <v>15</v>
      </c>
      <c r="B613" s="90" t="s">
        <v>331</v>
      </c>
      <c r="C613" s="90">
        <f t="shared" si="81"/>
        <v>359.17315200000002</v>
      </c>
      <c r="D613" s="91">
        <f t="shared" si="84"/>
        <v>431.0077824</v>
      </c>
      <c r="E613" s="90">
        <v>0</v>
      </c>
      <c r="F613" s="128">
        <f t="shared" si="85"/>
        <v>538.759728</v>
      </c>
    </row>
    <row r="614" spans="1:14" ht="15.6" x14ac:dyDescent="0.3">
      <c r="A614" s="127">
        <v>16</v>
      </c>
      <c r="B614" s="90" t="s">
        <v>331</v>
      </c>
      <c r="C614" s="90">
        <f t="shared" si="81"/>
        <v>359.17315200000002</v>
      </c>
      <c r="D614" s="91">
        <f t="shared" si="84"/>
        <v>431.0077824</v>
      </c>
      <c r="E614" s="90">
        <v>0</v>
      </c>
      <c r="F614" s="128">
        <f t="shared" si="85"/>
        <v>538.759728</v>
      </c>
      <c r="K614" s="40"/>
    </row>
    <row r="615" spans="1:14" ht="15.6" x14ac:dyDescent="0.3">
      <c r="A615" s="127">
        <v>17</v>
      </c>
      <c r="B615" s="90" t="s">
        <v>331</v>
      </c>
      <c r="C615" s="90">
        <f t="shared" si="81"/>
        <v>359.17315200000002</v>
      </c>
      <c r="D615" s="91">
        <f t="shared" si="84"/>
        <v>431.0077824</v>
      </c>
      <c r="E615" s="90">
        <v>0</v>
      </c>
      <c r="F615" s="128">
        <f t="shared" si="85"/>
        <v>538.759728</v>
      </c>
      <c r="K615" s="39"/>
    </row>
    <row r="616" spans="1:14" s="39" customFormat="1" ht="15.75" customHeight="1" x14ac:dyDescent="0.3">
      <c r="A616" s="127">
        <v>18</v>
      </c>
      <c r="B616" s="90" t="s">
        <v>331</v>
      </c>
      <c r="C616" s="90">
        <f t="shared" si="81"/>
        <v>359.17315200000002</v>
      </c>
      <c r="D616" s="91">
        <f>C616*1.2</f>
        <v>431.0077824</v>
      </c>
      <c r="E616" s="90">
        <v>0</v>
      </c>
      <c r="F616" s="128">
        <f>C616*(($F$469)+1)+(IF(E616&lt;101,E616,IF(E616&lt;201,E616/2,IF(E616&lt;=301,E616/3,E616/4))))</f>
        <v>538.759728</v>
      </c>
      <c r="G616" s="43"/>
      <c r="H616" s="43"/>
      <c r="K616"/>
    </row>
    <row r="617" spans="1:14" s="39" customFormat="1" ht="15.6" x14ac:dyDescent="0.3">
      <c r="A617" s="127">
        <v>19</v>
      </c>
      <c r="B617" s="90" t="s">
        <v>331</v>
      </c>
      <c r="C617" s="90">
        <f t="shared" si="81"/>
        <v>359.17315200000002</v>
      </c>
      <c r="D617" s="91">
        <f t="shared" ref="D617:D630" si="86">C617*1.2</f>
        <v>431.0077824</v>
      </c>
      <c r="E617" s="90">
        <v>0</v>
      </c>
      <c r="F617" s="128">
        <f t="shared" ref="F617:F630" si="87">C617*(($F$469)+1)+(IF(E617&lt;101,E617,IF(E617&lt;201,E617/2,IF(E617&lt;=301,E617/3,E617/4))))</f>
        <v>538.759728</v>
      </c>
      <c r="G617" s="157"/>
      <c r="H617" s="157"/>
      <c r="I617" s="40"/>
      <c r="J617" s="54"/>
      <c r="K617"/>
      <c r="L617" s="170"/>
      <c r="M617" s="170"/>
      <c r="N617" s="40"/>
    </row>
    <row r="618" spans="1:14" x14ac:dyDescent="0.3">
      <c r="A618" s="127">
        <v>20</v>
      </c>
      <c r="B618" s="90" t="s">
        <v>331</v>
      </c>
      <c r="C618" s="90">
        <f t="shared" si="81"/>
        <v>359.17315200000002</v>
      </c>
      <c r="D618" s="91">
        <f t="shared" si="86"/>
        <v>431.0077824</v>
      </c>
      <c r="E618" s="90">
        <v>0</v>
      </c>
      <c r="F618" s="128">
        <f t="shared" si="87"/>
        <v>538.759728</v>
      </c>
    </row>
    <row r="619" spans="1:14" x14ac:dyDescent="0.3">
      <c r="A619" s="127">
        <v>21</v>
      </c>
      <c r="B619" s="90" t="s">
        <v>331</v>
      </c>
      <c r="C619" s="90">
        <f t="shared" si="81"/>
        <v>359.17315200000002</v>
      </c>
      <c r="D619" s="91">
        <f t="shared" si="86"/>
        <v>431.0077824</v>
      </c>
      <c r="E619" s="90">
        <v>0</v>
      </c>
      <c r="F619" s="128">
        <f t="shared" si="87"/>
        <v>538.759728</v>
      </c>
    </row>
    <row r="620" spans="1:14" ht="15.6" x14ac:dyDescent="0.3">
      <c r="A620" s="127">
        <v>22</v>
      </c>
      <c r="B620" s="90" t="s">
        <v>331</v>
      </c>
      <c r="C620" s="90">
        <f t="shared" si="81"/>
        <v>359.17315200000002</v>
      </c>
      <c r="D620" s="91">
        <f t="shared" si="86"/>
        <v>431.0077824</v>
      </c>
      <c r="E620" s="90">
        <v>0</v>
      </c>
      <c r="F620" s="128">
        <f t="shared" si="87"/>
        <v>538.759728</v>
      </c>
      <c r="K620" s="40"/>
    </row>
    <row r="621" spans="1:14" ht="15.6" x14ac:dyDescent="0.3">
      <c r="A621" s="127">
        <v>23</v>
      </c>
      <c r="B621" s="90" t="s">
        <v>331</v>
      </c>
      <c r="C621" s="90">
        <f t="shared" si="81"/>
        <v>359.17315200000002</v>
      </c>
      <c r="D621" s="91">
        <f t="shared" si="86"/>
        <v>431.0077824</v>
      </c>
      <c r="E621" s="90">
        <v>0</v>
      </c>
      <c r="F621" s="128">
        <f t="shared" si="87"/>
        <v>538.759728</v>
      </c>
      <c r="K621" s="39"/>
    </row>
    <row r="622" spans="1:14" x14ac:dyDescent="0.3">
      <c r="A622" s="127">
        <v>24</v>
      </c>
      <c r="B622" s="90" t="s">
        <v>331</v>
      </c>
      <c r="C622" s="90">
        <f t="shared" si="81"/>
        <v>359.17315200000002</v>
      </c>
      <c r="D622" s="91">
        <f t="shared" si="86"/>
        <v>431.0077824</v>
      </c>
      <c r="E622" s="90">
        <v>0</v>
      </c>
      <c r="F622" s="128">
        <f t="shared" si="87"/>
        <v>538.759728</v>
      </c>
    </row>
    <row r="623" spans="1:14" x14ac:dyDescent="0.3">
      <c r="A623" s="127">
        <v>25</v>
      </c>
      <c r="B623" s="90" t="s">
        <v>331</v>
      </c>
      <c r="C623" s="90">
        <f t="shared" si="81"/>
        <v>359.17315200000002</v>
      </c>
      <c r="D623" s="91">
        <f t="shared" si="86"/>
        <v>431.0077824</v>
      </c>
      <c r="E623" s="90">
        <v>0</v>
      </c>
      <c r="F623" s="128">
        <f t="shared" si="87"/>
        <v>538.759728</v>
      </c>
    </row>
    <row r="624" spans="1:14" ht="15.6" x14ac:dyDescent="0.3">
      <c r="A624" s="127">
        <v>26</v>
      </c>
      <c r="B624" s="90" t="s">
        <v>331</v>
      </c>
      <c r="C624" s="90">
        <f t="shared" si="81"/>
        <v>359.17315200000002</v>
      </c>
      <c r="D624" s="91">
        <f t="shared" si="86"/>
        <v>431.0077824</v>
      </c>
      <c r="E624" s="90">
        <v>0</v>
      </c>
      <c r="F624" s="128">
        <f t="shared" si="87"/>
        <v>538.759728</v>
      </c>
      <c r="K624" s="40"/>
    </row>
    <row r="625" spans="1:14" ht="15.6" x14ac:dyDescent="0.3">
      <c r="A625" s="127">
        <v>27</v>
      </c>
      <c r="B625" s="90" t="s">
        <v>331</v>
      </c>
      <c r="C625" s="90">
        <f t="shared" si="81"/>
        <v>359.17315200000002</v>
      </c>
      <c r="D625" s="91">
        <f t="shared" si="86"/>
        <v>431.0077824</v>
      </c>
      <c r="E625" s="90">
        <v>0</v>
      </c>
      <c r="F625" s="128">
        <f t="shared" si="87"/>
        <v>538.759728</v>
      </c>
      <c r="K625" s="39"/>
    </row>
    <row r="626" spans="1:14" ht="15.6" x14ac:dyDescent="0.3">
      <c r="A626" s="127">
        <v>28</v>
      </c>
      <c r="B626" s="90" t="s">
        <v>331</v>
      </c>
      <c r="C626" s="90">
        <f t="shared" si="81"/>
        <v>359.17315200000002</v>
      </c>
      <c r="D626" s="91">
        <f t="shared" si="86"/>
        <v>431.0077824</v>
      </c>
      <c r="E626" s="90">
        <v>0</v>
      </c>
      <c r="F626" s="128">
        <f t="shared" si="87"/>
        <v>538.759728</v>
      </c>
      <c r="K626" s="39"/>
    </row>
    <row r="627" spans="1:14" x14ac:dyDescent="0.3">
      <c r="A627" s="127">
        <v>29</v>
      </c>
      <c r="B627" s="90" t="s">
        <v>331</v>
      </c>
      <c r="C627" s="90">
        <f t="shared" si="81"/>
        <v>359.17315200000002</v>
      </c>
      <c r="D627" s="91">
        <f t="shared" si="86"/>
        <v>431.0077824</v>
      </c>
      <c r="E627" s="90">
        <v>0</v>
      </c>
      <c r="F627" s="128">
        <f t="shared" si="87"/>
        <v>538.759728</v>
      </c>
    </row>
    <row r="628" spans="1:14" x14ac:dyDescent="0.3">
      <c r="A628" s="127">
        <v>30</v>
      </c>
      <c r="B628" s="90" t="s">
        <v>331</v>
      </c>
      <c r="C628" s="90">
        <f t="shared" si="81"/>
        <v>359.17315200000002</v>
      </c>
      <c r="D628" s="91">
        <f t="shared" si="86"/>
        <v>431.0077824</v>
      </c>
      <c r="E628" s="90">
        <v>0</v>
      </c>
      <c r="F628" s="128">
        <f t="shared" si="87"/>
        <v>538.759728</v>
      </c>
    </row>
    <row r="629" spans="1:14" ht="15.6" x14ac:dyDescent="0.3">
      <c r="A629" s="127">
        <v>31</v>
      </c>
      <c r="B629" s="90" t="s">
        <v>331</v>
      </c>
      <c r="C629" s="90">
        <f t="shared" si="81"/>
        <v>359.17315200000002</v>
      </c>
      <c r="D629" s="91">
        <f t="shared" si="86"/>
        <v>431.0077824</v>
      </c>
      <c r="E629" s="90">
        <v>0</v>
      </c>
      <c r="F629" s="128">
        <f t="shared" si="87"/>
        <v>538.759728</v>
      </c>
      <c r="K629" s="40"/>
    </row>
    <row r="630" spans="1:14" ht="15.6" x14ac:dyDescent="0.3">
      <c r="A630" s="127">
        <v>32</v>
      </c>
      <c r="B630" s="90" t="s">
        <v>331</v>
      </c>
      <c r="C630" s="90">
        <f t="shared" si="81"/>
        <v>359.17315200000002</v>
      </c>
      <c r="D630" s="91">
        <f t="shared" si="86"/>
        <v>431.0077824</v>
      </c>
      <c r="E630" s="90">
        <v>0</v>
      </c>
      <c r="F630" s="128">
        <f t="shared" si="87"/>
        <v>538.759728</v>
      </c>
      <c r="K630" s="39"/>
    </row>
    <row r="631" spans="1:14" s="39" customFormat="1" ht="15.75" customHeight="1" x14ac:dyDescent="0.3">
      <c r="A631" s="127">
        <v>33</v>
      </c>
      <c r="B631" s="90" t="s">
        <v>331</v>
      </c>
      <c r="C631" s="90">
        <f t="shared" si="81"/>
        <v>359.17315200000002</v>
      </c>
      <c r="D631" s="91">
        <f>C631*1.2</f>
        <v>431.0077824</v>
      </c>
      <c r="E631" s="90">
        <v>0</v>
      </c>
      <c r="F631" s="128">
        <f>C631*(($F$469)+1)+(IF(E631&lt;101,E631,IF(E631&lt;201,E631/2,IF(E631&lt;=301,E631/3,E631/4))))</f>
        <v>538.759728</v>
      </c>
      <c r="G631" s="43"/>
      <c r="H631" s="43"/>
      <c r="K631"/>
    </row>
    <row r="632" spans="1:14" s="39" customFormat="1" ht="15.6" x14ac:dyDescent="0.3">
      <c r="A632" s="127">
        <v>34</v>
      </c>
      <c r="B632" s="90" t="s">
        <v>331</v>
      </c>
      <c r="C632" s="90">
        <f t="shared" si="81"/>
        <v>359.17315200000002</v>
      </c>
      <c r="D632" s="91">
        <f t="shared" ref="D632:D634" si="88">C632*1.2</f>
        <v>431.0077824</v>
      </c>
      <c r="E632" s="90">
        <v>0</v>
      </c>
      <c r="F632" s="128">
        <f t="shared" ref="F632:F634" si="89">C632*(($F$469)+1)+(IF(E632&lt;101,E632,IF(E632&lt;201,E632/2,IF(E632&lt;=301,E632/3,E632/4))))</f>
        <v>538.759728</v>
      </c>
      <c r="G632" s="157"/>
      <c r="H632" s="157"/>
      <c r="I632" s="40"/>
      <c r="J632" s="54"/>
      <c r="K632"/>
      <c r="L632" s="170"/>
      <c r="M632" s="170"/>
      <c r="N632" s="40"/>
    </row>
    <row r="633" spans="1:14" x14ac:dyDescent="0.3">
      <c r="A633" s="127">
        <v>35</v>
      </c>
      <c r="B633" s="90" t="s">
        <v>331</v>
      </c>
      <c r="C633" s="90">
        <f t="shared" si="81"/>
        <v>359.17315200000002</v>
      </c>
      <c r="D633" s="91">
        <f t="shared" si="88"/>
        <v>431.0077824</v>
      </c>
      <c r="E633" s="90">
        <v>0</v>
      </c>
      <c r="F633" s="128">
        <f t="shared" si="89"/>
        <v>538.759728</v>
      </c>
    </row>
    <row r="634" spans="1:14" x14ac:dyDescent="0.3">
      <c r="A634" s="127">
        <v>36</v>
      </c>
      <c r="B634" s="90" t="s">
        <v>331</v>
      </c>
      <c r="C634" s="90">
        <f t="shared" si="81"/>
        <v>359.17315200000002</v>
      </c>
      <c r="D634" s="91">
        <f t="shared" si="88"/>
        <v>431.0077824</v>
      </c>
      <c r="E634" s="90">
        <v>0</v>
      </c>
      <c r="F634" s="128">
        <f t="shared" si="89"/>
        <v>538.759728</v>
      </c>
    </row>
    <row r="635" spans="1:14" s="39" customFormat="1" ht="15.75" customHeight="1" x14ac:dyDescent="0.3">
      <c r="A635" s="151" t="s">
        <v>334</v>
      </c>
      <c r="B635" s="152"/>
      <c r="C635" s="152"/>
      <c r="D635" s="152"/>
      <c r="E635" s="152"/>
      <c r="F635" s="153"/>
      <c r="G635" s="43"/>
      <c r="H635" s="43"/>
      <c r="K635" s="40"/>
    </row>
    <row r="636" spans="1:14" s="39" customFormat="1" ht="15.75" customHeight="1" x14ac:dyDescent="0.3">
      <c r="A636" s="127">
        <v>1</v>
      </c>
      <c r="B636" s="90" t="s">
        <v>331</v>
      </c>
      <c r="C636" s="90">
        <f>(23.69+1.8*(1.5+1.2)+0.6*1.68+3.16*0.75+1.2*1.2)*10.764</f>
        <v>359.17315200000002</v>
      </c>
      <c r="D636" s="91">
        <f>C636*1.2</f>
        <v>431.0077824</v>
      </c>
      <c r="E636" s="90">
        <v>0</v>
      </c>
      <c r="F636" s="128">
        <f>C636*(($F$469)+1)+(IF(E636&lt;101,E636,IF(E636&lt;201,E636/2,IF(E636&lt;=301,E636/3,E636/4))))</f>
        <v>538.759728</v>
      </c>
      <c r="G636" s="43"/>
      <c r="H636" s="43"/>
      <c r="K636"/>
    </row>
    <row r="637" spans="1:14" s="39" customFormat="1" ht="15.6" x14ac:dyDescent="0.3">
      <c r="A637" s="127">
        <v>2</v>
      </c>
      <c r="B637" s="90" t="s">
        <v>331</v>
      </c>
      <c r="C637" s="90">
        <f>(23.69+1.8*(1.5+1.2)+0.6*1.68+3.16*0.75+1.2*1.2)*10.764</f>
        <v>359.17315200000002</v>
      </c>
      <c r="D637" s="91">
        <f t="shared" ref="D637:D639" si="90">C637*1.2</f>
        <v>431.0077824</v>
      </c>
      <c r="E637" s="90">
        <v>0</v>
      </c>
      <c r="F637" s="128">
        <f t="shared" ref="F637:F641" si="91">C637*(($F$469)+1)+(IF(E637&lt;101,E637,IF(E637&lt;201,E637/2,IF(E637&lt;=301,E637/3,E637/4))))</f>
        <v>538.759728</v>
      </c>
      <c r="G637" s="157"/>
      <c r="H637" s="157"/>
      <c r="I637" s="40"/>
      <c r="J637" s="54"/>
      <c r="K637"/>
      <c r="L637" s="170"/>
      <c r="M637" s="170"/>
      <c r="N637" s="40"/>
    </row>
    <row r="638" spans="1:14" x14ac:dyDescent="0.3">
      <c r="A638" s="127">
        <v>3</v>
      </c>
      <c r="B638" s="90" t="s">
        <v>331</v>
      </c>
      <c r="C638" s="90">
        <f>(23.69+1.8*(1.5+1.2)+0.6*1.68+3.16*0.75+1.2*1.2)*10.764</f>
        <v>359.17315200000002</v>
      </c>
      <c r="D638" s="91">
        <f t="shared" si="90"/>
        <v>431.0077824</v>
      </c>
      <c r="E638" s="90">
        <v>0</v>
      </c>
      <c r="F638" s="128">
        <f t="shared" si="91"/>
        <v>538.759728</v>
      </c>
    </row>
    <row r="639" spans="1:14" x14ac:dyDescent="0.3">
      <c r="A639" s="127">
        <v>4</v>
      </c>
      <c r="B639" s="90" t="s">
        <v>331</v>
      </c>
      <c r="C639" s="90">
        <f>(23.69+1.8*(1.5+1.2)+0.6*1.68+3.16*0.75+1.2*1.2)*10.764</f>
        <v>359.17315200000002</v>
      </c>
      <c r="D639" s="91">
        <f t="shared" si="90"/>
        <v>431.0077824</v>
      </c>
      <c r="E639" s="90">
        <v>0</v>
      </c>
      <c r="F639" s="128">
        <f t="shared" si="91"/>
        <v>538.759728</v>
      </c>
    </row>
    <row r="640" spans="1:14" ht="15.6" x14ac:dyDescent="0.3">
      <c r="A640" s="127">
        <v>5</v>
      </c>
      <c r="B640" s="159" t="s">
        <v>335</v>
      </c>
      <c r="C640" s="160"/>
      <c r="D640" s="160"/>
      <c r="E640" s="161"/>
      <c r="F640" s="128">
        <f t="shared" si="91"/>
        <v>0</v>
      </c>
      <c r="K640" s="40"/>
    </row>
    <row r="641" spans="1:14" ht="15.6" x14ac:dyDescent="0.3">
      <c r="A641" s="127">
        <v>6</v>
      </c>
      <c r="B641" s="165"/>
      <c r="C641" s="166"/>
      <c r="D641" s="166"/>
      <c r="E641" s="167"/>
      <c r="F641" s="128">
        <f t="shared" si="91"/>
        <v>0</v>
      </c>
      <c r="K641" s="39"/>
    </row>
    <row r="642" spans="1:14" s="39" customFormat="1" ht="15.75" customHeight="1" x14ac:dyDescent="0.3">
      <c r="A642" s="127">
        <v>7</v>
      </c>
      <c r="B642" s="90" t="s">
        <v>331</v>
      </c>
      <c r="C642" s="90">
        <f t="shared" ref="C642:C656" si="92">(23.69+1.8*(1.5+1.2)+0.6*1.68+3.16*0.75+1.2*1.2)*10.764</f>
        <v>359.17315200000002</v>
      </c>
      <c r="D642" s="91">
        <f>C642*1.2</f>
        <v>431.0077824</v>
      </c>
      <c r="E642" s="90">
        <v>0</v>
      </c>
      <c r="F642" s="128">
        <f>C642*(($F$469)+1)+(IF(E642&lt;101,E642,IF(E642&lt;201,E642/2,IF(E642&lt;=301,E642/3,E642/4))))</f>
        <v>538.759728</v>
      </c>
      <c r="G642" s="43"/>
      <c r="H642" s="43"/>
      <c r="K642"/>
    </row>
    <row r="643" spans="1:14" s="39" customFormat="1" ht="15.6" x14ac:dyDescent="0.3">
      <c r="A643" s="127">
        <v>8</v>
      </c>
      <c r="B643" s="90" t="s">
        <v>331</v>
      </c>
      <c r="C643" s="90">
        <f t="shared" si="92"/>
        <v>359.17315200000002</v>
      </c>
      <c r="D643" s="91">
        <f t="shared" ref="D643:D652" si="93">C643*1.2</f>
        <v>431.0077824</v>
      </c>
      <c r="E643" s="90">
        <v>0</v>
      </c>
      <c r="F643" s="128">
        <f t="shared" ref="F643:F652" si="94">C643*(($F$469)+1)+(IF(E643&lt;101,E643,IF(E643&lt;201,E643/2,IF(E643&lt;=301,E643/3,E643/4))))</f>
        <v>538.759728</v>
      </c>
      <c r="G643" s="157"/>
      <c r="H643" s="157"/>
      <c r="I643" s="40"/>
      <c r="J643" s="54"/>
      <c r="K643"/>
      <c r="L643" s="170"/>
      <c r="M643" s="170"/>
      <c r="N643" s="40"/>
    </row>
    <row r="644" spans="1:14" x14ac:dyDescent="0.3">
      <c r="A644" s="127">
        <v>9</v>
      </c>
      <c r="B644" s="90" t="s">
        <v>331</v>
      </c>
      <c r="C644" s="90">
        <f t="shared" si="92"/>
        <v>359.17315200000002</v>
      </c>
      <c r="D644" s="91">
        <f t="shared" si="93"/>
        <v>431.0077824</v>
      </c>
      <c r="E644" s="90">
        <v>0</v>
      </c>
      <c r="F644" s="128">
        <f t="shared" si="94"/>
        <v>538.759728</v>
      </c>
    </row>
    <row r="645" spans="1:14" x14ac:dyDescent="0.3">
      <c r="A645" s="127">
        <v>10</v>
      </c>
      <c r="B645" s="90" t="s">
        <v>331</v>
      </c>
      <c r="C645" s="90">
        <f t="shared" si="92"/>
        <v>359.17315200000002</v>
      </c>
      <c r="D645" s="91">
        <f t="shared" si="93"/>
        <v>431.0077824</v>
      </c>
      <c r="E645" s="90">
        <v>0</v>
      </c>
      <c r="F645" s="128">
        <f t="shared" si="94"/>
        <v>538.759728</v>
      </c>
    </row>
    <row r="646" spans="1:14" ht="15.6" x14ac:dyDescent="0.3">
      <c r="A646" s="127">
        <v>11</v>
      </c>
      <c r="B646" s="90" t="s">
        <v>331</v>
      </c>
      <c r="C646" s="90">
        <f t="shared" si="92"/>
        <v>359.17315200000002</v>
      </c>
      <c r="D646" s="91">
        <f t="shared" si="93"/>
        <v>431.0077824</v>
      </c>
      <c r="E646" s="90">
        <v>0</v>
      </c>
      <c r="F646" s="128">
        <f t="shared" si="94"/>
        <v>538.759728</v>
      </c>
      <c r="K646" s="40"/>
    </row>
    <row r="647" spans="1:14" ht="15.6" x14ac:dyDescent="0.3">
      <c r="A647" s="127">
        <v>12</v>
      </c>
      <c r="B647" s="90" t="s">
        <v>331</v>
      </c>
      <c r="C647" s="90">
        <f t="shared" si="92"/>
        <v>359.17315200000002</v>
      </c>
      <c r="D647" s="91">
        <f t="shared" si="93"/>
        <v>431.0077824</v>
      </c>
      <c r="E647" s="90">
        <v>0</v>
      </c>
      <c r="F647" s="128">
        <f t="shared" si="94"/>
        <v>538.759728</v>
      </c>
      <c r="K647" s="39"/>
    </row>
    <row r="648" spans="1:14" s="39" customFormat="1" ht="15.6" x14ac:dyDescent="0.3">
      <c r="A648" s="127">
        <v>13</v>
      </c>
      <c r="B648" s="90" t="s">
        <v>331</v>
      </c>
      <c r="C648" s="90">
        <f t="shared" si="92"/>
        <v>359.17315200000002</v>
      </c>
      <c r="D648" s="91">
        <f t="shared" si="93"/>
        <v>431.0077824</v>
      </c>
      <c r="E648" s="90">
        <v>0</v>
      </c>
      <c r="F648" s="128">
        <f t="shared" si="94"/>
        <v>538.759728</v>
      </c>
      <c r="G648" s="157"/>
      <c r="H648" s="157"/>
      <c r="I648" s="40"/>
      <c r="J648" s="54"/>
      <c r="K648"/>
      <c r="L648" s="170"/>
      <c r="M648" s="170"/>
      <c r="N648" s="40"/>
    </row>
    <row r="649" spans="1:14" x14ac:dyDescent="0.3">
      <c r="A649" s="127">
        <v>14</v>
      </c>
      <c r="B649" s="90" t="s">
        <v>331</v>
      </c>
      <c r="C649" s="90">
        <f t="shared" si="92"/>
        <v>359.17315200000002</v>
      </c>
      <c r="D649" s="91">
        <f t="shared" si="93"/>
        <v>431.0077824</v>
      </c>
      <c r="E649" s="90">
        <v>0</v>
      </c>
      <c r="F649" s="128">
        <f t="shared" si="94"/>
        <v>538.759728</v>
      </c>
    </row>
    <row r="650" spans="1:14" x14ac:dyDescent="0.3">
      <c r="A650" s="127">
        <v>15</v>
      </c>
      <c r="B650" s="90" t="s">
        <v>331</v>
      </c>
      <c r="C650" s="90">
        <f t="shared" si="92"/>
        <v>359.17315200000002</v>
      </c>
      <c r="D650" s="91">
        <f t="shared" si="93"/>
        <v>431.0077824</v>
      </c>
      <c r="E650" s="90">
        <v>0</v>
      </c>
      <c r="F650" s="128">
        <f t="shared" si="94"/>
        <v>538.759728</v>
      </c>
    </row>
    <row r="651" spans="1:14" ht="15.6" x14ac:dyDescent="0.3">
      <c r="A651" s="127">
        <v>16</v>
      </c>
      <c r="B651" s="90" t="s">
        <v>331</v>
      </c>
      <c r="C651" s="90">
        <f t="shared" si="92"/>
        <v>359.17315200000002</v>
      </c>
      <c r="D651" s="91">
        <f t="shared" si="93"/>
        <v>431.0077824</v>
      </c>
      <c r="E651" s="90">
        <v>0</v>
      </c>
      <c r="F651" s="128">
        <f t="shared" si="94"/>
        <v>538.759728</v>
      </c>
      <c r="K651" s="40"/>
    </row>
    <row r="652" spans="1:14" ht="15.6" x14ac:dyDescent="0.3">
      <c r="A652" s="127">
        <v>17</v>
      </c>
      <c r="B652" s="90" t="s">
        <v>331</v>
      </c>
      <c r="C652" s="90">
        <f t="shared" si="92"/>
        <v>359.17315200000002</v>
      </c>
      <c r="D652" s="91">
        <f t="shared" si="93"/>
        <v>431.0077824</v>
      </c>
      <c r="E652" s="90">
        <v>0</v>
      </c>
      <c r="F652" s="128">
        <f t="shared" si="94"/>
        <v>538.759728</v>
      </c>
      <c r="K652" s="39"/>
    </row>
    <row r="653" spans="1:14" s="39" customFormat="1" ht="15.75" customHeight="1" x14ac:dyDescent="0.3">
      <c r="A653" s="127">
        <v>18</v>
      </c>
      <c r="B653" s="90" t="s">
        <v>331</v>
      </c>
      <c r="C653" s="90">
        <f t="shared" si="92"/>
        <v>359.17315200000002</v>
      </c>
      <c r="D653" s="91">
        <f>C653*1.2</f>
        <v>431.0077824</v>
      </c>
      <c r="E653" s="90">
        <v>0</v>
      </c>
      <c r="F653" s="128">
        <f>C653*(($F$469)+1)+(IF(E653&lt;101,E653,IF(E653&lt;201,E653/2,IF(E653&lt;=301,E653/3,E653/4))))</f>
        <v>538.759728</v>
      </c>
      <c r="G653" s="43"/>
      <c r="H653" s="43"/>
      <c r="K653"/>
    </row>
    <row r="654" spans="1:14" s="39" customFormat="1" ht="15.6" x14ac:dyDescent="0.3">
      <c r="A654" s="127">
        <v>19</v>
      </c>
      <c r="B654" s="90" t="s">
        <v>331</v>
      </c>
      <c r="C654" s="90">
        <f t="shared" si="92"/>
        <v>359.17315200000002</v>
      </c>
      <c r="D654" s="91">
        <f t="shared" ref="D654:D667" si="95">C654*1.2</f>
        <v>431.0077824</v>
      </c>
      <c r="E654" s="90">
        <v>0</v>
      </c>
      <c r="F654" s="128">
        <f t="shared" ref="F654:F667" si="96">C654*(($F$469)+1)+(IF(E654&lt;101,E654,IF(E654&lt;201,E654/2,IF(E654&lt;=301,E654/3,E654/4))))</f>
        <v>538.759728</v>
      </c>
      <c r="G654" s="157"/>
      <c r="H654" s="157"/>
      <c r="I654" s="40"/>
      <c r="J654" s="54"/>
      <c r="K654"/>
      <c r="L654" s="170"/>
      <c r="M654" s="170"/>
      <c r="N654" s="40"/>
    </row>
    <row r="655" spans="1:14" x14ac:dyDescent="0.3">
      <c r="A655" s="127">
        <v>20</v>
      </c>
      <c r="B655" s="90" t="s">
        <v>331</v>
      </c>
      <c r="C655" s="90">
        <f t="shared" si="92"/>
        <v>359.17315200000002</v>
      </c>
      <c r="D655" s="91">
        <f t="shared" si="95"/>
        <v>431.0077824</v>
      </c>
      <c r="E655" s="90">
        <v>0</v>
      </c>
      <c r="F655" s="128">
        <f t="shared" si="96"/>
        <v>538.759728</v>
      </c>
    </row>
    <row r="656" spans="1:14" x14ac:dyDescent="0.3">
      <c r="A656" s="127">
        <v>21</v>
      </c>
      <c r="B656" s="90" t="s">
        <v>331</v>
      </c>
      <c r="C656" s="90">
        <f t="shared" si="92"/>
        <v>359.17315200000002</v>
      </c>
      <c r="D656" s="91">
        <f t="shared" si="95"/>
        <v>431.0077824</v>
      </c>
      <c r="E656" s="90">
        <v>0</v>
      </c>
      <c r="F656" s="128">
        <f t="shared" si="96"/>
        <v>538.759728</v>
      </c>
    </row>
    <row r="657" spans="1:14" ht="15.6" x14ac:dyDescent="0.3">
      <c r="A657" s="127">
        <v>22</v>
      </c>
      <c r="B657" s="171" t="s">
        <v>335</v>
      </c>
      <c r="C657" s="172"/>
      <c r="D657" s="172"/>
      <c r="E657" s="173"/>
      <c r="F657" s="128">
        <f t="shared" si="96"/>
        <v>0</v>
      </c>
      <c r="K657" s="40"/>
    </row>
    <row r="658" spans="1:14" ht="15.6" x14ac:dyDescent="0.3">
      <c r="A658" s="127">
        <v>23</v>
      </c>
      <c r="B658" s="90" t="s">
        <v>331</v>
      </c>
      <c r="C658" s="90">
        <f t="shared" ref="C658:C664" si="97">(23.69+1.8*(1.5+1.2)+0.6*1.68+3.16*0.75+1.2*1.2)*10.764</f>
        <v>359.17315200000002</v>
      </c>
      <c r="D658" s="91">
        <f t="shared" si="95"/>
        <v>431.0077824</v>
      </c>
      <c r="E658" s="90">
        <v>0</v>
      </c>
      <c r="F658" s="128">
        <f t="shared" si="96"/>
        <v>538.759728</v>
      </c>
      <c r="K658" s="39"/>
    </row>
    <row r="659" spans="1:14" x14ac:dyDescent="0.3">
      <c r="A659" s="127">
        <v>24</v>
      </c>
      <c r="B659" s="90" t="s">
        <v>331</v>
      </c>
      <c r="C659" s="90">
        <f t="shared" si="97"/>
        <v>359.17315200000002</v>
      </c>
      <c r="D659" s="91">
        <f t="shared" si="95"/>
        <v>431.0077824</v>
      </c>
      <c r="E659" s="90">
        <v>0</v>
      </c>
      <c r="F659" s="128">
        <f t="shared" si="96"/>
        <v>538.759728</v>
      </c>
    </row>
    <row r="660" spans="1:14" x14ac:dyDescent="0.3">
      <c r="A660" s="127">
        <v>25</v>
      </c>
      <c r="B660" s="90" t="s">
        <v>331</v>
      </c>
      <c r="C660" s="90">
        <f t="shared" si="97"/>
        <v>359.17315200000002</v>
      </c>
      <c r="D660" s="91">
        <f t="shared" si="95"/>
        <v>431.0077824</v>
      </c>
      <c r="E660" s="90">
        <v>0</v>
      </c>
      <c r="F660" s="128">
        <f t="shared" si="96"/>
        <v>538.759728</v>
      </c>
    </row>
    <row r="661" spans="1:14" ht="15.6" x14ac:dyDescent="0.3">
      <c r="A661" s="127">
        <v>26</v>
      </c>
      <c r="B661" s="90" t="s">
        <v>331</v>
      </c>
      <c r="C661" s="90">
        <f t="shared" si="97"/>
        <v>359.17315200000002</v>
      </c>
      <c r="D661" s="91">
        <f t="shared" si="95"/>
        <v>431.0077824</v>
      </c>
      <c r="E661" s="90">
        <v>0</v>
      </c>
      <c r="F661" s="128">
        <f t="shared" si="96"/>
        <v>538.759728</v>
      </c>
      <c r="K661" s="40"/>
    </row>
    <row r="662" spans="1:14" ht="15.6" x14ac:dyDescent="0.3">
      <c r="A662" s="127">
        <v>27</v>
      </c>
      <c r="B662" s="90" t="s">
        <v>331</v>
      </c>
      <c r="C662" s="90">
        <f t="shared" si="97"/>
        <v>359.17315200000002</v>
      </c>
      <c r="D662" s="91">
        <f t="shared" si="95"/>
        <v>431.0077824</v>
      </c>
      <c r="E662" s="90">
        <v>0</v>
      </c>
      <c r="F662" s="128">
        <f t="shared" si="96"/>
        <v>538.759728</v>
      </c>
      <c r="K662" s="39"/>
    </row>
    <row r="663" spans="1:14" ht="15.6" x14ac:dyDescent="0.3">
      <c r="A663" s="127">
        <v>28</v>
      </c>
      <c r="B663" s="90" t="s">
        <v>331</v>
      </c>
      <c r="C663" s="90">
        <f t="shared" si="97"/>
        <v>359.17315200000002</v>
      </c>
      <c r="D663" s="91">
        <f t="shared" si="95"/>
        <v>431.0077824</v>
      </c>
      <c r="E663" s="90">
        <v>0</v>
      </c>
      <c r="F663" s="128">
        <f t="shared" si="96"/>
        <v>538.759728</v>
      </c>
      <c r="K663" s="39"/>
    </row>
    <row r="664" spans="1:14" x14ac:dyDescent="0.3">
      <c r="A664" s="127">
        <v>29</v>
      </c>
      <c r="B664" s="90" t="s">
        <v>331</v>
      </c>
      <c r="C664" s="90">
        <f t="shared" si="97"/>
        <v>359.17315200000002</v>
      </c>
      <c r="D664" s="91">
        <f t="shared" si="95"/>
        <v>431.0077824</v>
      </c>
      <c r="E664" s="90">
        <v>0</v>
      </c>
      <c r="F664" s="128">
        <f t="shared" si="96"/>
        <v>538.759728</v>
      </c>
    </row>
    <row r="665" spans="1:14" x14ac:dyDescent="0.3">
      <c r="A665" s="127">
        <v>30</v>
      </c>
      <c r="B665" s="171" t="s">
        <v>335</v>
      </c>
      <c r="C665" s="172"/>
      <c r="D665" s="172"/>
      <c r="E665" s="173"/>
      <c r="F665" s="128">
        <f t="shared" si="96"/>
        <v>0</v>
      </c>
    </row>
    <row r="666" spans="1:14" ht="15.6" x14ac:dyDescent="0.3">
      <c r="A666" s="127">
        <v>31</v>
      </c>
      <c r="B666" s="90" t="s">
        <v>331</v>
      </c>
      <c r="C666" s="90">
        <f t="shared" ref="C666:C671" si="98">(23.69+1.8*(1.5+1.2)+0.6*1.68+3.16*0.75+1.2*1.2)*10.764</f>
        <v>359.17315200000002</v>
      </c>
      <c r="D666" s="91">
        <f t="shared" si="95"/>
        <v>431.0077824</v>
      </c>
      <c r="E666" s="90">
        <v>0</v>
      </c>
      <c r="F666" s="128">
        <f t="shared" si="96"/>
        <v>538.759728</v>
      </c>
      <c r="K666" s="40"/>
    </row>
    <row r="667" spans="1:14" ht="15.6" x14ac:dyDescent="0.3">
      <c r="A667" s="127">
        <v>32</v>
      </c>
      <c r="B667" s="90" t="s">
        <v>331</v>
      </c>
      <c r="C667" s="90">
        <f t="shared" si="98"/>
        <v>359.17315200000002</v>
      </c>
      <c r="D667" s="91">
        <f t="shared" si="95"/>
        <v>431.0077824</v>
      </c>
      <c r="E667" s="90">
        <v>0</v>
      </c>
      <c r="F667" s="128">
        <f t="shared" si="96"/>
        <v>538.759728</v>
      </c>
      <c r="K667" s="39"/>
    </row>
    <row r="668" spans="1:14" s="39" customFormat="1" ht="15.75" customHeight="1" x14ac:dyDescent="0.3">
      <c r="A668" s="127">
        <v>33</v>
      </c>
      <c r="B668" s="90" t="s">
        <v>331</v>
      </c>
      <c r="C668" s="90">
        <f t="shared" si="98"/>
        <v>359.17315200000002</v>
      </c>
      <c r="D668" s="91">
        <f>C668*1.2</f>
        <v>431.0077824</v>
      </c>
      <c r="E668" s="90">
        <v>0</v>
      </c>
      <c r="F668" s="128">
        <f>C668*(($F$469)+1)+(IF(E668&lt;101,E668,IF(E668&lt;201,E668/2,IF(E668&lt;=301,E668/3,E668/4))))</f>
        <v>538.759728</v>
      </c>
      <c r="G668" s="43"/>
      <c r="H668" s="43"/>
      <c r="K668"/>
    </row>
    <row r="669" spans="1:14" s="39" customFormat="1" ht="15.6" x14ac:dyDescent="0.3">
      <c r="A669" s="127">
        <v>34</v>
      </c>
      <c r="B669" s="90" t="s">
        <v>331</v>
      </c>
      <c r="C669" s="90">
        <f t="shared" si="98"/>
        <v>359.17315200000002</v>
      </c>
      <c r="D669" s="91">
        <f t="shared" ref="D669:D671" si="99">C669*1.2</f>
        <v>431.0077824</v>
      </c>
      <c r="E669" s="90">
        <v>0</v>
      </c>
      <c r="F669" s="128">
        <f t="shared" ref="F669:F671" si="100">C669*(($F$469)+1)+(IF(E669&lt;101,E669,IF(E669&lt;201,E669/2,IF(E669&lt;=301,E669/3,E669/4))))</f>
        <v>538.759728</v>
      </c>
      <c r="G669" s="157"/>
      <c r="H669" s="157"/>
      <c r="I669" s="40"/>
      <c r="J669" s="54"/>
      <c r="K669"/>
      <c r="L669" s="170"/>
      <c r="M669" s="170"/>
      <c r="N669" s="40"/>
    </row>
    <row r="670" spans="1:14" x14ac:dyDescent="0.3">
      <c r="A670" s="127">
        <v>35</v>
      </c>
      <c r="B670" s="90" t="s">
        <v>331</v>
      </c>
      <c r="C670" s="90">
        <f t="shared" si="98"/>
        <v>359.17315200000002</v>
      </c>
      <c r="D670" s="91">
        <f t="shared" si="99"/>
        <v>431.0077824</v>
      </c>
      <c r="E670" s="90">
        <v>0</v>
      </c>
      <c r="F670" s="128">
        <f t="shared" si="100"/>
        <v>538.759728</v>
      </c>
    </row>
    <row r="671" spans="1:14" x14ac:dyDescent="0.3">
      <c r="A671" s="127">
        <v>36</v>
      </c>
      <c r="B671" s="90" t="s">
        <v>331</v>
      </c>
      <c r="C671" s="90">
        <f t="shared" si="98"/>
        <v>359.17315200000002</v>
      </c>
      <c r="D671" s="91">
        <f t="shared" si="99"/>
        <v>431.0077824</v>
      </c>
      <c r="E671" s="90">
        <v>0</v>
      </c>
      <c r="F671" s="128">
        <f t="shared" si="100"/>
        <v>538.759728</v>
      </c>
    </row>
    <row r="672" spans="1:14" s="37" customFormat="1" ht="15.6" x14ac:dyDescent="0.3">
      <c r="A672" s="151" t="s">
        <v>379</v>
      </c>
      <c r="B672" s="152"/>
      <c r="C672" s="152"/>
      <c r="D672" s="152"/>
      <c r="E672" s="152"/>
      <c r="F672" s="153"/>
      <c r="G672" s="158"/>
      <c r="H672" s="158"/>
      <c r="I672" s="158"/>
      <c r="J672" s="158"/>
      <c r="K672" s="158"/>
    </row>
    <row r="673" spans="1:14" s="39" customFormat="1" ht="15.75" customHeight="1" x14ac:dyDescent="0.3">
      <c r="A673" s="151" t="s">
        <v>342</v>
      </c>
      <c r="B673" s="152"/>
      <c r="C673" s="152"/>
      <c r="D673" s="152"/>
      <c r="E673" s="152"/>
      <c r="F673" s="153"/>
      <c r="G673" s="43"/>
      <c r="H673" s="43"/>
      <c r="K673" s="40"/>
    </row>
    <row r="674" spans="1:14" s="39" customFormat="1" ht="15.75" customHeight="1" x14ac:dyDescent="0.3">
      <c r="A674" s="151" t="s">
        <v>332</v>
      </c>
      <c r="B674" s="152"/>
      <c r="C674" s="152"/>
      <c r="D674" s="152"/>
      <c r="E674" s="152"/>
      <c r="F674" s="153"/>
      <c r="G674" s="43"/>
      <c r="H674" s="43"/>
      <c r="K674" s="40"/>
    </row>
    <row r="675" spans="1:14" s="39" customFormat="1" ht="15.75" customHeight="1" x14ac:dyDescent="0.3">
      <c r="A675" s="127">
        <v>1</v>
      </c>
      <c r="B675" s="90" t="s">
        <v>331</v>
      </c>
      <c r="C675" s="90">
        <f>(23.69+1.8*(1.5+1.2)+0.6*1.68+3.16*0.75)*10.764</f>
        <v>343.67299199999997</v>
      </c>
      <c r="D675" s="91">
        <f>C675*1.2</f>
        <v>412.40759039999995</v>
      </c>
      <c r="E675" s="90">
        <f>(1.2*5)*10.764</f>
        <v>64.584000000000003</v>
      </c>
      <c r="F675" s="128">
        <f>C675*(($F$469)+1)+(IF(E675&lt;101,E675,IF(E675&lt;201,E675/2,IF(E675&lt;=301,E675/3,E675/4))))</f>
        <v>580.09348799999998</v>
      </c>
      <c r="G675" s="43"/>
      <c r="H675" s="43"/>
      <c r="K675"/>
    </row>
    <row r="676" spans="1:14" s="39" customFormat="1" ht="15.6" x14ac:dyDescent="0.3">
      <c r="A676" s="127">
        <v>2</v>
      </c>
      <c r="B676" s="90" t="s">
        <v>331</v>
      </c>
      <c r="C676" s="90">
        <f>(23.69+1.8*(1.5)+1.2*1.38+0.6*1.68+3.16*0.75)*10.764</f>
        <v>338.24793599999998</v>
      </c>
      <c r="D676" s="91">
        <f t="shared" ref="D676:D680" si="101">C676*1.2</f>
        <v>405.89752319999997</v>
      </c>
      <c r="E676" s="90">
        <f>(3.5*1.8)*10.764</f>
        <v>67.813199999999995</v>
      </c>
      <c r="F676" s="128">
        <f t="shared" ref="F676:F680" si="102">C676*(($F$469)+1)+(IF(E676&lt;101,E676,IF(E676&lt;201,E676/2,IF(E676&lt;=301,E676/3,E676/4))))</f>
        <v>575.18510399999991</v>
      </c>
      <c r="G676" s="157"/>
      <c r="H676" s="157"/>
      <c r="I676" s="40"/>
      <c r="J676" s="54"/>
      <c r="K676"/>
      <c r="L676" s="170"/>
      <c r="M676" s="170"/>
      <c r="N676" s="40"/>
    </row>
    <row r="677" spans="1:14" x14ac:dyDescent="0.3">
      <c r="A677" s="127">
        <v>3</v>
      </c>
      <c r="B677" s="90" t="s">
        <v>331</v>
      </c>
      <c r="C677" s="90">
        <f>(23.69+1.8*(1.5)+0.6*1.68+3.16*0.75)*10.764</f>
        <v>320.422752</v>
      </c>
      <c r="D677" s="91">
        <f t="shared" si="101"/>
        <v>384.50730240000001</v>
      </c>
      <c r="E677" s="90">
        <f>(3.5*1.8+4.5*1.2+2.5*1.2)*10.764</f>
        <v>158.23079999999999</v>
      </c>
      <c r="F677" s="128">
        <f t="shared" si="102"/>
        <v>559.74952800000005</v>
      </c>
    </row>
    <row r="678" spans="1:14" x14ac:dyDescent="0.3">
      <c r="A678" s="127">
        <v>4</v>
      </c>
      <c r="B678" s="90" t="s">
        <v>331</v>
      </c>
      <c r="C678" s="90">
        <f>(23.69+1.8*(1.5)+0.6*1.68+3.16*0.75)*10.764</f>
        <v>320.422752</v>
      </c>
      <c r="D678" s="91">
        <f t="shared" si="101"/>
        <v>384.50730240000001</v>
      </c>
      <c r="E678" s="90">
        <f>(1.2*5+3.5*1.8)*10.764</f>
        <v>132.3972</v>
      </c>
      <c r="F678" s="128">
        <f t="shared" si="102"/>
        <v>546.83272800000009</v>
      </c>
    </row>
    <row r="679" spans="1:14" ht="15.6" x14ac:dyDescent="0.3">
      <c r="A679" s="127">
        <v>5</v>
      </c>
      <c r="B679" s="90" t="s">
        <v>331</v>
      </c>
      <c r="C679" s="90">
        <f>(23.69+1.8*(1.5)+1.2*1.2+0.6*1.68+3.16*0.75)*10.764</f>
        <v>335.922912</v>
      </c>
      <c r="D679" s="91">
        <f t="shared" si="101"/>
        <v>403.10749440000001</v>
      </c>
      <c r="E679" s="90">
        <f>(3.5*1.8+3.13*1.83)*10.764</f>
        <v>129.46831559999998</v>
      </c>
      <c r="F679" s="128">
        <f t="shared" si="102"/>
        <v>568.61852580000004</v>
      </c>
      <c r="K679" s="40"/>
    </row>
    <row r="680" spans="1:14" ht="15.6" x14ac:dyDescent="0.3">
      <c r="A680" s="127">
        <v>6</v>
      </c>
      <c r="B680" s="90" t="s">
        <v>331</v>
      </c>
      <c r="C680" s="90">
        <f>(23.69+1.8*(1.5)+1.2*1.38+0.6*1.68+3.16*0.75)*10.764</f>
        <v>338.24793599999998</v>
      </c>
      <c r="D680" s="91">
        <f t="shared" si="101"/>
        <v>405.89752319999997</v>
      </c>
      <c r="E680" s="90">
        <f>(3.5*1.8)*10.764</f>
        <v>67.813199999999995</v>
      </c>
      <c r="F680" s="128">
        <f t="shared" si="102"/>
        <v>575.18510399999991</v>
      </c>
      <c r="K680" s="39"/>
    </row>
    <row r="681" spans="1:14" s="39" customFormat="1" ht="15.75" customHeight="1" x14ac:dyDescent="0.3">
      <c r="A681" s="127">
        <v>7</v>
      </c>
      <c r="B681" s="90" t="s">
        <v>331</v>
      </c>
      <c r="C681" s="90">
        <f>(23.69+1.8*(1.5)+0.6*1.68+3.16*0.75)*10.764</f>
        <v>320.422752</v>
      </c>
      <c r="D681" s="91">
        <f>C681*1.2</f>
        <v>384.50730240000001</v>
      </c>
      <c r="E681" s="99">
        <f>(3.5*1.8+5*1.2)*10.764</f>
        <v>132.3972</v>
      </c>
      <c r="F681" s="128">
        <f>C681*(($F$469)+1)+(IF(E681&lt;101,E681,IF(E681&lt;201,E681/2,IF(E681&lt;=301,E681/3,E681/4))))</f>
        <v>546.83272800000009</v>
      </c>
      <c r="G681" s="43"/>
      <c r="H681" s="43"/>
      <c r="K681"/>
    </row>
    <row r="682" spans="1:14" s="39" customFormat="1" ht="15.6" x14ac:dyDescent="0.3">
      <c r="A682" s="127">
        <v>8</v>
      </c>
      <c r="B682" s="90" t="s">
        <v>331</v>
      </c>
      <c r="C682" s="90">
        <f>(23.69+1.8*(1.5)+0.6*1.68+3.16*0.75)*10.764</f>
        <v>320.422752</v>
      </c>
      <c r="D682" s="91">
        <f t="shared" ref="D682:D691" si="103">C682*1.2</f>
        <v>384.50730240000001</v>
      </c>
      <c r="E682" s="90">
        <f>(5*1.2+1.41*3+0.75*0.75)*10.764</f>
        <v>116.17046999999999</v>
      </c>
      <c r="F682" s="128">
        <f t="shared" ref="F682:F691" si="104">C682*(($F$469)+1)+(IF(E682&lt;101,E682,IF(E682&lt;201,E682/2,IF(E682&lt;=301,E682/3,E682/4))))</f>
        <v>538.71936300000004</v>
      </c>
      <c r="G682" s="157"/>
      <c r="H682" s="157"/>
      <c r="I682" s="40"/>
      <c r="J682" s="54"/>
      <c r="K682"/>
      <c r="L682" s="170"/>
      <c r="M682" s="170"/>
      <c r="N682" s="40"/>
    </row>
    <row r="683" spans="1:14" x14ac:dyDescent="0.3">
      <c r="A683" s="127">
        <v>9</v>
      </c>
      <c r="B683" s="90" t="s">
        <v>331</v>
      </c>
      <c r="C683" s="90">
        <f>(23.69+1.8*(1.5)+0.6*1.68+3.16*0.75)*10.764</f>
        <v>320.422752</v>
      </c>
      <c r="D683" s="91">
        <f t="shared" si="103"/>
        <v>384.50730240000001</v>
      </c>
      <c r="E683" s="99">
        <f>(3.5*1.8+5*1.2)*10.764</f>
        <v>132.3972</v>
      </c>
      <c r="F683" s="128">
        <f t="shared" si="104"/>
        <v>546.83272800000009</v>
      </c>
    </row>
    <row r="684" spans="1:14" x14ac:dyDescent="0.3">
      <c r="A684" s="127">
        <v>10</v>
      </c>
      <c r="B684" s="90" t="s">
        <v>331</v>
      </c>
      <c r="C684" s="90">
        <f>(23.69+1.8*(1.5)+0.6*1.68+3.16*0.75)*10.764</f>
        <v>320.422752</v>
      </c>
      <c r="D684" s="91">
        <f t="shared" si="103"/>
        <v>384.50730240000001</v>
      </c>
      <c r="E684" s="90">
        <f>(3.5*1.8+5*1.2)*10.764</f>
        <v>132.3972</v>
      </c>
      <c r="F684" s="128">
        <f t="shared" si="104"/>
        <v>546.83272800000009</v>
      </c>
    </row>
    <row r="685" spans="1:14" ht="15.6" x14ac:dyDescent="0.3">
      <c r="A685" s="127">
        <v>11</v>
      </c>
      <c r="B685" s="90" t="s">
        <v>331</v>
      </c>
      <c r="C685" s="90">
        <f>(23.69+1.8*(1.5)+0.6*1.68+3.16*0.75)*10.764</f>
        <v>320.422752</v>
      </c>
      <c r="D685" s="91">
        <f t="shared" si="103"/>
        <v>384.50730240000001</v>
      </c>
      <c r="E685" s="90">
        <f>(3.5*1.8+5*1.2)*10.764</f>
        <v>132.3972</v>
      </c>
      <c r="F685" s="128">
        <f t="shared" si="104"/>
        <v>546.83272800000009</v>
      </c>
      <c r="K685" s="40"/>
    </row>
    <row r="686" spans="1:14" ht="15.6" x14ac:dyDescent="0.3">
      <c r="A686" s="127">
        <v>12</v>
      </c>
      <c r="B686" s="90" t="s">
        <v>331</v>
      </c>
      <c r="C686" s="90">
        <f>(23.69+1.8*(1.5)+(1.2*1.2)+0.6*1.68+3.16*0.75)*10.764</f>
        <v>335.922912</v>
      </c>
      <c r="D686" s="91">
        <f t="shared" si="103"/>
        <v>403.10749440000001</v>
      </c>
      <c r="E686" s="90">
        <f>(3.5*1.8)*10.764</f>
        <v>67.813199999999995</v>
      </c>
      <c r="F686" s="128">
        <f t="shared" si="104"/>
        <v>571.69756800000005</v>
      </c>
      <c r="K686" s="39"/>
    </row>
    <row r="687" spans="1:14" s="39" customFormat="1" ht="15.6" x14ac:dyDescent="0.3">
      <c r="A687" s="127">
        <v>13</v>
      </c>
      <c r="B687" s="90" t="s">
        <v>331</v>
      </c>
      <c r="C687" s="90">
        <f>(23.69+1.8*(1.5+1.2)+0.6*1.68+3.16*0.75)*10.764</f>
        <v>343.67299199999997</v>
      </c>
      <c r="D687" s="91">
        <f t="shared" si="103"/>
        <v>412.40759039999995</v>
      </c>
      <c r="E687" s="90">
        <f>(5*1.2)*10.764</f>
        <v>64.584000000000003</v>
      </c>
      <c r="F687" s="128">
        <f t="shared" si="104"/>
        <v>580.09348799999998</v>
      </c>
      <c r="G687" s="157"/>
      <c r="H687" s="157"/>
      <c r="I687" s="40"/>
      <c r="J687" s="54"/>
      <c r="K687"/>
      <c r="L687" s="170"/>
      <c r="M687" s="170"/>
      <c r="N687" s="40"/>
    </row>
    <row r="688" spans="1:14" x14ac:dyDescent="0.3">
      <c r="A688" s="127">
        <v>14</v>
      </c>
      <c r="B688" s="90" t="s">
        <v>331</v>
      </c>
      <c r="C688" s="90">
        <f>(23.69+1.8*(1.5+1.2)+0.6*1.68+3.16*0.75)*10.764</f>
        <v>343.67299199999997</v>
      </c>
      <c r="D688" s="91">
        <f t="shared" si="103"/>
        <v>412.40759039999995</v>
      </c>
      <c r="E688" s="90">
        <f>(5*1.2)*10.764</f>
        <v>64.584000000000003</v>
      </c>
      <c r="F688" s="128">
        <f t="shared" si="104"/>
        <v>580.09348799999998</v>
      </c>
    </row>
    <row r="689" spans="1:14" x14ac:dyDescent="0.3">
      <c r="A689" s="127">
        <v>15</v>
      </c>
      <c r="B689" s="90" t="s">
        <v>331</v>
      </c>
      <c r="C689" s="90">
        <f>(23.69+1.8*(1.5)+(1.2*1.2)+0.6*1.68+3.16*0.75)*10.764</f>
        <v>335.922912</v>
      </c>
      <c r="D689" s="91">
        <f t="shared" si="103"/>
        <v>403.10749440000001</v>
      </c>
      <c r="E689" s="90">
        <f>(3.5*1.8)*10.764</f>
        <v>67.813199999999995</v>
      </c>
      <c r="F689" s="128">
        <f t="shared" si="104"/>
        <v>571.69756800000005</v>
      </c>
    </row>
    <row r="690" spans="1:14" ht="15.6" x14ac:dyDescent="0.3">
      <c r="A690" s="127">
        <v>16</v>
      </c>
      <c r="B690" s="90" t="s">
        <v>331</v>
      </c>
      <c r="C690" s="90">
        <f>(23.69+1.8*(1.5)+0.6*1.68+3.16*0.75)*10.764</f>
        <v>320.422752</v>
      </c>
      <c r="D690" s="91">
        <f t="shared" si="103"/>
        <v>384.50730240000001</v>
      </c>
      <c r="E690" s="90">
        <f t="shared" ref="E690:E694" si="105">(3.5*1.8+5*1.2)*10.764</f>
        <v>132.3972</v>
      </c>
      <c r="F690" s="128">
        <f t="shared" si="104"/>
        <v>546.83272800000009</v>
      </c>
      <c r="K690" s="40"/>
    </row>
    <row r="691" spans="1:14" ht="15.6" x14ac:dyDescent="0.3">
      <c r="A691" s="127">
        <v>17</v>
      </c>
      <c r="B691" s="90" t="s">
        <v>331</v>
      </c>
      <c r="C691" s="90">
        <f>(23.69+1.8*(1.5)+0.6*1.68+3.16*0.75)*10.764</f>
        <v>320.422752</v>
      </c>
      <c r="D691" s="91">
        <f t="shared" si="103"/>
        <v>384.50730240000001</v>
      </c>
      <c r="E691" s="90">
        <f t="shared" si="105"/>
        <v>132.3972</v>
      </c>
      <c r="F691" s="128">
        <f t="shared" si="104"/>
        <v>546.83272800000009</v>
      </c>
      <c r="K691" s="39"/>
    </row>
    <row r="692" spans="1:14" s="39" customFormat="1" ht="15.75" customHeight="1" x14ac:dyDescent="0.3">
      <c r="A692" s="127">
        <v>18</v>
      </c>
      <c r="B692" s="90" t="s">
        <v>331</v>
      </c>
      <c r="C692" s="90">
        <f>(23.69+1.8*(1.5)+0.6*1.68+3.16*0.75)*10.764</f>
        <v>320.422752</v>
      </c>
      <c r="D692" s="91">
        <f>C692*1.2</f>
        <v>384.50730240000001</v>
      </c>
      <c r="E692" s="90">
        <f t="shared" si="105"/>
        <v>132.3972</v>
      </c>
      <c r="F692" s="128">
        <f t="shared" ref="F692:F702" si="106">C692*(($F$469)+1)+(IF(E692&lt;101,E692,IF(E692&lt;201,E692/2,IF(E692&lt;=301,E692/3,E692/4))))</f>
        <v>546.83272800000009</v>
      </c>
      <c r="G692" s="43"/>
      <c r="H692" s="43"/>
      <c r="K692"/>
    </row>
    <row r="693" spans="1:14" s="39" customFormat="1" ht="15.6" x14ac:dyDescent="0.3">
      <c r="A693" s="127">
        <v>19</v>
      </c>
      <c r="B693" s="90" t="s">
        <v>331</v>
      </c>
      <c r="C693" s="90">
        <f>(23.69+1.8*(1.5)+0.6*1.68+3.16*0.75)*10.764</f>
        <v>320.422752</v>
      </c>
      <c r="D693" s="91">
        <f t="shared" ref="D693:D702" si="107">C693*1.2</f>
        <v>384.50730240000001</v>
      </c>
      <c r="E693" s="90">
        <f>(3.5*1.8+5*1.2+0.75*0.75)*10.764</f>
        <v>138.45195000000001</v>
      </c>
      <c r="F693" s="128">
        <f t="shared" si="106"/>
        <v>549.86010299999998</v>
      </c>
      <c r="G693" s="157"/>
      <c r="H693" s="157"/>
      <c r="I693" s="40"/>
      <c r="J693" s="54"/>
      <c r="K693"/>
      <c r="L693" s="170"/>
      <c r="M693" s="170"/>
      <c r="N693" s="40"/>
    </row>
    <row r="694" spans="1:14" x14ac:dyDescent="0.3">
      <c r="A694" s="127">
        <v>20</v>
      </c>
      <c r="B694" s="90" t="s">
        <v>331</v>
      </c>
      <c r="C694" s="90">
        <f>(23.69+1.8*(1.5)+0.6*1.68+3.16*0.75)*10.764</f>
        <v>320.422752</v>
      </c>
      <c r="D694" s="91">
        <f t="shared" si="107"/>
        <v>384.50730240000001</v>
      </c>
      <c r="E694" s="90">
        <f t="shared" si="105"/>
        <v>132.3972</v>
      </c>
      <c r="F694" s="128">
        <f t="shared" si="106"/>
        <v>546.83272800000009</v>
      </c>
    </row>
    <row r="695" spans="1:14" x14ac:dyDescent="0.3">
      <c r="A695" s="127">
        <v>21</v>
      </c>
      <c r="B695" s="90" t="s">
        <v>331</v>
      </c>
      <c r="C695" s="90">
        <f>(23.69+1.8*(1.5)+(1.2*1.2)+0.6*1.68+3.16*0.75)*10.764</f>
        <v>335.922912</v>
      </c>
      <c r="D695" s="91">
        <f t="shared" si="107"/>
        <v>403.10749440000001</v>
      </c>
      <c r="E695" s="90">
        <f>(3.5*1.8)*10.764</f>
        <v>67.813199999999995</v>
      </c>
      <c r="F695" s="128">
        <f t="shared" si="106"/>
        <v>571.69756800000005</v>
      </c>
    </row>
    <row r="696" spans="1:14" ht="15.6" x14ac:dyDescent="0.3">
      <c r="A696" s="127">
        <v>22</v>
      </c>
      <c r="B696" s="90" t="s">
        <v>331</v>
      </c>
      <c r="C696" s="90">
        <f>(23.69+1.8*(1.5)+(1.2*1.2)+0.6*1.68+3.16*0.75)*10.764</f>
        <v>335.922912</v>
      </c>
      <c r="D696" s="91">
        <f t="shared" si="107"/>
        <v>403.10749440000001</v>
      </c>
      <c r="E696" s="90">
        <f>(3.5*1.8)*10.764</f>
        <v>67.813199999999995</v>
      </c>
      <c r="F696" s="128">
        <f t="shared" si="106"/>
        <v>571.69756800000005</v>
      </c>
      <c r="K696" s="40"/>
    </row>
    <row r="697" spans="1:14" ht="15.6" x14ac:dyDescent="0.3">
      <c r="A697" s="127">
        <v>23</v>
      </c>
      <c r="B697" s="90" t="s">
        <v>331</v>
      </c>
      <c r="C697" s="90">
        <f>(23.69+1.8*(1.5)+0.6*1.68+3.16*0.75)*10.764</f>
        <v>320.422752</v>
      </c>
      <c r="D697" s="91">
        <f t="shared" si="107"/>
        <v>384.50730240000001</v>
      </c>
      <c r="E697" s="90">
        <f>(3.5*1.8+5*1.2)*10.764</f>
        <v>132.3972</v>
      </c>
      <c r="F697" s="128">
        <f t="shared" si="106"/>
        <v>546.83272800000009</v>
      </c>
      <c r="K697" s="39"/>
    </row>
    <row r="698" spans="1:14" x14ac:dyDescent="0.3">
      <c r="A698" s="127">
        <v>24</v>
      </c>
      <c r="B698" s="90" t="s">
        <v>331</v>
      </c>
      <c r="C698" s="90">
        <f>(23.69+1.8*(1.5)+0.6*1.68+3.16*0.75)*10.764</f>
        <v>320.422752</v>
      </c>
      <c r="D698" s="91">
        <f t="shared" si="107"/>
        <v>384.50730240000001</v>
      </c>
      <c r="E698" s="90">
        <f>(3.5*1.8+5*1.2+2.7*1.2)*10.764</f>
        <v>167.27256</v>
      </c>
      <c r="F698" s="128">
        <f t="shared" si="106"/>
        <v>564.27040800000009</v>
      </c>
    </row>
    <row r="699" spans="1:14" x14ac:dyDescent="0.3">
      <c r="A699" s="127">
        <v>25</v>
      </c>
      <c r="B699" s="90" t="s">
        <v>331</v>
      </c>
      <c r="C699" s="90">
        <f>(23.69+1.8*(1.5)+0.6*1.68+3.16*0.75)*10.764</f>
        <v>320.422752</v>
      </c>
      <c r="D699" s="91">
        <f t="shared" si="107"/>
        <v>384.50730240000001</v>
      </c>
      <c r="E699" s="90">
        <f>(3.5*1.8+5*1.2)*10.764</f>
        <v>132.3972</v>
      </c>
      <c r="F699" s="128">
        <f t="shared" si="106"/>
        <v>546.83272800000009</v>
      </c>
    </row>
    <row r="700" spans="1:14" ht="15.6" x14ac:dyDescent="0.3">
      <c r="A700" s="127">
        <v>26</v>
      </c>
      <c r="B700" s="90" t="s">
        <v>331</v>
      </c>
      <c r="C700" s="90">
        <f>(23.69+1.8*(1.5)+0.6*1.68+3.16*0.75)*10.764</f>
        <v>320.422752</v>
      </c>
      <c r="D700" s="91">
        <f t="shared" si="107"/>
        <v>384.50730240000001</v>
      </c>
      <c r="E700" s="90">
        <f t="shared" ref="E700" si="108">(3.5*1.8+5*1.2)*10.764</f>
        <v>132.3972</v>
      </c>
      <c r="F700" s="128">
        <f t="shared" si="106"/>
        <v>546.83272800000009</v>
      </c>
      <c r="K700" s="40"/>
    </row>
    <row r="701" spans="1:14" ht="15.6" x14ac:dyDescent="0.3">
      <c r="A701" s="127">
        <v>27</v>
      </c>
      <c r="B701" s="90" t="s">
        <v>331</v>
      </c>
      <c r="C701" s="90">
        <f>(23.69+1.8*(1.5)+(1.2*1.2)+0.6*1.68+3.16*0.75)*10.764</f>
        <v>335.922912</v>
      </c>
      <c r="D701" s="91">
        <f t="shared" si="107"/>
        <v>403.10749440000001</v>
      </c>
      <c r="E701" s="90">
        <f>(3.5*1.8)*10.764</f>
        <v>67.813199999999995</v>
      </c>
      <c r="F701" s="128">
        <f t="shared" si="106"/>
        <v>571.69756800000005</v>
      </c>
      <c r="K701" s="39"/>
    </row>
    <row r="702" spans="1:14" ht="15.6" x14ac:dyDescent="0.3">
      <c r="A702" s="127">
        <v>28</v>
      </c>
      <c r="B702" s="90" t="s">
        <v>331</v>
      </c>
      <c r="C702" s="90">
        <f>(23.69+1.8*(1.5)+(1.2*1.2)+0.6*1.68+3.16*0.75)*10.764</f>
        <v>335.922912</v>
      </c>
      <c r="D702" s="91">
        <f t="shared" si="107"/>
        <v>403.10749440000001</v>
      </c>
      <c r="E702" s="90">
        <f t="shared" ref="E702" si="109">(5*1.2)*10.764</f>
        <v>64.584000000000003</v>
      </c>
      <c r="F702" s="128">
        <f t="shared" si="106"/>
        <v>568.46836800000005</v>
      </c>
      <c r="K702" s="39"/>
    </row>
    <row r="703" spans="1:14" s="39" customFormat="1" ht="15.75" customHeight="1" x14ac:dyDescent="0.3">
      <c r="A703" s="151" t="s">
        <v>333</v>
      </c>
      <c r="B703" s="152"/>
      <c r="C703" s="152"/>
      <c r="D703" s="152"/>
      <c r="E703" s="152"/>
      <c r="F703" s="153"/>
      <c r="G703" s="43"/>
      <c r="H703" s="43"/>
      <c r="K703" s="40"/>
    </row>
    <row r="704" spans="1:14" s="39" customFormat="1" ht="15.75" customHeight="1" x14ac:dyDescent="0.3">
      <c r="A704" s="127">
        <v>1</v>
      </c>
      <c r="B704" s="90" t="s">
        <v>331</v>
      </c>
      <c r="C704" s="90">
        <f t="shared" ref="C704:C731" si="110">(23.69+1.8*(1.5+1.2)+0.6*1.68+3.16*0.75+1.2*1.2)*10.764</f>
        <v>359.17315200000002</v>
      </c>
      <c r="D704" s="91">
        <f>C704*1.2</f>
        <v>431.0077824</v>
      </c>
      <c r="E704" s="90">
        <v>0</v>
      </c>
      <c r="F704" s="128">
        <f>C704*(($F$469)+1)+(IF(E704&lt;101,E704,IF(E704&lt;201,E704/2,IF(E704&lt;=301,E704/3,E704/4))))</f>
        <v>538.759728</v>
      </c>
      <c r="G704" s="43"/>
      <c r="H704" s="43"/>
      <c r="K704"/>
    </row>
    <row r="705" spans="1:14" s="39" customFormat="1" ht="15.6" x14ac:dyDescent="0.3">
      <c r="A705" s="127">
        <v>2</v>
      </c>
      <c r="B705" s="90" t="s">
        <v>331</v>
      </c>
      <c r="C705" s="90">
        <f t="shared" si="110"/>
        <v>359.17315200000002</v>
      </c>
      <c r="D705" s="91">
        <f t="shared" ref="D705:D709" si="111">C705*1.2</f>
        <v>431.0077824</v>
      </c>
      <c r="E705" s="90">
        <v>0</v>
      </c>
      <c r="F705" s="128">
        <f t="shared" ref="F705:F709" si="112">C705*(($F$469)+1)+(IF(E705&lt;101,E705,IF(E705&lt;201,E705/2,IF(E705&lt;=301,E705/3,E705/4))))</f>
        <v>538.759728</v>
      </c>
      <c r="G705" s="157"/>
      <c r="H705" s="157"/>
      <c r="I705" s="40"/>
      <c r="J705" s="54"/>
      <c r="K705"/>
      <c r="L705" s="170"/>
      <c r="M705" s="170"/>
      <c r="N705" s="40"/>
    </row>
    <row r="706" spans="1:14" x14ac:dyDescent="0.3">
      <c r="A706" s="127">
        <v>3</v>
      </c>
      <c r="B706" s="90" t="s">
        <v>331</v>
      </c>
      <c r="C706" s="90">
        <f t="shared" si="110"/>
        <v>359.17315200000002</v>
      </c>
      <c r="D706" s="91">
        <f t="shared" si="111"/>
        <v>431.0077824</v>
      </c>
      <c r="E706" s="90">
        <v>0</v>
      </c>
      <c r="F706" s="128">
        <f t="shared" si="112"/>
        <v>538.759728</v>
      </c>
    </row>
    <row r="707" spans="1:14" x14ac:dyDescent="0.3">
      <c r="A707" s="127">
        <v>4</v>
      </c>
      <c r="B707" s="90" t="s">
        <v>331</v>
      </c>
      <c r="C707" s="90">
        <f t="shared" si="110"/>
        <v>359.17315200000002</v>
      </c>
      <c r="D707" s="91">
        <f t="shared" si="111"/>
        <v>431.0077824</v>
      </c>
      <c r="E707" s="90">
        <v>0</v>
      </c>
      <c r="F707" s="128">
        <f t="shared" si="112"/>
        <v>538.759728</v>
      </c>
    </row>
    <row r="708" spans="1:14" ht="15.6" x14ac:dyDescent="0.3">
      <c r="A708" s="127">
        <v>5</v>
      </c>
      <c r="B708" s="90" t="s">
        <v>331</v>
      </c>
      <c r="C708" s="90">
        <f t="shared" si="110"/>
        <v>359.17315200000002</v>
      </c>
      <c r="D708" s="91">
        <f t="shared" si="111"/>
        <v>431.0077824</v>
      </c>
      <c r="E708" s="90">
        <v>0</v>
      </c>
      <c r="F708" s="128">
        <f t="shared" si="112"/>
        <v>538.759728</v>
      </c>
      <c r="K708" s="40"/>
    </row>
    <row r="709" spans="1:14" ht="15.6" x14ac:dyDescent="0.3">
      <c r="A709" s="127">
        <v>6</v>
      </c>
      <c r="B709" s="90" t="s">
        <v>331</v>
      </c>
      <c r="C709" s="90">
        <f t="shared" si="110"/>
        <v>359.17315200000002</v>
      </c>
      <c r="D709" s="91">
        <f t="shared" si="111"/>
        <v>431.0077824</v>
      </c>
      <c r="E709" s="90">
        <v>0</v>
      </c>
      <c r="F709" s="128">
        <f t="shared" si="112"/>
        <v>538.759728</v>
      </c>
      <c r="K709" s="39"/>
    </row>
    <row r="710" spans="1:14" s="39" customFormat="1" ht="15.75" customHeight="1" x14ac:dyDescent="0.3">
      <c r="A710" s="127">
        <v>7</v>
      </c>
      <c r="B710" s="90" t="s">
        <v>331</v>
      </c>
      <c r="C710" s="90">
        <f t="shared" si="110"/>
        <v>359.17315200000002</v>
      </c>
      <c r="D710" s="91">
        <f>C710*1.2</f>
        <v>431.0077824</v>
      </c>
      <c r="E710" s="90">
        <v>0</v>
      </c>
      <c r="F710" s="128">
        <f>C710*(($F$469)+1)+(IF(E710&lt;101,E710,IF(E710&lt;201,E710/2,IF(E710&lt;=301,E710/3,E710/4))))</f>
        <v>538.759728</v>
      </c>
      <c r="G710" s="43"/>
      <c r="H710" s="43"/>
      <c r="K710"/>
    </row>
    <row r="711" spans="1:14" s="39" customFormat="1" ht="15.6" x14ac:dyDescent="0.3">
      <c r="A711" s="127">
        <v>8</v>
      </c>
      <c r="B711" s="90" t="s">
        <v>331</v>
      </c>
      <c r="C711" s="90">
        <f t="shared" si="110"/>
        <v>359.17315200000002</v>
      </c>
      <c r="D711" s="91">
        <f t="shared" ref="D711:D720" si="113">C711*1.2</f>
        <v>431.0077824</v>
      </c>
      <c r="E711" s="90">
        <v>0</v>
      </c>
      <c r="F711" s="128">
        <f t="shared" ref="F711:F720" si="114">C711*(($F$469)+1)+(IF(E711&lt;101,E711,IF(E711&lt;201,E711/2,IF(E711&lt;=301,E711/3,E711/4))))</f>
        <v>538.759728</v>
      </c>
      <c r="G711" s="157"/>
      <c r="H711" s="157"/>
      <c r="I711" s="40"/>
      <c r="J711" s="54"/>
      <c r="K711"/>
      <c r="L711" s="170"/>
      <c r="M711" s="170"/>
      <c r="N711" s="40"/>
    </row>
    <row r="712" spans="1:14" x14ac:dyDescent="0.3">
      <c r="A712" s="127">
        <v>9</v>
      </c>
      <c r="B712" s="90" t="s">
        <v>331</v>
      </c>
      <c r="C712" s="90">
        <f t="shared" si="110"/>
        <v>359.17315200000002</v>
      </c>
      <c r="D712" s="91">
        <f t="shared" si="113"/>
        <v>431.0077824</v>
      </c>
      <c r="E712" s="90">
        <v>0</v>
      </c>
      <c r="F712" s="128">
        <f t="shared" si="114"/>
        <v>538.759728</v>
      </c>
    </row>
    <row r="713" spans="1:14" x14ac:dyDescent="0.3">
      <c r="A713" s="127">
        <v>10</v>
      </c>
      <c r="B713" s="90" t="s">
        <v>331</v>
      </c>
      <c r="C713" s="90">
        <f t="shared" si="110"/>
        <v>359.17315200000002</v>
      </c>
      <c r="D713" s="91">
        <f t="shared" si="113"/>
        <v>431.0077824</v>
      </c>
      <c r="E713" s="90">
        <v>0</v>
      </c>
      <c r="F713" s="128">
        <f t="shared" si="114"/>
        <v>538.759728</v>
      </c>
    </row>
    <row r="714" spans="1:14" ht="15.6" x14ac:dyDescent="0.3">
      <c r="A714" s="127">
        <v>11</v>
      </c>
      <c r="B714" s="90" t="s">
        <v>331</v>
      </c>
      <c r="C714" s="90">
        <f t="shared" si="110"/>
        <v>359.17315200000002</v>
      </c>
      <c r="D714" s="91">
        <f t="shared" si="113"/>
        <v>431.0077824</v>
      </c>
      <c r="E714" s="90">
        <v>0</v>
      </c>
      <c r="F714" s="128">
        <f t="shared" si="114"/>
        <v>538.759728</v>
      </c>
      <c r="K714" s="40"/>
    </row>
    <row r="715" spans="1:14" ht="15.6" x14ac:dyDescent="0.3">
      <c r="A715" s="127">
        <v>12</v>
      </c>
      <c r="B715" s="90" t="s">
        <v>331</v>
      </c>
      <c r="C715" s="90">
        <f t="shared" si="110"/>
        <v>359.17315200000002</v>
      </c>
      <c r="D715" s="91">
        <f t="shared" si="113"/>
        <v>431.0077824</v>
      </c>
      <c r="E715" s="90">
        <v>0</v>
      </c>
      <c r="F715" s="128">
        <f t="shared" si="114"/>
        <v>538.759728</v>
      </c>
      <c r="K715" s="39"/>
    </row>
    <row r="716" spans="1:14" s="39" customFormat="1" ht="15.6" x14ac:dyDescent="0.3">
      <c r="A716" s="127">
        <v>13</v>
      </c>
      <c r="B716" s="90" t="s">
        <v>331</v>
      </c>
      <c r="C716" s="90">
        <f t="shared" si="110"/>
        <v>359.17315200000002</v>
      </c>
      <c r="D716" s="91">
        <f t="shared" ref="D716:D718" si="115">C716*1.2</f>
        <v>431.0077824</v>
      </c>
      <c r="E716" s="90">
        <v>1</v>
      </c>
      <c r="F716" s="128">
        <f t="shared" si="114"/>
        <v>539.759728</v>
      </c>
      <c r="G716" s="157"/>
      <c r="H716" s="157"/>
      <c r="I716" s="40"/>
      <c r="J716" s="54"/>
      <c r="K716"/>
      <c r="L716" s="170"/>
      <c r="M716" s="170"/>
      <c r="N716" s="40"/>
    </row>
    <row r="717" spans="1:14" x14ac:dyDescent="0.3">
      <c r="A717" s="127">
        <v>14</v>
      </c>
      <c r="B717" s="90" t="s">
        <v>331</v>
      </c>
      <c r="C717" s="90">
        <f t="shared" si="110"/>
        <v>359.17315200000002</v>
      </c>
      <c r="D717" s="91">
        <f t="shared" si="115"/>
        <v>431.0077824</v>
      </c>
      <c r="E717" s="90">
        <v>2</v>
      </c>
      <c r="F717" s="128">
        <f t="shared" si="114"/>
        <v>540.759728</v>
      </c>
    </row>
    <row r="718" spans="1:14" x14ac:dyDescent="0.3">
      <c r="A718" s="127">
        <v>15</v>
      </c>
      <c r="B718" s="90" t="s">
        <v>331</v>
      </c>
      <c r="C718" s="90">
        <f t="shared" si="110"/>
        <v>359.17315200000002</v>
      </c>
      <c r="D718" s="91">
        <f t="shared" si="115"/>
        <v>431.0077824</v>
      </c>
      <c r="E718" s="90">
        <v>3</v>
      </c>
      <c r="F718" s="128">
        <f t="shared" si="114"/>
        <v>541.759728</v>
      </c>
    </row>
    <row r="719" spans="1:14" ht="15.6" x14ac:dyDescent="0.3">
      <c r="A719" s="127">
        <v>16</v>
      </c>
      <c r="B719" s="90" t="s">
        <v>331</v>
      </c>
      <c r="C719" s="90">
        <f t="shared" si="110"/>
        <v>359.17315200000002</v>
      </c>
      <c r="D719" s="91">
        <f t="shared" si="113"/>
        <v>431.0077824</v>
      </c>
      <c r="E719" s="90">
        <v>0</v>
      </c>
      <c r="F719" s="128">
        <f t="shared" si="114"/>
        <v>538.759728</v>
      </c>
      <c r="K719" s="40"/>
    </row>
    <row r="720" spans="1:14" ht="15.6" x14ac:dyDescent="0.3">
      <c r="A720" s="127">
        <v>17</v>
      </c>
      <c r="B720" s="90" t="s">
        <v>331</v>
      </c>
      <c r="C720" s="90">
        <f t="shared" si="110"/>
        <v>359.17315200000002</v>
      </c>
      <c r="D720" s="91">
        <f t="shared" si="113"/>
        <v>431.0077824</v>
      </c>
      <c r="E720" s="90">
        <v>0</v>
      </c>
      <c r="F720" s="128">
        <f t="shared" si="114"/>
        <v>538.759728</v>
      </c>
      <c r="K720" s="39"/>
    </row>
    <row r="721" spans="1:14" s="39" customFormat="1" ht="15.75" customHeight="1" x14ac:dyDescent="0.3">
      <c r="A721" s="127">
        <v>18</v>
      </c>
      <c r="B721" s="90" t="s">
        <v>331</v>
      </c>
      <c r="C721" s="90">
        <f t="shared" si="110"/>
        <v>359.17315200000002</v>
      </c>
      <c r="D721" s="91">
        <f>C721*1.2</f>
        <v>431.0077824</v>
      </c>
      <c r="E721" s="90">
        <v>0</v>
      </c>
      <c r="F721" s="128">
        <f t="shared" ref="F721:F731" si="116">C721*(($F$469)+1)+(IF(E721&lt;101,E721,IF(E721&lt;201,E721/2,IF(E721&lt;=301,E721/3,E721/4))))</f>
        <v>538.759728</v>
      </c>
      <c r="G721" s="43"/>
      <c r="H721" s="43"/>
      <c r="K721"/>
    </row>
    <row r="722" spans="1:14" s="39" customFormat="1" ht="15.6" x14ac:dyDescent="0.3">
      <c r="A722" s="127">
        <v>19</v>
      </c>
      <c r="B722" s="90" t="s">
        <v>331</v>
      </c>
      <c r="C722" s="90">
        <f t="shared" si="110"/>
        <v>359.17315200000002</v>
      </c>
      <c r="D722" s="91">
        <f t="shared" ref="D722:D731" si="117">C722*1.2</f>
        <v>431.0077824</v>
      </c>
      <c r="E722" s="90">
        <v>0</v>
      </c>
      <c r="F722" s="128">
        <f t="shared" si="116"/>
        <v>538.759728</v>
      </c>
      <c r="G722" s="157"/>
      <c r="H722" s="157"/>
      <c r="I722" s="40"/>
      <c r="J722" s="54"/>
      <c r="K722"/>
      <c r="L722" s="170"/>
      <c r="M722" s="170"/>
      <c r="N722" s="40"/>
    </row>
    <row r="723" spans="1:14" x14ac:dyDescent="0.3">
      <c r="A723" s="127">
        <v>20</v>
      </c>
      <c r="B723" s="90" t="s">
        <v>331</v>
      </c>
      <c r="C723" s="90">
        <f t="shared" si="110"/>
        <v>359.17315200000002</v>
      </c>
      <c r="D723" s="91">
        <f t="shared" si="117"/>
        <v>431.0077824</v>
      </c>
      <c r="E723" s="90">
        <v>0</v>
      </c>
      <c r="F723" s="128">
        <f t="shared" si="116"/>
        <v>538.759728</v>
      </c>
    </row>
    <row r="724" spans="1:14" x14ac:dyDescent="0.3">
      <c r="A724" s="127">
        <v>21</v>
      </c>
      <c r="B724" s="90" t="s">
        <v>331</v>
      </c>
      <c r="C724" s="90">
        <f t="shared" si="110"/>
        <v>359.17315200000002</v>
      </c>
      <c r="D724" s="91">
        <f t="shared" si="117"/>
        <v>431.0077824</v>
      </c>
      <c r="E724" s="90">
        <v>0</v>
      </c>
      <c r="F724" s="128">
        <f t="shared" si="116"/>
        <v>538.759728</v>
      </c>
    </row>
    <row r="725" spans="1:14" ht="15.6" x14ac:dyDescent="0.3">
      <c r="A725" s="127">
        <v>22</v>
      </c>
      <c r="B725" s="90" t="s">
        <v>331</v>
      </c>
      <c r="C725" s="90">
        <f t="shared" si="110"/>
        <v>359.17315200000002</v>
      </c>
      <c r="D725" s="91">
        <f t="shared" si="117"/>
        <v>431.0077824</v>
      </c>
      <c r="E725" s="90">
        <v>0</v>
      </c>
      <c r="F725" s="128">
        <f t="shared" si="116"/>
        <v>538.759728</v>
      </c>
      <c r="K725" s="40"/>
    </row>
    <row r="726" spans="1:14" ht="15.6" x14ac:dyDescent="0.3">
      <c r="A726" s="127">
        <v>23</v>
      </c>
      <c r="B726" s="90" t="s">
        <v>331</v>
      </c>
      <c r="C726" s="90">
        <f t="shared" si="110"/>
        <v>359.17315200000002</v>
      </c>
      <c r="D726" s="91">
        <f t="shared" si="117"/>
        <v>431.0077824</v>
      </c>
      <c r="E726" s="90">
        <v>0</v>
      </c>
      <c r="F726" s="128">
        <f t="shared" si="116"/>
        <v>538.759728</v>
      </c>
      <c r="K726" s="39"/>
    </row>
    <row r="727" spans="1:14" x14ac:dyDescent="0.3">
      <c r="A727" s="127">
        <v>24</v>
      </c>
      <c r="B727" s="90" t="s">
        <v>331</v>
      </c>
      <c r="C727" s="90">
        <f t="shared" si="110"/>
        <v>359.17315200000002</v>
      </c>
      <c r="D727" s="91">
        <f t="shared" si="117"/>
        <v>431.0077824</v>
      </c>
      <c r="E727" s="90">
        <v>0</v>
      </c>
      <c r="F727" s="128">
        <f t="shared" si="116"/>
        <v>538.759728</v>
      </c>
    </row>
    <row r="728" spans="1:14" x14ac:dyDescent="0.3">
      <c r="A728" s="127">
        <v>25</v>
      </c>
      <c r="B728" s="90" t="s">
        <v>331</v>
      </c>
      <c r="C728" s="90">
        <f t="shared" si="110"/>
        <v>359.17315200000002</v>
      </c>
      <c r="D728" s="91">
        <f t="shared" si="117"/>
        <v>431.0077824</v>
      </c>
      <c r="E728" s="90">
        <v>0</v>
      </c>
      <c r="F728" s="128">
        <f t="shared" si="116"/>
        <v>538.759728</v>
      </c>
    </row>
    <row r="729" spans="1:14" ht="15.6" x14ac:dyDescent="0.3">
      <c r="A729" s="127">
        <v>26</v>
      </c>
      <c r="B729" s="90" t="s">
        <v>331</v>
      </c>
      <c r="C729" s="90">
        <f t="shared" si="110"/>
        <v>359.17315200000002</v>
      </c>
      <c r="D729" s="91">
        <f t="shared" si="117"/>
        <v>431.0077824</v>
      </c>
      <c r="E729" s="90">
        <v>0</v>
      </c>
      <c r="F729" s="128">
        <f t="shared" si="116"/>
        <v>538.759728</v>
      </c>
      <c r="K729" s="40"/>
    </row>
    <row r="730" spans="1:14" ht="15.6" x14ac:dyDescent="0.3">
      <c r="A730" s="127">
        <v>27</v>
      </c>
      <c r="B730" s="90" t="s">
        <v>331</v>
      </c>
      <c r="C730" s="90">
        <f t="shared" si="110"/>
        <v>359.17315200000002</v>
      </c>
      <c r="D730" s="91">
        <f t="shared" si="117"/>
        <v>431.0077824</v>
      </c>
      <c r="E730" s="90">
        <v>0</v>
      </c>
      <c r="F730" s="128">
        <f t="shared" si="116"/>
        <v>538.759728</v>
      </c>
      <c r="K730" s="39"/>
    </row>
    <row r="731" spans="1:14" ht="15.6" x14ac:dyDescent="0.3">
      <c r="A731" s="127">
        <v>28</v>
      </c>
      <c r="B731" s="90" t="s">
        <v>331</v>
      </c>
      <c r="C731" s="90">
        <f t="shared" si="110"/>
        <v>359.17315200000002</v>
      </c>
      <c r="D731" s="91">
        <f t="shared" si="117"/>
        <v>431.0077824</v>
      </c>
      <c r="E731" s="90">
        <v>0</v>
      </c>
      <c r="F731" s="128">
        <f t="shared" si="116"/>
        <v>538.759728</v>
      </c>
      <c r="K731" s="39"/>
    </row>
    <row r="732" spans="1:14" s="39" customFormat="1" ht="15.75" customHeight="1" x14ac:dyDescent="0.3">
      <c r="A732" s="151" t="s">
        <v>334</v>
      </c>
      <c r="B732" s="152"/>
      <c r="C732" s="152"/>
      <c r="D732" s="152"/>
      <c r="E732" s="152"/>
      <c r="F732" s="153"/>
      <c r="G732" s="43"/>
      <c r="H732" s="43"/>
      <c r="K732" s="40"/>
    </row>
    <row r="733" spans="1:14" s="39" customFormat="1" ht="15.75" customHeight="1" x14ac:dyDescent="0.3">
      <c r="A733" s="127">
        <v>1</v>
      </c>
      <c r="B733" s="90" t="s">
        <v>331</v>
      </c>
      <c r="C733" s="90">
        <f t="shared" ref="C733:C744" si="118">(23.69+1.8*(1.5+1.2)+0.6*1.68+3.16*0.75+1.2*1.2)*10.764</f>
        <v>359.17315200000002</v>
      </c>
      <c r="D733" s="91">
        <f>C733*1.2</f>
        <v>431.0077824</v>
      </c>
      <c r="E733" s="90">
        <v>0</v>
      </c>
      <c r="F733" s="128">
        <f>C733*(($F$469)+1)+(IF(E733&lt;101,E733,IF(E733&lt;201,E733/2,IF(E733&lt;=301,E733/3,E733/4))))</f>
        <v>538.759728</v>
      </c>
      <c r="G733" s="43"/>
      <c r="H733" s="43"/>
      <c r="K733"/>
    </row>
    <row r="734" spans="1:14" s="39" customFormat="1" ht="15.6" x14ac:dyDescent="0.3">
      <c r="A734" s="127">
        <v>2</v>
      </c>
      <c r="B734" s="90" t="s">
        <v>331</v>
      </c>
      <c r="C734" s="90">
        <f t="shared" si="118"/>
        <v>359.17315200000002</v>
      </c>
      <c r="D734" s="91">
        <f t="shared" ref="D734:D738" si="119">C734*1.2</f>
        <v>431.0077824</v>
      </c>
      <c r="E734" s="90">
        <v>0</v>
      </c>
      <c r="F734" s="128">
        <f t="shared" ref="F734:F738" si="120">C734*(($F$469)+1)+(IF(E734&lt;101,E734,IF(E734&lt;201,E734/2,IF(E734&lt;=301,E734/3,E734/4))))</f>
        <v>538.759728</v>
      </c>
      <c r="G734" s="157"/>
      <c r="H734" s="157"/>
      <c r="I734" s="40"/>
      <c r="J734" s="54"/>
      <c r="K734"/>
      <c r="L734" s="170"/>
      <c r="M734" s="170"/>
      <c r="N734" s="40"/>
    </row>
    <row r="735" spans="1:14" x14ac:dyDescent="0.3">
      <c r="A735" s="127">
        <v>3</v>
      </c>
      <c r="B735" s="90" t="s">
        <v>331</v>
      </c>
      <c r="C735" s="90">
        <f t="shared" si="118"/>
        <v>359.17315200000002</v>
      </c>
      <c r="D735" s="91">
        <f t="shared" si="119"/>
        <v>431.0077824</v>
      </c>
      <c r="E735" s="90">
        <v>0</v>
      </c>
      <c r="F735" s="128">
        <f t="shared" si="120"/>
        <v>538.759728</v>
      </c>
    </row>
    <row r="736" spans="1:14" x14ac:dyDescent="0.3">
      <c r="A736" s="127">
        <v>4</v>
      </c>
      <c r="B736" s="90" t="s">
        <v>331</v>
      </c>
      <c r="C736" s="90">
        <f t="shared" si="118"/>
        <v>359.17315200000002</v>
      </c>
      <c r="D736" s="91">
        <f t="shared" si="119"/>
        <v>431.0077824</v>
      </c>
      <c r="E736" s="90">
        <v>0</v>
      </c>
      <c r="F736" s="128">
        <f t="shared" si="120"/>
        <v>538.759728</v>
      </c>
    </row>
    <row r="737" spans="1:14" ht="15.6" x14ac:dyDescent="0.3">
      <c r="A737" s="127">
        <v>5</v>
      </c>
      <c r="B737" s="90" t="s">
        <v>331</v>
      </c>
      <c r="C737" s="90">
        <f t="shared" si="118"/>
        <v>359.17315200000002</v>
      </c>
      <c r="D737" s="91">
        <f t="shared" si="119"/>
        <v>431.0077824</v>
      </c>
      <c r="E737" s="90">
        <v>0</v>
      </c>
      <c r="F737" s="128">
        <f t="shared" si="120"/>
        <v>538.759728</v>
      </c>
      <c r="K737" s="40"/>
    </row>
    <row r="738" spans="1:14" ht="15.6" x14ac:dyDescent="0.3">
      <c r="A738" s="127">
        <v>6</v>
      </c>
      <c r="B738" s="90" t="s">
        <v>331</v>
      </c>
      <c r="C738" s="90">
        <f t="shared" si="118"/>
        <v>359.17315200000002</v>
      </c>
      <c r="D738" s="91">
        <f t="shared" si="119"/>
        <v>431.0077824</v>
      </c>
      <c r="E738" s="90">
        <v>0</v>
      </c>
      <c r="F738" s="128">
        <f t="shared" si="120"/>
        <v>538.759728</v>
      </c>
      <c r="K738" s="39"/>
    </row>
    <row r="739" spans="1:14" s="39" customFormat="1" ht="15.75" customHeight="1" x14ac:dyDescent="0.3">
      <c r="A739" s="127">
        <v>7</v>
      </c>
      <c r="B739" s="90" t="s">
        <v>331</v>
      </c>
      <c r="C739" s="90">
        <f t="shared" si="118"/>
        <v>359.17315200000002</v>
      </c>
      <c r="D739" s="91">
        <f>C739*1.2</f>
        <v>431.0077824</v>
      </c>
      <c r="E739" s="90">
        <v>0</v>
      </c>
      <c r="F739" s="128">
        <f>C739*(($F$469)+1)+(IF(E739&lt;101,E739,IF(E739&lt;201,E739/2,IF(E739&lt;=301,E739/3,E739/4))))</f>
        <v>538.759728</v>
      </c>
      <c r="G739" s="43"/>
      <c r="H739" s="43"/>
      <c r="K739"/>
    </row>
    <row r="740" spans="1:14" s="39" customFormat="1" ht="15.6" x14ac:dyDescent="0.3">
      <c r="A740" s="127">
        <v>8</v>
      </c>
      <c r="B740" s="90" t="s">
        <v>331</v>
      </c>
      <c r="C740" s="90">
        <f t="shared" si="118"/>
        <v>359.17315200000002</v>
      </c>
      <c r="D740" s="91">
        <f t="shared" ref="D740:D744" si="121">C740*1.2</f>
        <v>431.0077824</v>
      </c>
      <c r="E740" s="90">
        <v>0</v>
      </c>
      <c r="F740" s="128">
        <f t="shared" ref="F740:F749" si="122">C740*(($F$469)+1)+(IF(E740&lt;101,E740,IF(E740&lt;201,E740/2,IF(E740&lt;=301,E740/3,E740/4))))</f>
        <v>538.759728</v>
      </c>
      <c r="G740" s="157"/>
      <c r="H740" s="157"/>
      <c r="I740" s="40"/>
      <c r="J740" s="54"/>
      <c r="K740"/>
      <c r="L740" s="170"/>
      <c r="M740" s="170"/>
      <c r="N740" s="40"/>
    </row>
    <row r="741" spans="1:14" x14ac:dyDescent="0.3">
      <c r="A741" s="127">
        <v>9</v>
      </c>
      <c r="B741" s="90" t="s">
        <v>331</v>
      </c>
      <c r="C741" s="90">
        <f t="shared" si="118"/>
        <v>359.17315200000002</v>
      </c>
      <c r="D741" s="91">
        <f t="shared" si="121"/>
        <v>431.0077824</v>
      </c>
      <c r="E741" s="90">
        <v>0</v>
      </c>
      <c r="F741" s="128">
        <f t="shared" si="122"/>
        <v>538.759728</v>
      </c>
    </row>
    <row r="742" spans="1:14" x14ac:dyDescent="0.3">
      <c r="A742" s="127">
        <v>10</v>
      </c>
      <c r="B742" s="90" t="s">
        <v>331</v>
      </c>
      <c r="C742" s="90">
        <f t="shared" si="118"/>
        <v>359.17315200000002</v>
      </c>
      <c r="D742" s="91">
        <f t="shared" si="121"/>
        <v>431.0077824</v>
      </c>
      <c r="E742" s="90">
        <v>0</v>
      </c>
      <c r="F742" s="128">
        <f t="shared" si="122"/>
        <v>538.759728</v>
      </c>
    </row>
    <row r="743" spans="1:14" ht="15.6" x14ac:dyDescent="0.3">
      <c r="A743" s="127">
        <v>11</v>
      </c>
      <c r="B743" s="90" t="s">
        <v>331</v>
      </c>
      <c r="C743" s="90">
        <f t="shared" si="118"/>
        <v>359.17315200000002</v>
      </c>
      <c r="D743" s="91">
        <f t="shared" si="121"/>
        <v>431.0077824</v>
      </c>
      <c r="E743" s="90">
        <v>0</v>
      </c>
      <c r="F743" s="128">
        <f t="shared" si="122"/>
        <v>538.759728</v>
      </c>
      <c r="K743" s="40"/>
    </row>
    <row r="744" spans="1:14" ht="15.6" x14ac:dyDescent="0.3">
      <c r="A744" s="127">
        <v>12</v>
      </c>
      <c r="B744" s="90" t="s">
        <v>331</v>
      </c>
      <c r="C744" s="90">
        <f t="shared" si="118"/>
        <v>359.17315200000002</v>
      </c>
      <c r="D744" s="91">
        <f t="shared" si="121"/>
        <v>431.0077824</v>
      </c>
      <c r="E744" s="90">
        <v>0</v>
      </c>
      <c r="F744" s="128">
        <f t="shared" si="122"/>
        <v>538.759728</v>
      </c>
      <c r="K744" s="39"/>
    </row>
    <row r="745" spans="1:14" s="39" customFormat="1" ht="15.6" x14ac:dyDescent="0.3">
      <c r="A745" s="127">
        <v>13</v>
      </c>
      <c r="B745" s="159" t="s">
        <v>335</v>
      </c>
      <c r="C745" s="160"/>
      <c r="D745" s="160"/>
      <c r="E745" s="161"/>
      <c r="F745" s="128">
        <f t="shared" si="122"/>
        <v>0</v>
      </c>
      <c r="G745" s="157"/>
      <c r="H745" s="157"/>
      <c r="I745" s="40"/>
      <c r="J745" s="54"/>
      <c r="K745"/>
      <c r="L745" s="170"/>
      <c r="M745" s="170"/>
      <c r="N745" s="40"/>
    </row>
    <row r="746" spans="1:14" x14ac:dyDescent="0.3">
      <c r="A746" s="127">
        <v>14</v>
      </c>
      <c r="B746" s="162"/>
      <c r="C746" s="163"/>
      <c r="D746" s="163"/>
      <c r="E746" s="164"/>
      <c r="F746" s="128">
        <f t="shared" si="122"/>
        <v>0</v>
      </c>
    </row>
    <row r="747" spans="1:14" x14ac:dyDescent="0.3">
      <c r="A747" s="127">
        <v>15</v>
      </c>
      <c r="B747" s="165"/>
      <c r="C747" s="166"/>
      <c r="D747" s="166"/>
      <c r="E747" s="167"/>
      <c r="F747" s="128">
        <f t="shared" si="122"/>
        <v>0</v>
      </c>
    </row>
    <row r="748" spans="1:14" ht="15.6" x14ac:dyDescent="0.3">
      <c r="A748" s="127">
        <v>16</v>
      </c>
      <c r="B748" s="90" t="s">
        <v>331</v>
      </c>
      <c r="C748" s="90">
        <f t="shared" ref="C748:C760" si="123">(23.69+1.8*(1.5+1.2)+0.6*1.68+3.16*0.75+1.2*1.2)*10.764</f>
        <v>359.17315200000002</v>
      </c>
      <c r="D748" s="91">
        <f t="shared" ref="D748:D749" si="124">C748*1.2</f>
        <v>431.0077824</v>
      </c>
      <c r="E748" s="90">
        <v>0</v>
      </c>
      <c r="F748" s="128">
        <f t="shared" si="122"/>
        <v>538.759728</v>
      </c>
      <c r="K748" s="40"/>
    </row>
    <row r="749" spans="1:14" ht="15.6" x14ac:dyDescent="0.3">
      <c r="A749" s="127">
        <v>17</v>
      </c>
      <c r="B749" s="90" t="s">
        <v>331</v>
      </c>
      <c r="C749" s="90">
        <f t="shared" si="123"/>
        <v>359.17315200000002</v>
      </c>
      <c r="D749" s="91">
        <f t="shared" si="124"/>
        <v>431.0077824</v>
      </c>
      <c r="E749" s="90">
        <v>0</v>
      </c>
      <c r="F749" s="128">
        <f t="shared" si="122"/>
        <v>538.759728</v>
      </c>
      <c r="K749" s="39"/>
    </row>
    <row r="750" spans="1:14" s="39" customFormat="1" ht="15.75" customHeight="1" x14ac:dyDescent="0.3">
      <c r="A750" s="127">
        <v>18</v>
      </c>
      <c r="B750" s="90" t="s">
        <v>331</v>
      </c>
      <c r="C750" s="90">
        <f t="shared" si="123"/>
        <v>359.17315200000002</v>
      </c>
      <c r="D750" s="91">
        <f>C750*1.2</f>
        <v>431.0077824</v>
      </c>
      <c r="E750" s="90">
        <v>0</v>
      </c>
      <c r="F750" s="128">
        <f>C750*(($F$469)+1)+(IF(E750&lt;101,E750,IF(E750&lt;201,E750/2,IF(E750&lt;=301,E750/3,E750/4))))</f>
        <v>538.759728</v>
      </c>
      <c r="G750" s="43"/>
      <c r="H750" s="43"/>
      <c r="K750"/>
    </row>
    <row r="751" spans="1:14" s="39" customFormat="1" ht="15.6" x14ac:dyDescent="0.3">
      <c r="A751" s="127">
        <v>19</v>
      </c>
      <c r="B751" s="90" t="s">
        <v>331</v>
      </c>
      <c r="C751" s="90">
        <f t="shared" si="123"/>
        <v>359.17315200000002</v>
      </c>
      <c r="D751" s="91">
        <f t="shared" ref="D751:D760" si="125">C751*1.2</f>
        <v>431.0077824</v>
      </c>
      <c r="E751" s="90">
        <v>0</v>
      </c>
      <c r="F751" s="128">
        <f t="shared" ref="F751:F760" si="126">C751*(($F$469)+1)+(IF(E751&lt;101,E751,IF(E751&lt;201,E751/2,IF(E751&lt;=301,E751/3,E751/4))))</f>
        <v>538.759728</v>
      </c>
      <c r="G751" s="157"/>
      <c r="H751" s="157"/>
      <c r="I751" s="40"/>
      <c r="J751" s="54"/>
      <c r="K751"/>
      <c r="L751" s="170"/>
      <c r="M751" s="170"/>
      <c r="N751" s="40"/>
    </row>
    <row r="752" spans="1:14" x14ac:dyDescent="0.3">
      <c r="A752" s="127">
        <v>20</v>
      </c>
      <c r="B752" s="90" t="s">
        <v>331</v>
      </c>
      <c r="C752" s="90">
        <f t="shared" si="123"/>
        <v>359.17315200000002</v>
      </c>
      <c r="D752" s="91">
        <f t="shared" si="125"/>
        <v>431.0077824</v>
      </c>
      <c r="E752" s="90">
        <v>0</v>
      </c>
      <c r="F752" s="128">
        <f t="shared" si="126"/>
        <v>538.759728</v>
      </c>
    </row>
    <row r="753" spans="1:14" x14ac:dyDescent="0.3">
      <c r="A753" s="127">
        <v>21</v>
      </c>
      <c r="B753" s="90" t="s">
        <v>331</v>
      </c>
      <c r="C753" s="90">
        <f t="shared" si="123"/>
        <v>359.17315200000002</v>
      </c>
      <c r="D753" s="91">
        <f t="shared" si="125"/>
        <v>431.0077824</v>
      </c>
      <c r="E753" s="90">
        <v>0</v>
      </c>
      <c r="F753" s="128">
        <f t="shared" si="126"/>
        <v>538.759728</v>
      </c>
    </row>
    <row r="754" spans="1:14" ht="15.6" x14ac:dyDescent="0.3">
      <c r="A754" s="127">
        <v>22</v>
      </c>
      <c r="B754" s="90" t="s">
        <v>331</v>
      </c>
      <c r="C754" s="90">
        <f t="shared" si="123"/>
        <v>359.17315200000002</v>
      </c>
      <c r="D754" s="91">
        <f t="shared" si="125"/>
        <v>431.0077824</v>
      </c>
      <c r="E754" s="90">
        <v>0</v>
      </c>
      <c r="F754" s="128">
        <f t="shared" si="126"/>
        <v>538.759728</v>
      </c>
      <c r="K754" s="40"/>
    </row>
    <row r="755" spans="1:14" ht="15.6" x14ac:dyDescent="0.3">
      <c r="A755" s="127">
        <v>23</v>
      </c>
      <c r="B755" s="90" t="s">
        <v>331</v>
      </c>
      <c r="C755" s="90">
        <f t="shared" si="123"/>
        <v>359.17315200000002</v>
      </c>
      <c r="D755" s="91">
        <f t="shared" si="125"/>
        <v>431.0077824</v>
      </c>
      <c r="E755" s="90">
        <v>0</v>
      </c>
      <c r="F755" s="128">
        <f t="shared" si="126"/>
        <v>538.759728</v>
      </c>
      <c r="K755" s="39"/>
    </row>
    <row r="756" spans="1:14" x14ac:dyDescent="0.3">
      <c r="A756" s="127">
        <v>24</v>
      </c>
      <c r="B756" s="90" t="s">
        <v>331</v>
      </c>
      <c r="C756" s="90">
        <f t="shared" si="123"/>
        <v>359.17315200000002</v>
      </c>
      <c r="D756" s="91">
        <f t="shared" si="125"/>
        <v>431.0077824</v>
      </c>
      <c r="E756" s="90">
        <v>0</v>
      </c>
      <c r="F756" s="128">
        <f t="shared" si="126"/>
        <v>538.759728</v>
      </c>
    </row>
    <row r="757" spans="1:14" x14ac:dyDescent="0.3">
      <c r="A757" s="127">
        <v>25</v>
      </c>
      <c r="B757" s="90" t="s">
        <v>331</v>
      </c>
      <c r="C757" s="90">
        <f t="shared" si="123"/>
        <v>359.17315200000002</v>
      </c>
      <c r="D757" s="91">
        <f t="shared" si="125"/>
        <v>431.0077824</v>
      </c>
      <c r="E757" s="90">
        <v>0</v>
      </c>
      <c r="F757" s="128">
        <f t="shared" si="126"/>
        <v>538.759728</v>
      </c>
    </row>
    <row r="758" spans="1:14" ht="15.6" x14ac:dyDescent="0.3">
      <c r="A758" s="127">
        <v>26</v>
      </c>
      <c r="B758" s="90" t="s">
        <v>331</v>
      </c>
      <c r="C758" s="90">
        <f t="shared" si="123"/>
        <v>359.17315200000002</v>
      </c>
      <c r="D758" s="91">
        <f t="shared" si="125"/>
        <v>431.0077824</v>
      </c>
      <c r="E758" s="90">
        <v>0</v>
      </c>
      <c r="F758" s="128">
        <f t="shared" si="126"/>
        <v>538.759728</v>
      </c>
      <c r="K758" s="40"/>
    </row>
    <row r="759" spans="1:14" ht="15.6" x14ac:dyDescent="0.3">
      <c r="A759" s="127">
        <v>27</v>
      </c>
      <c r="B759" s="90" t="s">
        <v>331</v>
      </c>
      <c r="C759" s="90">
        <f t="shared" si="123"/>
        <v>359.17315200000002</v>
      </c>
      <c r="D759" s="91">
        <f t="shared" si="125"/>
        <v>431.0077824</v>
      </c>
      <c r="E759" s="90">
        <v>0</v>
      </c>
      <c r="F759" s="128">
        <f t="shared" si="126"/>
        <v>538.759728</v>
      </c>
      <c r="K759" s="39"/>
    </row>
    <row r="760" spans="1:14" ht="15.6" x14ac:dyDescent="0.3">
      <c r="A760" s="127">
        <v>28</v>
      </c>
      <c r="B760" s="90" t="s">
        <v>331</v>
      </c>
      <c r="C760" s="90">
        <f t="shared" si="123"/>
        <v>359.17315200000002</v>
      </c>
      <c r="D760" s="91">
        <f t="shared" si="125"/>
        <v>431.0077824</v>
      </c>
      <c r="E760" s="90">
        <v>0</v>
      </c>
      <c r="F760" s="128">
        <f t="shared" si="126"/>
        <v>538.759728</v>
      </c>
      <c r="K760" s="39"/>
    </row>
    <row r="761" spans="1:14" s="37" customFormat="1" ht="15.6" x14ac:dyDescent="0.3">
      <c r="A761" s="151" t="s">
        <v>378</v>
      </c>
      <c r="B761" s="152"/>
      <c r="C761" s="152"/>
      <c r="D761" s="152"/>
      <c r="E761" s="152"/>
      <c r="F761" s="153"/>
      <c r="G761" s="158"/>
      <c r="H761" s="158"/>
      <c r="I761" s="158"/>
      <c r="J761" s="158"/>
      <c r="K761" s="158"/>
    </row>
    <row r="762" spans="1:14" s="39" customFormat="1" ht="15.75" customHeight="1" x14ac:dyDescent="0.3">
      <c r="A762" s="151" t="s">
        <v>332</v>
      </c>
      <c r="B762" s="152"/>
      <c r="C762" s="152"/>
      <c r="D762" s="152"/>
      <c r="E762" s="152"/>
      <c r="F762" s="153"/>
      <c r="G762" s="43"/>
      <c r="H762" s="43"/>
      <c r="K762" s="40"/>
    </row>
    <row r="763" spans="1:14" s="39" customFormat="1" ht="15.75" customHeight="1" x14ac:dyDescent="0.3">
      <c r="A763" s="127">
        <v>1</v>
      </c>
      <c r="B763" s="90" t="s">
        <v>331</v>
      </c>
      <c r="C763" s="90">
        <f>(23.69+1.5*1.8+1.2*1.8+3.18*0.75+0.6*1.67)*10.764</f>
        <v>343.76986799999997</v>
      </c>
      <c r="D763" s="91">
        <f>C763*1.2</f>
        <v>412.52384159999997</v>
      </c>
      <c r="E763" s="90">
        <f>(5*1.2)*10.764</f>
        <v>64.584000000000003</v>
      </c>
      <c r="F763" s="128">
        <f>C763*(($F$469)+1)+(IF(E763&lt;101,E763,IF(E763&lt;201,E763/2,IF(E763&lt;=301,E763/3,E763/4))))</f>
        <v>580.23880200000008</v>
      </c>
      <c r="G763" s="43"/>
      <c r="H763" s="43"/>
      <c r="K763"/>
    </row>
    <row r="764" spans="1:14" s="39" customFormat="1" ht="15.6" x14ac:dyDescent="0.3">
      <c r="A764" s="127">
        <v>2</v>
      </c>
      <c r="B764" s="90" t="s">
        <v>331</v>
      </c>
      <c r="C764" s="90">
        <f>(23.69+1.5*1.8+1.2*1.2+0.6*1.67+0.75*3.16)*10.764</f>
        <v>335.85832799999997</v>
      </c>
      <c r="D764" s="91">
        <f t="shared" ref="D764:D768" si="127">C764*1.2</f>
        <v>403.02999359999995</v>
      </c>
      <c r="E764" s="90">
        <f>(3.5*1.8)*10.764</f>
        <v>67.813199999999995</v>
      </c>
      <c r="F764" s="128">
        <f t="shared" ref="F764:F768" si="128">C764*(($F$469)+1)+(IF(E764&lt;101,E764,IF(E764&lt;201,E764/2,IF(E764&lt;=301,E764/3,E764/4))))</f>
        <v>571.60069199999998</v>
      </c>
      <c r="G764" s="157"/>
      <c r="H764" s="157"/>
      <c r="I764" s="40"/>
      <c r="J764" s="54"/>
      <c r="K764"/>
      <c r="L764" s="170"/>
      <c r="M764" s="170"/>
      <c r="N764" s="40"/>
    </row>
    <row r="765" spans="1:14" x14ac:dyDescent="0.3">
      <c r="A765" s="127">
        <v>3</v>
      </c>
      <c r="B765" s="90" t="s">
        <v>331</v>
      </c>
      <c r="C765" s="90">
        <f>(23.69+1.5*1.8+1.2*1.2+0.6*1.67+0.75*3.16)*10.764</f>
        <v>335.85832799999997</v>
      </c>
      <c r="D765" s="91">
        <f t="shared" si="127"/>
        <v>403.02999359999995</v>
      </c>
      <c r="E765" s="90">
        <f>(3.5*1.8+5*1.2+1.4*2.7)*10.764</f>
        <v>173.08512000000002</v>
      </c>
      <c r="F765" s="128">
        <f t="shared" si="128"/>
        <v>590.33005199999991</v>
      </c>
    </row>
    <row r="766" spans="1:14" x14ac:dyDescent="0.3">
      <c r="A766" s="127">
        <v>4</v>
      </c>
      <c r="B766" s="90" t="s">
        <v>331</v>
      </c>
      <c r="C766" s="90">
        <f>(23.69+1.5*1.8+1.2*1.8+3.18*0.75+0.6*1.67)*10.764</f>
        <v>343.76986799999997</v>
      </c>
      <c r="D766" s="91">
        <f t="shared" si="127"/>
        <v>412.52384159999997</v>
      </c>
      <c r="E766" s="90">
        <f>(5*1.2)*10.764</f>
        <v>64.584000000000003</v>
      </c>
      <c r="F766" s="128">
        <f t="shared" si="128"/>
        <v>580.23880200000008</v>
      </c>
    </row>
    <row r="767" spans="1:14" ht="15.6" x14ac:dyDescent="0.3">
      <c r="A767" s="127">
        <v>5</v>
      </c>
      <c r="B767" s="90" t="s">
        <v>331</v>
      </c>
      <c r="C767" s="90">
        <f>(23.69+1.5*1.8+1.2*1.8+3.18*0.75+0.6*1.67)*10.764</f>
        <v>343.76986799999997</v>
      </c>
      <c r="D767" s="91">
        <f t="shared" si="127"/>
        <v>412.52384159999997</v>
      </c>
      <c r="E767" s="90">
        <f>(5*1.2)*10.764</f>
        <v>64.584000000000003</v>
      </c>
      <c r="F767" s="128">
        <f t="shared" si="128"/>
        <v>580.23880200000008</v>
      </c>
      <c r="K767" s="40"/>
    </row>
    <row r="768" spans="1:14" ht="15.6" x14ac:dyDescent="0.3">
      <c r="A768" s="127">
        <v>6</v>
      </c>
      <c r="B768" s="90" t="s">
        <v>331</v>
      </c>
      <c r="C768" s="90">
        <f>(23.69+1.5*1.8+0.6*1.67+1.2*1.2)*10.764</f>
        <v>310.34764799999999</v>
      </c>
      <c r="D768" s="91">
        <f t="shared" si="127"/>
        <v>372.4171776</v>
      </c>
      <c r="E768" s="90">
        <f>(1.2*5+1.8*2.7)*10.764</f>
        <v>116.89703999999999</v>
      </c>
      <c r="F768" s="128">
        <f t="shared" si="128"/>
        <v>523.96999200000005</v>
      </c>
      <c r="K768" s="39"/>
    </row>
    <row r="769" spans="1:14" s="39" customFormat="1" ht="15.75" customHeight="1" x14ac:dyDescent="0.3">
      <c r="A769" s="127">
        <v>7</v>
      </c>
      <c r="B769" s="90" t="s">
        <v>331</v>
      </c>
      <c r="C769" s="90">
        <f>(23.69+1.5*1.8+0.6*1.67)*10.764</f>
        <v>294.847488</v>
      </c>
      <c r="D769" s="91">
        <f>C769*1.2</f>
        <v>353.81698560000001</v>
      </c>
      <c r="E769" s="90">
        <f>(6.4*1.2+2.7*1.8+4.5*1.2)*10.764</f>
        <v>193.10615999999996</v>
      </c>
      <c r="F769" s="128">
        <f>C769*(($F$469)+1)+(IF(E769&lt;101,E769,IF(E769&lt;201,E769/2,IF(E769&lt;=301,E769/3,E769/4))))</f>
        <v>538.82431199999996</v>
      </c>
      <c r="G769" s="43"/>
      <c r="H769" s="43"/>
      <c r="K769"/>
    </row>
    <row r="770" spans="1:14" s="39" customFormat="1" ht="15.6" x14ac:dyDescent="0.3">
      <c r="A770" s="127">
        <v>8</v>
      </c>
      <c r="B770" s="90" t="s">
        <v>331</v>
      </c>
      <c r="C770" s="90">
        <f>(23.69+1.5*1.8+0.6*1.67+3.16*0.75)*10.764</f>
        <v>320.35816799999998</v>
      </c>
      <c r="D770" s="91">
        <f t="shared" ref="D770:D779" si="129">C770*1.2</f>
        <v>384.42980159999996</v>
      </c>
      <c r="E770" s="90">
        <f>(1.2*5+1.8*3.5+0.6*1)*10.764</f>
        <v>138.85559999999998</v>
      </c>
      <c r="F770" s="128">
        <f t="shared" ref="F770:F779" si="130">C770*(($F$469)+1)+(IF(E770&lt;101,E770,IF(E770&lt;201,E770/2,IF(E770&lt;=301,E770/3,E770/4))))</f>
        <v>549.96505200000001</v>
      </c>
      <c r="G770" s="157"/>
      <c r="H770" s="157"/>
      <c r="I770" s="40"/>
      <c r="J770" s="54"/>
      <c r="K770"/>
      <c r="L770" s="170"/>
      <c r="M770" s="170"/>
      <c r="N770" s="40"/>
    </row>
    <row r="771" spans="1:14" x14ac:dyDescent="0.3">
      <c r="A771" s="127">
        <v>9</v>
      </c>
      <c r="B771" s="90" t="s">
        <v>331</v>
      </c>
      <c r="C771" s="90">
        <f>(23.69+1.5*1.8+0.6*1.67)*10.764</f>
        <v>294.847488</v>
      </c>
      <c r="D771" s="91">
        <f t="shared" si="129"/>
        <v>353.81698560000001</v>
      </c>
      <c r="E771" s="90">
        <f>(6.4*1.2+2.7*1.8+4.5*1.2)*10.764</f>
        <v>193.10615999999996</v>
      </c>
      <c r="F771" s="128">
        <f t="shared" si="130"/>
        <v>538.82431199999996</v>
      </c>
    </row>
    <row r="772" spans="1:14" x14ac:dyDescent="0.3">
      <c r="A772" s="127">
        <v>10</v>
      </c>
      <c r="B772" s="90" t="s">
        <v>331</v>
      </c>
      <c r="C772" s="90">
        <f>(23.69+1.5*1.8+0.6*1.67)*10.764</f>
        <v>294.847488</v>
      </c>
      <c r="D772" s="91">
        <f t="shared" si="129"/>
        <v>353.81698560000001</v>
      </c>
      <c r="E772" s="90">
        <f>(6.4*1.2+2.7*1.8+4.5*1.2)*10.764</f>
        <v>193.10615999999996</v>
      </c>
      <c r="F772" s="128">
        <f t="shared" si="130"/>
        <v>538.82431199999996</v>
      </c>
    </row>
    <row r="773" spans="1:14" ht="15.6" x14ac:dyDescent="0.3">
      <c r="A773" s="127">
        <v>11</v>
      </c>
      <c r="B773" s="90" t="s">
        <v>331</v>
      </c>
      <c r="C773" s="90">
        <f>(23.69+1.5*1.8+0.6*1.67+0.6*2.24)*10.764</f>
        <v>309.31430399999999</v>
      </c>
      <c r="D773" s="91">
        <f t="shared" si="129"/>
        <v>371.17716479999996</v>
      </c>
      <c r="E773" s="90">
        <f>(6.4*1.2+4.5*1.5)*10.764</f>
        <v>155.32451999999998</v>
      </c>
      <c r="F773" s="128">
        <f t="shared" si="130"/>
        <v>541.63371599999994</v>
      </c>
      <c r="K773" s="40"/>
    </row>
    <row r="774" spans="1:14" ht="15.6" x14ac:dyDescent="0.3">
      <c r="A774" s="127">
        <v>12</v>
      </c>
      <c r="B774" s="90" t="s">
        <v>331</v>
      </c>
      <c r="C774" s="90">
        <f>(23.69+1.5*1.8+3.16*0.75+1.2*1.2+0.6*1.67)*10.764</f>
        <v>335.85832799999997</v>
      </c>
      <c r="D774" s="91">
        <f t="shared" si="129"/>
        <v>403.02999359999995</v>
      </c>
      <c r="E774" s="90">
        <f>(3.5*1.8)*10.764</f>
        <v>67.813199999999995</v>
      </c>
      <c r="F774" s="128">
        <f t="shared" si="130"/>
        <v>571.60069199999998</v>
      </c>
      <c r="K774" s="39"/>
    </row>
    <row r="775" spans="1:14" s="39" customFormat="1" ht="15.6" x14ac:dyDescent="0.3">
      <c r="A775" s="127">
        <v>13</v>
      </c>
      <c r="B775" s="90" t="s">
        <v>331</v>
      </c>
      <c r="C775" s="90">
        <f>(23.69+1.5*1.8+0.6*1.67)*10.764</f>
        <v>294.847488</v>
      </c>
      <c r="D775" s="91">
        <f t="shared" si="129"/>
        <v>353.81698560000001</v>
      </c>
      <c r="E775" s="90">
        <f>(1.8*2.5+4.5*1.2+4.2*1.2)*10.764</f>
        <v>160.81415999999996</v>
      </c>
      <c r="F775" s="128">
        <f t="shared" si="130"/>
        <v>522.67831200000001</v>
      </c>
      <c r="G775" s="157"/>
      <c r="H775" s="157"/>
      <c r="I775" s="40"/>
      <c r="J775" s="54"/>
      <c r="K775"/>
      <c r="L775" s="170"/>
      <c r="M775" s="170"/>
      <c r="N775" s="40"/>
    </row>
    <row r="776" spans="1:14" x14ac:dyDescent="0.3">
      <c r="A776" s="127">
        <v>14</v>
      </c>
      <c r="B776" s="90" t="s">
        <v>331</v>
      </c>
      <c r="C776" s="90">
        <f>(23.69+1.5*1.8+0.6*1.67)*10.764</f>
        <v>294.847488</v>
      </c>
      <c r="D776" s="91">
        <f t="shared" si="129"/>
        <v>353.81698560000001</v>
      </c>
      <c r="E776" s="90">
        <f>(1.8*2.5+4.5*1.2+4.2*1.2)*10.764</f>
        <v>160.81415999999996</v>
      </c>
      <c r="F776" s="128">
        <f t="shared" si="130"/>
        <v>522.67831200000001</v>
      </c>
    </row>
    <row r="777" spans="1:14" x14ac:dyDescent="0.3">
      <c r="A777" s="127">
        <v>15</v>
      </c>
      <c r="B777" s="90" t="s">
        <v>331</v>
      </c>
      <c r="C777" s="90">
        <f>(23.69+1.5*1.8+3.16*0.75+1.2*1.2+0.6*1.67)*10.764</f>
        <v>335.85832799999997</v>
      </c>
      <c r="D777" s="91">
        <f t="shared" si="129"/>
        <v>403.02999359999995</v>
      </c>
      <c r="E777" s="90">
        <f>(3.5*1.8)*10.764</f>
        <v>67.813199999999995</v>
      </c>
      <c r="F777" s="128">
        <f t="shared" si="130"/>
        <v>571.60069199999998</v>
      </c>
    </row>
    <row r="778" spans="1:14" ht="15.6" x14ac:dyDescent="0.3">
      <c r="A778" s="127">
        <v>16</v>
      </c>
      <c r="B778" s="90" t="s">
        <v>331</v>
      </c>
      <c r="C778" s="90">
        <f>(23.69+1.5*1.8+0.6*1.67+0.6*2.24)*10.764</f>
        <v>309.31430399999999</v>
      </c>
      <c r="D778" s="91">
        <f t="shared" si="129"/>
        <v>371.17716479999996</v>
      </c>
      <c r="E778" s="90">
        <f>(6.4*1.2+4.5*1.5)*10.764</f>
        <v>155.32451999999998</v>
      </c>
      <c r="F778" s="128">
        <f t="shared" si="130"/>
        <v>541.63371599999994</v>
      </c>
      <c r="K778" s="40"/>
    </row>
    <row r="779" spans="1:14" ht="15.6" x14ac:dyDescent="0.3">
      <c r="A779" s="127">
        <v>17</v>
      </c>
      <c r="B779" s="90" t="s">
        <v>331</v>
      </c>
      <c r="C779" s="90">
        <f>(23.69+1.5*1.8+0.6*1.67)*10.764</f>
        <v>294.847488</v>
      </c>
      <c r="D779" s="91">
        <f t="shared" si="129"/>
        <v>353.81698560000001</v>
      </c>
      <c r="E779" s="90">
        <f>(6.4*1.2+2.7*1.8+4.5*1.2)*10.764</f>
        <v>193.10615999999996</v>
      </c>
      <c r="F779" s="128">
        <f t="shared" si="130"/>
        <v>538.82431199999996</v>
      </c>
      <c r="K779" s="39"/>
    </row>
    <row r="780" spans="1:14" s="39" customFormat="1" ht="15.75" customHeight="1" x14ac:dyDescent="0.3">
      <c r="A780" s="127">
        <v>18</v>
      </c>
      <c r="B780" s="90" t="s">
        <v>331</v>
      </c>
      <c r="C780" s="90">
        <f>(23.69+1.5*1.8+0.6*1.67)*10.764</f>
        <v>294.847488</v>
      </c>
      <c r="D780" s="91">
        <f>C780*1.2</f>
        <v>353.81698560000001</v>
      </c>
      <c r="E780" s="90">
        <f>(6.4*1.2+2.7*1.8+4.5*1.2)*10.764</f>
        <v>193.10615999999996</v>
      </c>
      <c r="F780" s="128">
        <f>C780*(($F$469)+1)+(IF(E780&lt;101,E780,IF(E780&lt;201,E780/2,IF(E780&lt;=301,E780/3,E780/4))))</f>
        <v>538.82431199999996</v>
      </c>
      <c r="G780" s="43"/>
      <c r="H780" s="43"/>
      <c r="K780"/>
    </row>
    <row r="781" spans="1:14" s="39" customFormat="1" ht="15.6" x14ac:dyDescent="0.3">
      <c r="A781" s="127">
        <v>19</v>
      </c>
      <c r="B781" s="90" t="s">
        <v>331</v>
      </c>
      <c r="C781" s="90">
        <f>(23.69+1.5*1.8+0.6*1.67+3.16*0.75)*10.764</f>
        <v>320.35816799999998</v>
      </c>
      <c r="D781" s="91">
        <f t="shared" ref="D781:D785" si="131">C781*1.2</f>
        <v>384.42980159999996</v>
      </c>
      <c r="E781" s="90">
        <f>(1.2*5+1.8*3.5+0.6*1)*10.764</f>
        <v>138.85559999999998</v>
      </c>
      <c r="F781" s="128">
        <f t="shared" ref="F781:F785" si="132">C781*(($F$469)+1)+(IF(E781&lt;101,E781,IF(E781&lt;201,E781/2,IF(E781&lt;=301,E781/3,E781/4))))</f>
        <v>549.96505200000001</v>
      </c>
      <c r="G781" s="157"/>
      <c r="H781" s="157"/>
      <c r="I781" s="40"/>
      <c r="J781" s="54"/>
      <c r="K781"/>
      <c r="L781" s="170"/>
      <c r="M781" s="170"/>
      <c r="N781" s="40"/>
    </row>
    <row r="782" spans="1:14" x14ac:dyDescent="0.3">
      <c r="A782" s="127">
        <v>20</v>
      </c>
      <c r="B782" s="90" t="s">
        <v>331</v>
      </c>
      <c r="C782" s="90">
        <f>(23.69+1.5*1.8+0.6*1.67)*10.764</f>
        <v>294.847488</v>
      </c>
      <c r="D782" s="91">
        <f t="shared" si="131"/>
        <v>353.81698560000001</v>
      </c>
      <c r="E782" s="90">
        <f>(6.4*1.2+2.7*1.8+4.5*1.2)*10.764</f>
        <v>193.10615999999996</v>
      </c>
      <c r="F782" s="128">
        <f t="shared" si="132"/>
        <v>538.82431199999996</v>
      </c>
    </row>
    <row r="783" spans="1:14" x14ac:dyDescent="0.3">
      <c r="A783" s="127">
        <v>21</v>
      </c>
      <c r="B783" s="90" t="s">
        <v>331</v>
      </c>
      <c r="C783" s="90">
        <f>(23.69+1.5*1.8+0.6*1.67+1.2*1.2)*10.764</f>
        <v>310.34764799999999</v>
      </c>
      <c r="D783" s="91">
        <f t="shared" si="131"/>
        <v>372.4171776</v>
      </c>
      <c r="E783" s="90">
        <f>(1.2*5+1.8*2.7)*10.764</f>
        <v>116.89703999999999</v>
      </c>
      <c r="F783" s="128">
        <f t="shared" si="132"/>
        <v>523.96999200000005</v>
      </c>
    </row>
    <row r="784" spans="1:14" ht="15.6" x14ac:dyDescent="0.3">
      <c r="A784" s="127">
        <v>22</v>
      </c>
      <c r="B784" s="90" t="s">
        <v>331</v>
      </c>
      <c r="C784" s="90">
        <f>(23.69+1.5*1.8+0.6*1.67+1.2*1.2)*10.764</f>
        <v>310.34764799999999</v>
      </c>
      <c r="D784" s="91">
        <f t="shared" si="131"/>
        <v>372.4171776</v>
      </c>
      <c r="E784" s="90">
        <f>(1.2*5+1.8*2.7)*10.764</f>
        <v>116.89703999999999</v>
      </c>
      <c r="F784" s="128">
        <f t="shared" si="132"/>
        <v>523.96999200000005</v>
      </c>
      <c r="K784" s="40"/>
    </row>
    <row r="785" spans="1:14" ht="15.6" x14ac:dyDescent="0.3">
      <c r="A785" s="127">
        <v>23</v>
      </c>
      <c r="B785" s="90" t="s">
        <v>331</v>
      </c>
      <c r="C785" s="90">
        <f>(23.69+1.5*1.8+0.6*1.67)*10.764</f>
        <v>294.847488</v>
      </c>
      <c r="D785" s="91">
        <f t="shared" si="131"/>
        <v>353.81698560000001</v>
      </c>
      <c r="E785" s="90">
        <f>(6.4*1.2+2.7*1.8+4.5*1.2)*10.764</f>
        <v>193.10615999999996</v>
      </c>
      <c r="F785" s="128">
        <f t="shared" si="132"/>
        <v>538.82431199999996</v>
      </c>
      <c r="K785" s="39"/>
    </row>
    <row r="786" spans="1:14" x14ac:dyDescent="0.3">
      <c r="A786" s="127">
        <v>24</v>
      </c>
      <c r="B786" s="90" t="s">
        <v>331</v>
      </c>
      <c r="C786" s="90">
        <f>(23.69+1.5*1.8+0.6*1.68+3.16*0.75)*10.764</f>
        <v>320.422752</v>
      </c>
      <c r="D786" s="91">
        <f t="shared" ref="D786:D789" si="133">C786*1.2</f>
        <v>384.50730240000001</v>
      </c>
      <c r="E786" s="90">
        <f>(3.5*1.8+1.5*3.5+1.5*1.2+2.8*1.2)*10.764</f>
        <v>179.86644000000001</v>
      </c>
      <c r="F786" s="128">
        <f t="shared" ref="F786:F789" si="134">C786*(($F$469)+1)+(IF(E786&lt;101,E786,IF(E786&lt;201,E786/2,IF(E786&lt;=301,E786/3,E786/4))))</f>
        <v>570.56734800000004</v>
      </c>
    </row>
    <row r="787" spans="1:14" x14ac:dyDescent="0.3">
      <c r="A787" s="127">
        <v>25</v>
      </c>
      <c r="B787" s="90" t="s">
        <v>331</v>
      </c>
      <c r="C787" s="90">
        <f>(23.69+1.5*1.8+0.6*1.68+3.16*0.75)*10.764</f>
        <v>320.422752</v>
      </c>
      <c r="D787" s="91">
        <f t="shared" si="133"/>
        <v>384.50730240000001</v>
      </c>
      <c r="E787" s="90">
        <f>(3.5*1.8+5*1.2)*10.764</f>
        <v>132.3972</v>
      </c>
      <c r="F787" s="128">
        <f t="shared" si="134"/>
        <v>546.83272800000009</v>
      </c>
    </row>
    <row r="788" spans="1:14" ht="15.6" x14ac:dyDescent="0.3">
      <c r="A788" s="127">
        <v>26</v>
      </c>
      <c r="B788" s="90" t="s">
        <v>331</v>
      </c>
      <c r="C788" s="90">
        <f>(23.69+1.5*1.8+0.6*1.67)*10.764</f>
        <v>294.847488</v>
      </c>
      <c r="D788" s="91">
        <f t="shared" si="133"/>
        <v>353.81698560000001</v>
      </c>
      <c r="E788" s="90">
        <f>(6.4*1.2+2.7*1.8+4.5*1.2)*10.764</f>
        <v>193.10615999999996</v>
      </c>
      <c r="F788" s="128">
        <f t="shared" si="134"/>
        <v>538.82431199999996</v>
      </c>
      <c r="K788" s="40"/>
    </row>
    <row r="789" spans="1:14" ht="15.6" x14ac:dyDescent="0.3">
      <c r="A789" s="127">
        <v>27</v>
      </c>
      <c r="B789" s="90" t="s">
        <v>331</v>
      </c>
      <c r="C789" s="90">
        <f>(23.69+1.5*1.8+0.6*1.67+1.2*1.2)*10.764</f>
        <v>310.34764799999999</v>
      </c>
      <c r="D789" s="91">
        <f t="shared" si="133"/>
        <v>372.4171776</v>
      </c>
      <c r="E789" s="90">
        <f>(1.2*5+1.8*2.7)*10.764</f>
        <v>116.89703999999999</v>
      </c>
      <c r="F789" s="128">
        <f t="shared" si="134"/>
        <v>523.96999200000005</v>
      </c>
      <c r="K789" s="39"/>
    </row>
    <row r="790" spans="1:14" ht="15.6" x14ac:dyDescent="0.3">
      <c r="A790" s="127">
        <v>28</v>
      </c>
      <c r="B790" s="90" t="s">
        <v>331</v>
      </c>
      <c r="C790" s="90">
        <f>(23.69+1.8*(1.5+1.2)+0.6*1.68+3.16*0.75)*10.764</f>
        <v>343.67299199999997</v>
      </c>
      <c r="D790" s="91">
        <f t="shared" ref="D790" si="135">C790*1.2</f>
        <v>412.40759039999995</v>
      </c>
      <c r="E790" s="90">
        <f>(5*1.2)*10.764</f>
        <v>64.584000000000003</v>
      </c>
      <c r="F790" s="128">
        <f t="shared" ref="F790" si="136">C790*(($F$469)+1)+(IF(E790&lt;101,E790,IF(E790&lt;201,E790/2,IF(E790&lt;=301,E790/3,E790/4))))</f>
        <v>580.09348799999998</v>
      </c>
      <c r="K790" s="39"/>
    </row>
    <row r="791" spans="1:14" s="39" customFormat="1" ht="15.75" customHeight="1" x14ac:dyDescent="0.3">
      <c r="A791" s="151" t="s">
        <v>333</v>
      </c>
      <c r="B791" s="152"/>
      <c r="C791" s="152"/>
      <c r="D791" s="152"/>
      <c r="E791" s="152"/>
      <c r="F791" s="153"/>
      <c r="G791" s="43"/>
      <c r="H791" s="43"/>
      <c r="K791" s="40"/>
    </row>
    <row r="792" spans="1:14" s="39" customFormat="1" ht="15.75" customHeight="1" x14ac:dyDescent="0.3">
      <c r="A792" s="127">
        <v>1</v>
      </c>
      <c r="B792" s="90" t="s">
        <v>331</v>
      </c>
      <c r="C792" s="90">
        <f t="shared" ref="C792:C819" si="137">(23.69+1.8*(1.5+1.2)+0.6*1.68+3.16*0.75+1.2*1.2)*10.764</f>
        <v>359.17315200000002</v>
      </c>
      <c r="D792" s="91">
        <f>C792*1.2</f>
        <v>431.0077824</v>
      </c>
      <c r="E792" s="90">
        <v>0</v>
      </c>
      <c r="F792" s="128">
        <f>C792*(($F$469)+1)+(IF(E792&lt;101,E792,IF(E792&lt;201,E792/2,IF(E792&lt;=301,E792/3,E792/4))))</f>
        <v>538.759728</v>
      </c>
      <c r="G792" s="43"/>
      <c r="H792" s="43"/>
      <c r="K792"/>
    </row>
    <row r="793" spans="1:14" s="39" customFormat="1" ht="15.6" x14ac:dyDescent="0.3">
      <c r="A793" s="127">
        <v>2</v>
      </c>
      <c r="B793" s="90" t="s">
        <v>331</v>
      </c>
      <c r="C793" s="90">
        <f t="shared" si="137"/>
        <v>359.17315200000002</v>
      </c>
      <c r="D793" s="91">
        <f t="shared" ref="D793:D797" si="138">C793*1.2</f>
        <v>431.0077824</v>
      </c>
      <c r="E793" s="90">
        <v>0</v>
      </c>
      <c r="F793" s="128">
        <f t="shared" ref="F793:F797" si="139">C793*(($F$469)+1)+(IF(E793&lt;101,E793,IF(E793&lt;201,E793/2,IF(E793&lt;=301,E793/3,E793/4))))</f>
        <v>538.759728</v>
      </c>
      <c r="G793" s="157"/>
      <c r="H793" s="157"/>
      <c r="I793" s="40"/>
      <c r="J793" s="54"/>
      <c r="K793"/>
      <c r="L793" s="170"/>
      <c r="M793" s="170"/>
      <c r="N793" s="40"/>
    </row>
    <row r="794" spans="1:14" x14ac:dyDescent="0.3">
      <c r="A794" s="127">
        <v>3</v>
      </c>
      <c r="B794" s="90" t="s">
        <v>331</v>
      </c>
      <c r="C794" s="90">
        <f t="shared" si="137"/>
        <v>359.17315200000002</v>
      </c>
      <c r="D794" s="91">
        <f t="shared" si="138"/>
        <v>431.0077824</v>
      </c>
      <c r="E794" s="90">
        <v>0</v>
      </c>
      <c r="F794" s="128">
        <f t="shared" si="139"/>
        <v>538.759728</v>
      </c>
    </row>
    <row r="795" spans="1:14" x14ac:dyDescent="0.3">
      <c r="A795" s="127">
        <v>4</v>
      </c>
      <c r="B795" s="90" t="s">
        <v>331</v>
      </c>
      <c r="C795" s="90">
        <f t="shared" si="137"/>
        <v>359.17315200000002</v>
      </c>
      <c r="D795" s="91">
        <f t="shared" si="138"/>
        <v>431.0077824</v>
      </c>
      <c r="E795" s="90">
        <v>0</v>
      </c>
      <c r="F795" s="128">
        <f t="shared" si="139"/>
        <v>538.759728</v>
      </c>
    </row>
    <row r="796" spans="1:14" ht="15.6" x14ac:dyDescent="0.3">
      <c r="A796" s="127">
        <v>5</v>
      </c>
      <c r="B796" s="90" t="s">
        <v>331</v>
      </c>
      <c r="C796" s="90">
        <f t="shared" si="137"/>
        <v>359.17315200000002</v>
      </c>
      <c r="D796" s="91">
        <f t="shared" si="138"/>
        <v>431.0077824</v>
      </c>
      <c r="E796" s="90">
        <v>0</v>
      </c>
      <c r="F796" s="128">
        <f t="shared" si="139"/>
        <v>538.759728</v>
      </c>
      <c r="K796" s="40"/>
    </row>
    <row r="797" spans="1:14" ht="15.6" x14ac:dyDescent="0.3">
      <c r="A797" s="127">
        <v>6</v>
      </c>
      <c r="B797" s="90" t="s">
        <v>331</v>
      </c>
      <c r="C797" s="90">
        <f t="shared" si="137"/>
        <v>359.17315200000002</v>
      </c>
      <c r="D797" s="91">
        <f t="shared" si="138"/>
        <v>431.0077824</v>
      </c>
      <c r="E797" s="90">
        <v>0</v>
      </c>
      <c r="F797" s="128">
        <f t="shared" si="139"/>
        <v>538.759728</v>
      </c>
      <c r="K797" s="39"/>
    </row>
    <row r="798" spans="1:14" s="39" customFormat="1" ht="15.75" customHeight="1" x14ac:dyDescent="0.3">
      <c r="A798" s="127">
        <v>7</v>
      </c>
      <c r="B798" s="90" t="s">
        <v>331</v>
      </c>
      <c r="C798" s="90">
        <f t="shared" si="137"/>
        <v>359.17315200000002</v>
      </c>
      <c r="D798" s="91">
        <f>C798*1.2</f>
        <v>431.0077824</v>
      </c>
      <c r="E798" s="90">
        <v>0</v>
      </c>
      <c r="F798" s="128">
        <f>C798*(($F$469)+1)+(IF(E798&lt;101,E798,IF(E798&lt;201,E798/2,IF(E798&lt;=301,E798/3,E798/4))))</f>
        <v>538.759728</v>
      </c>
      <c r="G798" s="43"/>
      <c r="H798" s="43"/>
      <c r="K798"/>
    </row>
    <row r="799" spans="1:14" s="39" customFormat="1" ht="15.6" x14ac:dyDescent="0.3">
      <c r="A799" s="127">
        <v>8</v>
      </c>
      <c r="B799" s="90" t="s">
        <v>331</v>
      </c>
      <c r="C799" s="90">
        <f t="shared" si="137"/>
        <v>359.17315200000002</v>
      </c>
      <c r="D799" s="91">
        <f t="shared" ref="D799:D808" si="140">C799*1.2</f>
        <v>431.0077824</v>
      </c>
      <c r="E799" s="90">
        <v>0</v>
      </c>
      <c r="F799" s="128">
        <f t="shared" ref="F799:F808" si="141">C799*(($F$469)+1)+(IF(E799&lt;101,E799,IF(E799&lt;201,E799/2,IF(E799&lt;=301,E799/3,E799/4))))</f>
        <v>538.759728</v>
      </c>
      <c r="G799" s="157"/>
      <c r="H799" s="157"/>
      <c r="I799" s="40"/>
      <c r="J799" s="54"/>
      <c r="K799"/>
      <c r="L799" s="170"/>
      <c r="M799" s="170"/>
      <c r="N799" s="40"/>
    </row>
    <row r="800" spans="1:14" x14ac:dyDescent="0.3">
      <c r="A800" s="127">
        <v>9</v>
      </c>
      <c r="B800" s="90" t="s">
        <v>331</v>
      </c>
      <c r="C800" s="90">
        <f t="shared" si="137"/>
        <v>359.17315200000002</v>
      </c>
      <c r="D800" s="91">
        <f t="shared" si="140"/>
        <v>431.0077824</v>
      </c>
      <c r="E800" s="90">
        <v>0</v>
      </c>
      <c r="F800" s="128">
        <f t="shared" si="141"/>
        <v>538.759728</v>
      </c>
    </row>
    <row r="801" spans="1:14" x14ac:dyDescent="0.3">
      <c r="A801" s="127">
        <v>10</v>
      </c>
      <c r="B801" s="90" t="s">
        <v>331</v>
      </c>
      <c r="C801" s="90">
        <f t="shared" si="137"/>
        <v>359.17315200000002</v>
      </c>
      <c r="D801" s="91">
        <f t="shared" si="140"/>
        <v>431.0077824</v>
      </c>
      <c r="E801" s="90">
        <v>0</v>
      </c>
      <c r="F801" s="128">
        <f t="shared" si="141"/>
        <v>538.759728</v>
      </c>
    </row>
    <row r="802" spans="1:14" ht="15.6" x14ac:dyDescent="0.3">
      <c r="A802" s="127">
        <v>11</v>
      </c>
      <c r="B802" s="90" t="s">
        <v>331</v>
      </c>
      <c r="C802" s="90">
        <f t="shared" si="137"/>
        <v>359.17315200000002</v>
      </c>
      <c r="D802" s="91">
        <f t="shared" si="140"/>
        <v>431.0077824</v>
      </c>
      <c r="E802" s="90">
        <v>0</v>
      </c>
      <c r="F802" s="128">
        <f t="shared" si="141"/>
        <v>538.759728</v>
      </c>
      <c r="K802" s="40"/>
    </row>
    <row r="803" spans="1:14" ht="15.6" x14ac:dyDescent="0.3">
      <c r="A803" s="127">
        <v>12</v>
      </c>
      <c r="B803" s="90" t="s">
        <v>331</v>
      </c>
      <c r="C803" s="90">
        <f t="shared" si="137"/>
        <v>359.17315200000002</v>
      </c>
      <c r="D803" s="91">
        <f t="shared" si="140"/>
        <v>431.0077824</v>
      </c>
      <c r="E803" s="90">
        <v>0</v>
      </c>
      <c r="F803" s="128">
        <f t="shared" si="141"/>
        <v>538.759728</v>
      </c>
      <c r="K803" s="39"/>
    </row>
    <row r="804" spans="1:14" s="39" customFormat="1" ht="15.6" x14ac:dyDescent="0.3">
      <c r="A804" s="127">
        <v>13</v>
      </c>
      <c r="B804" s="90" t="s">
        <v>331</v>
      </c>
      <c r="C804" s="90">
        <f t="shared" si="137"/>
        <v>359.17315200000002</v>
      </c>
      <c r="D804" s="91">
        <f t="shared" si="140"/>
        <v>431.0077824</v>
      </c>
      <c r="E804" s="90">
        <v>0</v>
      </c>
      <c r="F804" s="128">
        <f t="shared" si="141"/>
        <v>538.759728</v>
      </c>
      <c r="G804" s="157"/>
      <c r="H804" s="157"/>
      <c r="I804" s="40"/>
      <c r="J804" s="54"/>
      <c r="K804"/>
      <c r="L804" s="170"/>
      <c r="M804" s="170"/>
      <c r="N804" s="40"/>
    </row>
    <row r="805" spans="1:14" x14ac:dyDescent="0.3">
      <c r="A805" s="127">
        <v>14</v>
      </c>
      <c r="B805" s="90" t="s">
        <v>331</v>
      </c>
      <c r="C805" s="90">
        <f t="shared" si="137"/>
        <v>359.17315200000002</v>
      </c>
      <c r="D805" s="91">
        <f t="shared" si="140"/>
        <v>431.0077824</v>
      </c>
      <c r="E805" s="90">
        <v>0</v>
      </c>
      <c r="F805" s="128">
        <f t="shared" si="141"/>
        <v>538.759728</v>
      </c>
    </row>
    <row r="806" spans="1:14" x14ac:dyDescent="0.3">
      <c r="A806" s="127">
        <v>15</v>
      </c>
      <c r="B806" s="90" t="s">
        <v>331</v>
      </c>
      <c r="C806" s="90">
        <f t="shared" si="137"/>
        <v>359.17315200000002</v>
      </c>
      <c r="D806" s="91">
        <f t="shared" si="140"/>
        <v>431.0077824</v>
      </c>
      <c r="E806" s="90">
        <v>0</v>
      </c>
      <c r="F806" s="128">
        <f t="shared" si="141"/>
        <v>538.759728</v>
      </c>
    </row>
    <row r="807" spans="1:14" ht="15.6" x14ac:dyDescent="0.3">
      <c r="A807" s="127">
        <v>16</v>
      </c>
      <c r="B807" s="90" t="s">
        <v>331</v>
      </c>
      <c r="C807" s="90">
        <f t="shared" si="137"/>
        <v>359.17315200000002</v>
      </c>
      <c r="D807" s="91">
        <f t="shared" si="140"/>
        <v>431.0077824</v>
      </c>
      <c r="E807" s="90">
        <v>0</v>
      </c>
      <c r="F807" s="128">
        <f t="shared" si="141"/>
        <v>538.759728</v>
      </c>
      <c r="K807" s="40"/>
    </row>
    <row r="808" spans="1:14" ht="15.6" x14ac:dyDescent="0.3">
      <c r="A808" s="127">
        <v>17</v>
      </c>
      <c r="B808" s="90" t="s">
        <v>331</v>
      </c>
      <c r="C808" s="90">
        <f t="shared" si="137"/>
        <v>359.17315200000002</v>
      </c>
      <c r="D808" s="91">
        <f t="shared" si="140"/>
        <v>431.0077824</v>
      </c>
      <c r="E808" s="90">
        <v>0</v>
      </c>
      <c r="F808" s="128">
        <f t="shared" si="141"/>
        <v>538.759728</v>
      </c>
      <c r="K808" s="39"/>
    </row>
    <row r="809" spans="1:14" s="39" customFormat="1" ht="15.75" customHeight="1" x14ac:dyDescent="0.3">
      <c r="A809" s="127">
        <v>18</v>
      </c>
      <c r="B809" s="90" t="s">
        <v>331</v>
      </c>
      <c r="C809" s="90">
        <f t="shared" si="137"/>
        <v>359.17315200000002</v>
      </c>
      <c r="D809" s="91">
        <f>C809*1.2</f>
        <v>431.0077824</v>
      </c>
      <c r="E809" s="90">
        <v>0</v>
      </c>
      <c r="F809" s="128">
        <f>C809*(($F$469)+1)+(IF(E809&lt;101,E809,IF(E809&lt;201,E809/2,IF(E809&lt;=301,E809/3,E809/4))))</f>
        <v>538.759728</v>
      </c>
      <c r="G809" s="43"/>
      <c r="H809" s="43"/>
      <c r="K809"/>
    </row>
    <row r="810" spans="1:14" s="39" customFormat="1" ht="15.6" x14ac:dyDescent="0.3">
      <c r="A810" s="127">
        <v>19</v>
      </c>
      <c r="B810" s="90" t="s">
        <v>331</v>
      </c>
      <c r="C810" s="90">
        <f t="shared" si="137"/>
        <v>359.17315200000002</v>
      </c>
      <c r="D810" s="91">
        <f t="shared" ref="D810:D819" si="142">C810*1.2</f>
        <v>431.0077824</v>
      </c>
      <c r="E810" s="90">
        <v>0</v>
      </c>
      <c r="F810" s="128">
        <f t="shared" ref="F810:F819" si="143">C810*(($F$469)+1)+(IF(E810&lt;101,E810,IF(E810&lt;201,E810/2,IF(E810&lt;=301,E810/3,E810/4))))</f>
        <v>538.759728</v>
      </c>
      <c r="G810" s="157"/>
      <c r="H810" s="157"/>
      <c r="I810" s="40"/>
      <c r="J810" s="54"/>
      <c r="K810"/>
      <c r="L810" s="170"/>
      <c r="M810" s="170"/>
      <c r="N810" s="40"/>
    </row>
    <row r="811" spans="1:14" x14ac:dyDescent="0.3">
      <c r="A811" s="127">
        <v>20</v>
      </c>
      <c r="B811" s="90" t="s">
        <v>331</v>
      </c>
      <c r="C811" s="90">
        <f t="shared" si="137"/>
        <v>359.17315200000002</v>
      </c>
      <c r="D811" s="91">
        <f t="shared" si="142"/>
        <v>431.0077824</v>
      </c>
      <c r="E811" s="90">
        <v>0</v>
      </c>
      <c r="F811" s="128">
        <f t="shared" si="143"/>
        <v>538.759728</v>
      </c>
    </row>
    <row r="812" spans="1:14" x14ac:dyDescent="0.3">
      <c r="A812" s="127">
        <v>21</v>
      </c>
      <c r="B812" s="90" t="s">
        <v>331</v>
      </c>
      <c r="C812" s="90">
        <f t="shared" si="137"/>
        <v>359.17315200000002</v>
      </c>
      <c r="D812" s="91">
        <f t="shared" si="142"/>
        <v>431.0077824</v>
      </c>
      <c r="E812" s="90">
        <v>0</v>
      </c>
      <c r="F812" s="128">
        <f t="shared" si="143"/>
        <v>538.759728</v>
      </c>
    </row>
    <row r="813" spans="1:14" ht="15.6" x14ac:dyDescent="0.3">
      <c r="A813" s="127">
        <v>22</v>
      </c>
      <c r="B813" s="90" t="s">
        <v>331</v>
      </c>
      <c r="C813" s="90">
        <f t="shared" si="137"/>
        <v>359.17315200000002</v>
      </c>
      <c r="D813" s="91">
        <f t="shared" si="142"/>
        <v>431.0077824</v>
      </c>
      <c r="E813" s="90">
        <v>0</v>
      </c>
      <c r="F813" s="128">
        <f t="shared" si="143"/>
        <v>538.759728</v>
      </c>
      <c r="K813" s="40"/>
    </row>
    <row r="814" spans="1:14" ht="15.6" x14ac:dyDescent="0.3">
      <c r="A814" s="127">
        <v>23</v>
      </c>
      <c r="B814" s="90" t="s">
        <v>331</v>
      </c>
      <c r="C814" s="90">
        <f t="shared" si="137"/>
        <v>359.17315200000002</v>
      </c>
      <c r="D814" s="91">
        <f t="shared" si="142"/>
        <v>431.0077824</v>
      </c>
      <c r="E814" s="90">
        <v>0</v>
      </c>
      <c r="F814" s="128">
        <f t="shared" si="143"/>
        <v>538.759728</v>
      </c>
      <c r="K814" s="39"/>
    </row>
    <row r="815" spans="1:14" x14ac:dyDescent="0.3">
      <c r="A815" s="127">
        <v>24</v>
      </c>
      <c r="B815" s="90" t="s">
        <v>331</v>
      </c>
      <c r="C815" s="90">
        <f t="shared" si="137"/>
        <v>359.17315200000002</v>
      </c>
      <c r="D815" s="91">
        <f t="shared" si="142"/>
        <v>431.0077824</v>
      </c>
      <c r="E815" s="90">
        <v>0</v>
      </c>
      <c r="F815" s="128">
        <f t="shared" si="143"/>
        <v>538.759728</v>
      </c>
    </row>
    <row r="816" spans="1:14" x14ac:dyDescent="0.3">
      <c r="A816" s="127">
        <v>25</v>
      </c>
      <c r="B816" s="90" t="s">
        <v>331</v>
      </c>
      <c r="C816" s="90">
        <f t="shared" si="137"/>
        <v>359.17315200000002</v>
      </c>
      <c r="D816" s="91">
        <f t="shared" si="142"/>
        <v>431.0077824</v>
      </c>
      <c r="E816" s="90">
        <v>0</v>
      </c>
      <c r="F816" s="128">
        <f t="shared" si="143"/>
        <v>538.759728</v>
      </c>
    </row>
    <row r="817" spans="1:14" ht="15.6" x14ac:dyDescent="0.3">
      <c r="A817" s="127">
        <v>26</v>
      </c>
      <c r="B817" s="90" t="s">
        <v>331</v>
      </c>
      <c r="C817" s="90">
        <f t="shared" si="137"/>
        <v>359.17315200000002</v>
      </c>
      <c r="D817" s="91">
        <f t="shared" si="142"/>
        <v>431.0077824</v>
      </c>
      <c r="E817" s="90">
        <v>0</v>
      </c>
      <c r="F817" s="128">
        <f t="shared" si="143"/>
        <v>538.759728</v>
      </c>
      <c r="K817" s="40"/>
    </row>
    <row r="818" spans="1:14" ht="15.6" x14ac:dyDescent="0.3">
      <c r="A818" s="127">
        <v>27</v>
      </c>
      <c r="B818" s="90" t="s">
        <v>331</v>
      </c>
      <c r="C818" s="90">
        <f t="shared" si="137"/>
        <v>359.17315200000002</v>
      </c>
      <c r="D818" s="91">
        <f t="shared" si="142"/>
        <v>431.0077824</v>
      </c>
      <c r="E818" s="90">
        <v>0</v>
      </c>
      <c r="F818" s="128">
        <f t="shared" si="143"/>
        <v>538.759728</v>
      </c>
      <c r="K818" s="39"/>
    </row>
    <row r="819" spans="1:14" ht="15.6" x14ac:dyDescent="0.3">
      <c r="A819" s="127">
        <v>28</v>
      </c>
      <c r="B819" s="90" t="s">
        <v>331</v>
      </c>
      <c r="C819" s="90">
        <f t="shared" si="137"/>
        <v>359.17315200000002</v>
      </c>
      <c r="D819" s="91">
        <f t="shared" si="142"/>
        <v>431.0077824</v>
      </c>
      <c r="E819" s="90">
        <v>0</v>
      </c>
      <c r="F819" s="128">
        <f t="shared" si="143"/>
        <v>538.759728</v>
      </c>
      <c r="K819" s="39"/>
    </row>
    <row r="820" spans="1:14" s="39" customFormat="1" ht="15.75" customHeight="1" x14ac:dyDescent="0.3">
      <c r="A820" s="151" t="s">
        <v>334</v>
      </c>
      <c r="B820" s="152"/>
      <c r="C820" s="152"/>
      <c r="D820" s="152"/>
      <c r="E820" s="152"/>
      <c r="F820" s="153"/>
      <c r="G820" s="43"/>
      <c r="H820" s="43"/>
      <c r="K820" s="40"/>
    </row>
    <row r="821" spans="1:14" s="39" customFormat="1" ht="15.75" customHeight="1" x14ac:dyDescent="0.3">
      <c r="A821" s="127">
        <v>1</v>
      </c>
      <c r="B821" s="90" t="s">
        <v>331</v>
      </c>
      <c r="C821" s="90">
        <f t="shared" ref="C821:C832" si="144">(23.69+1.8*(1.5+1.2)+0.6*1.68+3.16*0.75+1.2*1.2)*10.764</f>
        <v>359.17315200000002</v>
      </c>
      <c r="D821" s="91">
        <f>C821*1.2</f>
        <v>431.0077824</v>
      </c>
      <c r="E821" s="90">
        <v>0</v>
      </c>
      <c r="F821" s="128">
        <f>C821*(($F$469)+1)+(IF(E821&lt;101,E821,IF(E821&lt;201,E821/2,IF(E821&lt;=301,E821/3,E821/4))))</f>
        <v>538.759728</v>
      </c>
      <c r="G821" s="43"/>
      <c r="H821" s="43"/>
      <c r="K821"/>
    </row>
    <row r="822" spans="1:14" s="39" customFormat="1" ht="15.6" x14ac:dyDescent="0.3">
      <c r="A822" s="127">
        <v>2</v>
      </c>
      <c r="B822" s="90" t="s">
        <v>331</v>
      </c>
      <c r="C822" s="90">
        <f t="shared" si="144"/>
        <v>359.17315200000002</v>
      </c>
      <c r="D822" s="91">
        <f t="shared" ref="D822:D826" si="145">C822*1.2</f>
        <v>431.0077824</v>
      </c>
      <c r="E822" s="90">
        <v>0</v>
      </c>
      <c r="F822" s="128">
        <f t="shared" ref="F822:F826" si="146">C822*(($F$469)+1)+(IF(E822&lt;101,E822,IF(E822&lt;201,E822/2,IF(E822&lt;=301,E822/3,E822/4))))</f>
        <v>538.759728</v>
      </c>
      <c r="G822" s="157"/>
      <c r="H822" s="157"/>
      <c r="I822" s="40"/>
      <c r="J822" s="54"/>
      <c r="K822"/>
      <c r="L822" s="170"/>
      <c r="M822" s="170"/>
      <c r="N822" s="40"/>
    </row>
    <row r="823" spans="1:14" x14ac:dyDescent="0.3">
      <c r="A823" s="127">
        <v>3</v>
      </c>
      <c r="B823" s="90" t="s">
        <v>331</v>
      </c>
      <c r="C823" s="90">
        <f t="shared" si="144"/>
        <v>359.17315200000002</v>
      </c>
      <c r="D823" s="91">
        <f t="shared" si="145"/>
        <v>431.0077824</v>
      </c>
      <c r="E823" s="90">
        <v>0</v>
      </c>
      <c r="F823" s="128">
        <f t="shared" si="146"/>
        <v>538.759728</v>
      </c>
    </row>
    <row r="824" spans="1:14" x14ac:dyDescent="0.3">
      <c r="A824" s="127">
        <v>4</v>
      </c>
      <c r="B824" s="90" t="s">
        <v>331</v>
      </c>
      <c r="C824" s="90">
        <f t="shared" si="144"/>
        <v>359.17315200000002</v>
      </c>
      <c r="D824" s="91">
        <f t="shared" si="145"/>
        <v>431.0077824</v>
      </c>
      <c r="E824" s="90">
        <v>0</v>
      </c>
      <c r="F824" s="128">
        <f t="shared" si="146"/>
        <v>538.759728</v>
      </c>
    </row>
    <row r="825" spans="1:14" ht="15.6" x14ac:dyDescent="0.3">
      <c r="A825" s="127">
        <v>5</v>
      </c>
      <c r="B825" s="90" t="s">
        <v>331</v>
      </c>
      <c r="C825" s="90">
        <f t="shared" si="144"/>
        <v>359.17315200000002</v>
      </c>
      <c r="D825" s="91">
        <f t="shared" si="145"/>
        <v>431.0077824</v>
      </c>
      <c r="E825" s="90">
        <v>0</v>
      </c>
      <c r="F825" s="128">
        <f t="shared" si="146"/>
        <v>538.759728</v>
      </c>
      <c r="K825" s="40"/>
    </row>
    <row r="826" spans="1:14" ht="15.6" x14ac:dyDescent="0.3">
      <c r="A826" s="127">
        <v>6</v>
      </c>
      <c r="B826" s="90" t="s">
        <v>331</v>
      </c>
      <c r="C826" s="90">
        <f t="shared" si="144"/>
        <v>359.17315200000002</v>
      </c>
      <c r="D826" s="91">
        <f t="shared" si="145"/>
        <v>431.0077824</v>
      </c>
      <c r="E826" s="90">
        <v>0</v>
      </c>
      <c r="F826" s="128">
        <f t="shared" si="146"/>
        <v>538.759728</v>
      </c>
      <c r="K826" s="39"/>
    </row>
    <row r="827" spans="1:14" s="39" customFormat="1" ht="15.75" customHeight="1" x14ac:dyDescent="0.3">
      <c r="A827" s="127">
        <v>7</v>
      </c>
      <c r="B827" s="90" t="s">
        <v>331</v>
      </c>
      <c r="C827" s="90">
        <f t="shared" si="144"/>
        <v>359.17315200000002</v>
      </c>
      <c r="D827" s="91">
        <f>C827*1.2</f>
        <v>431.0077824</v>
      </c>
      <c r="E827" s="90">
        <v>0</v>
      </c>
      <c r="F827" s="128">
        <f>C827*(($F$469)+1)+(IF(E827&lt;101,E827,IF(E827&lt;201,E827/2,IF(E827&lt;=301,E827/3,E827/4))))</f>
        <v>538.759728</v>
      </c>
      <c r="G827" s="43"/>
      <c r="H827" s="43"/>
      <c r="K827"/>
    </row>
    <row r="828" spans="1:14" s="39" customFormat="1" ht="15.6" x14ac:dyDescent="0.3">
      <c r="A828" s="127">
        <v>8</v>
      </c>
      <c r="B828" s="90" t="s">
        <v>331</v>
      </c>
      <c r="C828" s="90">
        <f t="shared" si="144"/>
        <v>359.17315200000002</v>
      </c>
      <c r="D828" s="91">
        <f t="shared" ref="D828:D837" si="147">C828*1.2</f>
        <v>431.0077824</v>
      </c>
      <c r="E828" s="90">
        <v>0</v>
      </c>
      <c r="F828" s="128">
        <f t="shared" ref="F828:F837" si="148">C828*(($F$469)+1)+(IF(E828&lt;101,E828,IF(E828&lt;201,E828/2,IF(E828&lt;=301,E828/3,E828/4))))</f>
        <v>538.759728</v>
      </c>
      <c r="G828" s="157"/>
      <c r="H828" s="157"/>
      <c r="I828" s="40"/>
      <c r="J828" s="54"/>
      <c r="K828"/>
      <c r="L828" s="170"/>
      <c r="M828" s="170"/>
      <c r="N828" s="40"/>
    </row>
    <row r="829" spans="1:14" x14ac:dyDescent="0.3">
      <c r="A829" s="127">
        <v>9</v>
      </c>
      <c r="B829" s="90" t="s">
        <v>331</v>
      </c>
      <c r="C829" s="90">
        <f t="shared" si="144"/>
        <v>359.17315200000002</v>
      </c>
      <c r="D829" s="91">
        <f t="shared" si="147"/>
        <v>431.0077824</v>
      </c>
      <c r="E829" s="90">
        <v>0</v>
      </c>
      <c r="F829" s="128">
        <f t="shared" si="148"/>
        <v>538.759728</v>
      </c>
    </row>
    <row r="830" spans="1:14" x14ac:dyDescent="0.3">
      <c r="A830" s="127">
        <v>10</v>
      </c>
      <c r="B830" s="90" t="s">
        <v>331</v>
      </c>
      <c r="C830" s="90">
        <f t="shared" si="144"/>
        <v>359.17315200000002</v>
      </c>
      <c r="D830" s="91">
        <f t="shared" si="147"/>
        <v>431.0077824</v>
      </c>
      <c r="E830" s="90">
        <v>0</v>
      </c>
      <c r="F830" s="128">
        <f t="shared" si="148"/>
        <v>538.759728</v>
      </c>
    </row>
    <row r="831" spans="1:14" ht="15.6" x14ac:dyDescent="0.3">
      <c r="A831" s="127">
        <v>11</v>
      </c>
      <c r="B831" s="90" t="s">
        <v>331</v>
      </c>
      <c r="C831" s="90">
        <f t="shared" si="144"/>
        <v>359.17315200000002</v>
      </c>
      <c r="D831" s="91">
        <f t="shared" si="147"/>
        <v>431.0077824</v>
      </c>
      <c r="E831" s="90">
        <v>0</v>
      </c>
      <c r="F831" s="128">
        <f t="shared" si="148"/>
        <v>538.759728</v>
      </c>
      <c r="K831" s="40"/>
    </row>
    <row r="832" spans="1:14" ht="15.6" x14ac:dyDescent="0.3">
      <c r="A832" s="127">
        <v>12</v>
      </c>
      <c r="B832" s="90" t="s">
        <v>331</v>
      </c>
      <c r="C832" s="90">
        <f t="shared" si="144"/>
        <v>359.17315200000002</v>
      </c>
      <c r="D832" s="91">
        <f t="shared" si="147"/>
        <v>431.0077824</v>
      </c>
      <c r="E832" s="90">
        <v>0</v>
      </c>
      <c r="F832" s="128">
        <f t="shared" si="148"/>
        <v>538.759728</v>
      </c>
      <c r="K832" s="39"/>
    </row>
    <row r="833" spans="1:14" s="39" customFormat="1" ht="15.6" x14ac:dyDescent="0.3">
      <c r="A833" s="127">
        <v>13</v>
      </c>
      <c r="B833" s="159" t="s">
        <v>335</v>
      </c>
      <c r="C833" s="160"/>
      <c r="D833" s="160"/>
      <c r="E833" s="161"/>
      <c r="F833" s="128">
        <f t="shared" si="148"/>
        <v>0</v>
      </c>
      <c r="G833" s="157"/>
      <c r="H833" s="157"/>
      <c r="I833" s="40"/>
      <c r="J833" s="54"/>
      <c r="K833"/>
      <c r="L833" s="170"/>
      <c r="M833" s="170"/>
      <c r="N833" s="40"/>
    </row>
    <row r="834" spans="1:14" x14ac:dyDescent="0.3">
      <c r="A834" s="127">
        <v>14</v>
      </c>
      <c r="B834" s="162"/>
      <c r="C834" s="163"/>
      <c r="D834" s="163"/>
      <c r="E834" s="164"/>
      <c r="F834" s="128">
        <f t="shared" si="148"/>
        <v>0</v>
      </c>
    </row>
    <row r="835" spans="1:14" x14ac:dyDescent="0.3">
      <c r="A835" s="127">
        <v>15</v>
      </c>
      <c r="B835" s="165"/>
      <c r="C835" s="166"/>
      <c r="D835" s="166"/>
      <c r="E835" s="167"/>
      <c r="F835" s="128">
        <f t="shared" si="148"/>
        <v>0</v>
      </c>
    </row>
    <row r="836" spans="1:14" ht="15.6" x14ac:dyDescent="0.3">
      <c r="A836" s="127">
        <v>16</v>
      </c>
      <c r="B836" s="90" t="s">
        <v>331</v>
      </c>
      <c r="C836" s="90">
        <f t="shared" ref="C836:C848" si="149">(23.69+1.8*(1.5+1.2)+0.6*1.68+3.16*0.75+1.2*1.2)*10.764</f>
        <v>359.17315200000002</v>
      </c>
      <c r="D836" s="91">
        <f t="shared" si="147"/>
        <v>431.0077824</v>
      </c>
      <c r="E836" s="90">
        <v>0</v>
      </c>
      <c r="F836" s="128">
        <f t="shared" si="148"/>
        <v>538.759728</v>
      </c>
      <c r="K836" s="40"/>
    </row>
    <row r="837" spans="1:14" ht="15.6" x14ac:dyDescent="0.3">
      <c r="A837" s="127">
        <v>17</v>
      </c>
      <c r="B837" s="90" t="s">
        <v>331</v>
      </c>
      <c r="C837" s="90">
        <f t="shared" si="149"/>
        <v>359.17315200000002</v>
      </c>
      <c r="D837" s="91">
        <f t="shared" si="147"/>
        <v>431.0077824</v>
      </c>
      <c r="E837" s="90">
        <v>0</v>
      </c>
      <c r="F837" s="128">
        <f t="shared" si="148"/>
        <v>538.759728</v>
      </c>
      <c r="K837" s="39"/>
    </row>
    <row r="838" spans="1:14" s="39" customFormat="1" ht="15.75" customHeight="1" x14ac:dyDescent="0.3">
      <c r="A838" s="127">
        <v>18</v>
      </c>
      <c r="B838" s="90" t="s">
        <v>331</v>
      </c>
      <c r="C838" s="90">
        <f t="shared" si="149"/>
        <v>359.17315200000002</v>
      </c>
      <c r="D838" s="91">
        <f>C838*1.2</f>
        <v>431.0077824</v>
      </c>
      <c r="E838" s="90">
        <v>0</v>
      </c>
      <c r="F838" s="128">
        <f>C838*(($F$469)+1)+(IF(E838&lt;101,E838,IF(E838&lt;201,E838/2,IF(E838&lt;=301,E838/3,E838/4))))</f>
        <v>538.759728</v>
      </c>
      <c r="G838" s="43"/>
      <c r="H838" s="43"/>
      <c r="K838"/>
    </row>
    <row r="839" spans="1:14" s="39" customFormat="1" ht="15.6" x14ac:dyDescent="0.3">
      <c r="A839" s="127">
        <v>19</v>
      </c>
      <c r="B839" s="90" t="s">
        <v>331</v>
      </c>
      <c r="C839" s="90">
        <f t="shared" si="149"/>
        <v>359.17315200000002</v>
      </c>
      <c r="D839" s="91">
        <f t="shared" ref="D839:D848" si="150">C839*1.2</f>
        <v>431.0077824</v>
      </c>
      <c r="E839" s="90">
        <v>0</v>
      </c>
      <c r="F839" s="128">
        <f t="shared" ref="F839:F848" si="151">C839*(($F$469)+1)+(IF(E839&lt;101,E839,IF(E839&lt;201,E839/2,IF(E839&lt;=301,E839/3,E839/4))))</f>
        <v>538.759728</v>
      </c>
      <c r="G839" s="157"/>
      <c r="H839" s="157"/>
      <c r="I839" s="40"/>
      <c r="J839" s="54"/>
      <c r="K839"/>
      <c r="L839" s="170"/>
      <c r="M839" s="170"/>
      <c r="N839" s="40"/>
    </row>
    <row r="840" spans="1:14" x14ac:dyDescent="0.3">
      <c r="A840" s="127">
        <v>20</v>
      </c>
      <c r="B840" s="90" t="s">
        <v>331</v>
      </c>
      <c r="C840" s="90">
        <f t="shared" si="149"/>
        <v>359.17315200000002</v>
      </c>
      <c r="D840" s="91">
        <f t="shared" si="150"/>
        <v>431.0077824</v>
      </c>
      <c r="E840" s="90">
        <v>0</v>
      </c>
      <c r="F840" s="128">
        <f t="shared" si="151"/>
        <v>538.759728</v>
      </c>
    </row>
    <row r="841" spans="1:14" x14ac:dyDescent="0.3">
      <c r="A841" s="127">
        <v>21</v>
      </c>
      <c r="B841" s="90" t="s">
        <v>331</v>
      </c>
      <c r="C841" s="90">
        <f t="shared" si="149"/>
        <v>359.17315200000002</v>
      </c>
      <c r="D841" s="91">
        <f t="shared" si="150"/>
        <v>431.0077824</v>
      </c>
      <c r="E841" s="90">
        <v>0</v>
      </c>
      <c r="F841" s="128">
        <f t="shared" si="151"/>
        <v>538.759728</v>
      </c>
    </row>
    <row r="842" spans="1:14" ht="15.6" x14ac:dyDescent="0.3">
      <c r="A842" s="127">
        <v>22</v>
      </c>
      <c r="B842" s="90" t="s">
        <v>331</v>
      </c>
      <c r="C842" s="90">
        <f t="shared" si="149"/>
        <v>359.17315200000002</v>
      </c>
      <c r="D842" s="91">
        <f t="shared" si="150"/>
        <v>431.0077824</v>
      </c>
      <c r="E842" s="90">
        <v>0</v>
      </c>
      <c r="F842" s="128">
        <f t="shared" si="151"/>
        <v>538.759728</v>
      </c>
      <c r="K842" s="40"/>
    </row>
    <row r="843" spans="1:14" ht="15.6" x14ac:dyDescent="0.3">
      <c r="A843" s="127">
        <v>23</v>
      </c>
      <c r="B843" s="90" t="s">
        <v>331</v>
      </c>
      <c r="C843" s="90">
        <f t="shared" si="149"/>
        <v>359.17315200000002</v>
      </c>
      <c r="D843" s="91">
        <f t="shared" si="150"/>
        <v>431.0077824</v>
      </c>
      <c r="E843" s="90">
        <v>0</v>
      </c>
      <c r="F843" s="128">
        <f t="shared" si="151"/>
        <v>538.759728</v>
      </c>
      <c r="K843" s="39"/>
    </row>
    <row r="844" spans="1:14" x14ac:dyDescent="0.3">
      <c r="A844" s="127">
        <v>24</v>
      </c>
      <c r="B844" s="90" t="s">
        <v>331</v>
      </c>
      <c r="C844" s="90">
        <f t="shared" si="149"/>
        <v>359.17315200000002</v>
      </c>
      <c r="D844" s="91">
        <f t="shared" si="150"/>
        <v>431.0077824</v>
      </c>
      <c r="E844" s="90">
        <v>0</v>
      </c>
      <c r="F844" s="128">
        <f t="shared" si="151"/>
        <v>538.759728</v>
      </c>
    </row>
    <row r="845" spans="1:14" x14ac:dyDescent="0.3">
      <c r="A845" s="127">
        <v>25</v>
      </c>
      <c r="B845" s="90" t="s">
        <v>331</v>
      </c>
      <c r="C845" s="90">
        <f t="shared" si="149"/>
        <v>359.17315200000002</v>
      </c>
      <c r="D845" s="91">
        <f t="shared" si="150"/>
        <v>431.0077824</v>
      </c>
      <c r="E845" s="90">
        <v>0</v>
      </c>
      <c r="F845" s="128">
        <f t="shared" si="151"/>
        <v>538.759728</v>
      </c>
    </row>
    <row r="846" spans="1:14" ht="15.6" x14ac:dyDescent="0.3">
      <c r="A846" s="127">
        <v>26</v>
      </c>
      <c r="B846" s="90" t="s">
        <v>331</v>
      </c>
      <c r="C846" s="90">
        <f t="shared" si="149"/>
        <v>359.17315200000002</v>
      </c>
      <c r="D846" s="91">
        <f t="shared" si="150"/>
        <v>431.0077824</v>
      </c>
      <c r="E846" s="90">
        <v>0</v>
      </c>
      <c r="F846" s="128">
        <f t="shared" si="151"/>
        <v>538.759728</v>
      </c>
      <c r="K846" s="40"/>
    </row>
    <row r="847" spans="1:14" ht="15.6" x14ac:dyDescent="0.3">
      <c r="A847" s="127">
        <v>27</v>
      </c>
      <c r="B847" s="90" t="s">
        <v>331</v>
      </c>
      <c r="C847" s="90">
        <f t="shared" si="149"/>
        <v>359.17315200000002</v>
      </c>
      <c r="D847" s="91">
        <f t="shared" si="150"/>
        <v>431.0077824</v>
      </c>
      <c r="E847" s="90">
        <v>0</v>
      </c>
      <c r="F847" s="128">
        <f t="shared" si="151"/>
        <v>538.759728</v>
      </c>
      <c r="K847" s="39"/>
    </row>
    <row r="848" spans="1:14" ht="15.6" x14ac:dyDescent="0.3">
      <c r="A848" s="127">
        <v>28</v>
      </c>
      <c r="B848" s="90" t="s">
        <v>331</v>
      </c>
      <c r="C848" s="90">
        <f t="shared" si="149"/>
        <v>359.17315200000002</v>
      </c>
      <c r="D848" s="91">
        <f t="shared" si="150"/>
        <v>431.0077824</v>
      </c>
      <c r="E848" s="90">
        <v>0</v>
      </c>
      <c r="F848" s="128">
        <f t="shared" si="151"/>
        <v>538.759728</v>
      </c>
      <c r="K848" s="39"/>
    </row>
    <row r="849" spans="1:14" s="37" customFormat="1" ht="15.6" x14ac:dyDescent="0.3">
      <c r="A849" s="151" t="s">
        <v>377</v>
      </c>
      <c r="B849" s="152"/>
      <c r="C849" s="152"/>
      <c r="D849" s="152"/>
      <c r="E849" s="152"/>
      <c r="F849" s="153"/>
      <c r="G849" s="158"/>
      <c r="H849" s="158"/>
      <c r="I849" s="158"/>
      <c r="J849" s="158"/>
      <c r="K849" s="158"/>
    </row>
    <row r="850" spans="1:14" s="39" customFormat="1" ht="15.75" customHeight="1" x14ac:dyDescent="0.3">
      <c r="A850" s="151" t="s">
        <v>332</v>
      </c>
      <c r="B850" s="152"/>
      <c r="C850" s="152"/>
      <c r="D850" s="152"/>
      <c r="E850" s="152"/>
      <c r="F850" s="153"/>
      <c r="G850" s="43"/>
      <c r="H850" s="43"/>
      <c r="K850" s="40"/>
    </row>
    <row r="851" spans="1:14" s="39" customFormat="1" ht="15.75" customHeight="1" x14ac:dyDescent="0.3">
      <c r="A851" s="127">
        <v>1</v>
      </c>
      <c r="B851" s="90" t="s">
        <v>331</v>
      </c>
      <c r="C851" s="90">
        <f>(23.69+1.8*(1.5+1.2)+0.6*1.68+3.16*0.75)*10.764</f>
        <v>343.67299199999997</v>
      </c>
      <c r="D851" s="91">
        <f>C851*1.2</f>
        <v>412.40759039999995</v>
      </c>
      <c r="E851" s="90">
        <f>(5*1.2)*10.764</f>
        <v>64.584000000000003</v>
      </c>
      <c r="F851" s="128">
        <f>C851*(($F$469)+1)+(IF(E851&lt;101,E851,IF(E851&lt;201,E851/2,IF(E851&lt;=301,E851/3,E851/4))))</f>
        <v>580.09348799999998</v>
      </c>
      <c r="G851" s="43"/>
      <c r="H851" s="43"/>
      <c r="K851"/>
    </row>
    <row r="852" spans="1:14" s="39" customFormat="1" ht="15.6" x14ac:dyDescent="0.3">
      <c r="A852" s="127">
        <v>2</v>
      </c>
      <c r="B852" s="90" t="s">
        <v>331</v>
      </c>
      <c r="C852" s="90">
        <f>(23.69+1.8*(1.5)+0.6*1.68+3.16*0.75+1.2*1.2)*10.764</f>
        <v>335.922912</v>
      </c>
      <c r="D852" s="91">
        <f t="shared" ref="D852:D856" si="152">C852*1.2</f>
        <v>403.10749440000001</v>
      </c>
      <c r="E852" s="90">
        <f>(3.5*1.8)*10.764</f>
        <v>67.813199999999995</v>
      </c>
      <c r="F852" s="128">
        <f t="shared" ref="F852:F856" si="153">C852*(($F$469)+1)+(IF(E852&lt;101,E852,IF(E852&lt;201,E852/2,IF(E852&lt;=301,E852/3,E852/4))))</f>
        <v>571.69756800000005</v>
      </c>
      <c r="G852" s="157"/>
      <c r="H852" s="157"/>
      <c r="I852" s="40"/>
      <c r="J852" s="54"/>
      <c r="K852"/>
      <c r="L852" s="170"/>
      <c r="M852" s="170"/>
      <c r="N852" s="40"/>
    </row>
    <row r="853" spans="1:14" x14ac:dyDescent="0.3">
      <c r="A853" s="127">
        <v>3</v>
      </c>
      <c r="B853" s="90" t="s">
        <v>331</v>
      </c>
      <c r="C853" s="90">
        <f>(23.69+1.8*(1.5)+0.6*1.68+3.16*0.75+1.2*1.2)*10.764</f>
        <v>335.922912</v>
      </c>
      <c r="D853" s="91">
        <f t="shared" si="152"/>
        <v>403.10749440000001</v>
      </c>
      <c r="E853" s="90">
        <f>(3.5*1.8)*10.764</f>
        <v>67.813199999999995</v>
      </c>
      <c r="F853" s="128">
        <f t="shared" si="153"/>
        <v>571.69756800000005</v>
      </c>
    </row>
    <row r="854" spans="1:14" x14ac:dyDescent="0.3">
      <c r="A854" s="127">
        <v>4</v>
      </c>
      <c r="B854" s="90" t="s">
        <v>331</v>
      </c>
      <c r="C854" s="90">
        <f>(23.69+1.8*(1.5)+0.6*1.68+3.16*0.75)*10.764</f>
        <v>320.422752</v>
      </c>
      <c r="D854" s="91">
        <f t="shared" si="152"/>
        <v>384.50730240000001</v>
      </c>
      <c r="E854" s="90">
        <f>(1.2*5+3.5*1.8)*10.764</f>
        <v>132.3972</v>
      </c>
      <c r="F854" s="128">
        <f t="shared" si="153"/>
        <v>546.83272800000009</v>
      </c>
    </row>
    <row r="855" spans="1:14" ht="15.6" x14ac:dyDescent="0.3">
      <c r="A855" s="127">
        <v>5</v>
      </c>
      <c r="B855" s="90" t="s">
        <v>331</v>
      </c>
      <c r="C855" s="90">
        <f>(23.69+1.8*(1.5)+0.6*1.68+3.16*0.75+1.2*1.2)*10.764</f>
        <v>335.922912</v>
      </c>
      <c r="D855" s="91">
        <f t="shared" si="152"/>
        <v>403.10749440000001</v>
      </c>
      <c r="E855" s="90">
        <f>(3.5*1.8)*10.764</f>
        <v>67.813199999999995</v>
      </c>
      <c r="F855" s="128">
        <f t="shared" si="153"/>
        <v>571.69756800000005</v>
      </c>
      <c r="K855" s="40"/>
    </row>
    <row r="856" spans="1:14" ht="15.6" x14ac:dyDescent="0.3">
      <c r="A856" s="127">
        <v>6</v>
      </c>
      <c r="B856" s="90" t="s">
        <v>331</v>
      </c>
      <c r="C856" s="90">
        <f>(23.69+1.8*(1.5)+0.6*1.68+3.16*0.75+1.2*1.2)*10.764</f>
        <v>335.922912</v>
      </c>
      <c r="D856" s="91">
        <f t="shared" si="152"/>
        <v>403.10749440000001</v>
      </c>
      <c r="E856" s="90">
        <f>(3.5*1.8+2.33*3.7)*10.764</f>
        <v>160.60964399999997</v>
      </c>
      <c r="F856" s="128">
        <f t="shared" si="153"/>
        <v>584.18918999999994</v>
      </c>
      <c r="K856" s="39"/>
    </row>
    <row r="857" spans="1:14" s="39" customFormat="1" ht="15.75" customHeight="1" x14ac:dyDescent="0.3">
      <c r="A857" s="127">
        <v>7</v>
      </c>
      <c r="B857" s="90" t="s">
        <v>331</v>
      </c>
      <c r="C857" s="90">
        <f>(23.69+1.8*(1.5)+0.6*1.68+3.16*0.75)*10.764</f>
        <v>320.422752</v>
      </c>
      <c r="D857" s="91">
        <f>C857*1.2</f>
        <v>384.50730240000001</v>
      </c>
      <c r="E857" s="90">
        <f>(1.2*5+3.5*1.8)*10.764</f>
        <v>132.3972</v>
      </c>
      <c r="F857" s="128">
        <f>C857*(($F$469)+1)+(IF(E857&lt;101,E857,IF(E857&lt;201,E857/2,IF(E857&lt;=301,E857/3,E857/4))))</f>
        <v>546.83272800000009</v>
      </c>
      <c r="G857" s="43"/>
      <c r="H857" s="43"/>
      <c r="K857"/>
    </row>
    <row r="858" spans="1:14" s="39" customFormat="1" ht="15.6" x14ac:dyDescent="0.3">
      <c r="A858" s="127">
        <v>8</v>
      </c>
      <c r="B858" s="90" t="s">
        <v>331</v>
      </c>
      <c r="C858" s="90">
        <f>(23.69+1.8*(1.5)+0.6*1.68+3.16*0.75+1.2*1.2)*10.764</f>
        <v>335.922912</v>
      </c>
      <c r="D858" s="91">
        <f t="shared" ref="D858:D867" si="154">C858*1.2</f>
        <v>403.10749440000001</v>
      </c>
      <c r="E858" s="90">
        <f>(3.5*1.8)*10.764</f>
        <v>67.813199999999995</v>
      </c>
      <c r="F858" s="128">
        <f t="shared" ref="F858:F867" si="155">C858*(($F$469)+1)+(IF(E858&lt;101,E858,IF(E858&lt;201,E858/2,IF(E858&lt;=301,E858/3,E858/4))))</f>
        <v>571.69756800000005</v>
      </c>
      <c r="G858" s="157"/>
      <c r="H858" s="157"/>
      <c r="I858" s="40"/>
      <c r="J858" s="54"/>
      <c r="K858"/>
      <c r="L858" s="170"/>
      <c r="M858" s="170"/>
      <c r="N858" s="40"/>
    </row>
    <row r="859" spans="1:14" x14ac:dyDescent="0.3">
      <c r="A859" s="127">
        <v>9</v>
      </c>
      <c r="B859" s="90" t="s">
        <v>331</v>
      </c>
      <c r="C859" s="90">
        <f>(23.69+1.8*(1.5)+0.6*1.68+3.16*0.75+1.2*1.2)*10.764</f>
        <v>335.922912</v>
      </c>
      <c r="D859" s="91">
        <f t="shared" si="154"/>
        <v>403.10749440000001</v>
      </c>
      <c r="E859" s="90">
        <f>(3.5*1.8)*10.764</f>
        <v>67.813199999999995</v>
      </c>
      <c r="F859" s="128">
        <f t="shared" si="155"/>
        <v>571.69756800000005</v>
      </c>
    </row>
    <row r="860" spans="1:14" x14ac:dyDescent="0.3">
      <c r="A860" s="127">
        <v>10</v>
      </c>
      <c r="B860" s="90" t="s">
        <v>331</v>
      </c>
      <c r="C860" s="90">
        <f>(23.69+1.8*(1.5+1.2)+0.6*1.68+3.16*0.75)*10.764</f>
        <v>343.67299199999997</v>
      </c>
      <c r="D860" s="91">
        <f t="shared" si="154"/>
        <v>412.40759039999995</v>
      </c>
      <c r="E860" s="90">
        <f>(5*1.2)*10.764</f>
        <v>64.584000000000003</v>
      </c>
      <c r="F860" s="128">
        <f t="shared" si="155"/>
        <v>580.09348799999998</v>
      </c>
    </row>
    <row r="861" spans="1:14" ht="15.6" x14ac:dyDescent="0.3">
      <c r="A861" s="127">
        <v>11</v>
      </c>
      <c r="B861" s="90" t="s">
        <v>331</v>
      </c>
      <c r="C861" s="90">
        <f>(23.69+1.8*(1.5+1.2)+0.6*1.68+3.16*0.75)*10.764</f>
        <v>343.67299199999997</v>
      </c>
      <c r="D861" s="91">
        <f t="shared" si="154"/>
        <v>412.40759039999995</v>
      </c>
      <c r="E861" s="90">
        <f>(5*1.2)*10.764</f>
        <v>64.584000000000003</v>
      </c>
      <c r="F861" s="128">
        <f t="shared" si="155"/>
        <v>580.09348799999998</v>
      </c>
      <c r="K861" s="40"/>
    </row>
    <row r="862" spans="1:14" ht="15.6" x14ac:dyDescent="0.3">
      <c r="A862" s="127">
        <v>12</v>
      </c>
      <c r="B862" s="90" t="s">
        <v>331</v>
      </c>
      <c r="C862" s="90">
        <f>(23.69+1.8*(1.5)+0.6*1.68+3.16*0.75+1.2*1.2)*10.764</f>
        <v>335.922912</v>
      </c>
      <c r="D862" s="91">
        <f t="shared" si="154"/>
        <v>403.10749440000001</v>
      </c>
      <c r="E862" s="90">
        <f>(3.5*1.8)*10.764</f>
        <v>67.813199999999995</v>
      </c>
      <c r="F862" s="128">
        <f t="shared" si="155"/>
        <v>571.69756800000005</v>
      </c>
      <c r="K862" s="39"/>
    </row>
    <row r="863" spans="1:14" s="39" customFormat="1" ht="15.6" x14ac:dyDescent="0.3">
      <c r="A863" s="127">
        <v>13</v>
      </c>
      <c r="B863" s="90" t="s">
        <v>331</v>
      </c>
      <c r="C863" s="90">
        <f t="shared" ref="C863:C870" si="156">(23.69+1.8*(1.5)+0.6*1.68+3.16*0.75)*10.764</f>
        <v>320.422752</v>
      </c>
      <c r="D863" s="91">
        <f t="shared" si="154"/>
        <v>384.50730240000001</v>
      </c>
      <c r="E863" s="90">
        <f>(1.2*5+3.5*1.8)*10.764</f>
        <v>132.3972</v>
      </c>
      <c r="F863" s="128">
        <f t="shared" si="155"/>
        <v>546.83272800000009</v>
      </c>
      <c r="G863" s="157"/>
      <c r="H863" s="157"/>
      <c r="I863" s="40"/>
      <c r="J863" s="54"/>
      <c r="K863"/>
      <c r="L863" s="170"/>
      <c r="M863" s="170"/>
      <c r="N863" s="40"/>
    </row>
    <row r="864" spans="1:14" x14ac:dyDescent="0.3">
      <c r="A864" s="127">
        <v>14</v>
      </c>
      <c r="B864" s="90" t="s">
        <v>331</v>
      </c>
      <c r="C864" s="90">
        <f t="shared" si="156"/>
        <v>320.422752</v>
      </c>
      <c r="D864" s="91">
        <f t="shared" si="154"/>
        <v>384.50730240000001</v>
      </c>
      <c r="E864" s="90">
        <f>(1.2*5+3.5*1.8)*10.764</f>
        <v>132.3972</v>
      </c>
      <c r="F864" s="128">
        <f t="shared" si="155"/>
        <v>546.83272800000009</v>
      </c>
    </row>
    <row r="865" spans="1:14" x14ac:dyDescent="0.3">
      <c r="A865" s="127">
        <v>15</v>
      </c>
      <c r="B865" s="90" t="s">
        <v>331</v>
      </c>
      <c r="C865" s="90">
        <f t="shared" si="156"/>
        <v>320.422752</v>
      </c>
      <c r="D865" s="91">
        <f t="shared" si="154"/>
        <v>384.50730240000001</v>
      </c>
      <c r="E865" s="90">
        <f t="shared" ref="E865:E870" si="157">(1.2*5+3.5*1.8)*10.764</f>
        <v>132.3972</v>
      </c>
      <c r="F865" s="128">
        <f t="shared" si="155"/>
        <v>546.83272800000009</v>
      </c>
    </row>
    <row r="866" spans="1:14" ht="15.6" x14ac:dyDescent="0.3">
      <c r="A866" s="127">
        <v>16</v>
      </c>
      <c r="B866" s="90" t="s">
        <v>331</v>
      </c>
      <c r="C866" s="90">
        <f t="shared" si="156"/>
        <v>320.422752</v>
      </c>
      <c r="D866" s="91">
        <f t="shared" si="154"/>
        <v>384.50730240000001</v>
      </c>
      <c r="E866" s="90">
        <f t="shared" si="157"/>
        <v>132.3972</v>
      </c>
      <c r="F866" s="128">
        <f t="shared" si="155"/>
        <v>546.83272800000009</v>
      </c>
      <c r="K866" s="40"/>
    </row>
    <row r="867" spans="1:14" ht="15.6" x14ac:dyDescent="0.3">
      <c r="A867" s="127">
        <v>17</v>
      </c>
      <c r="B867" s="90" t="s">
        <v>331</v>
      </c>
      <c r="C867" s="90">
        <f t="shared" si="156"/>
        <v>320.422752</v>
      </c>
      <c r="D867" s="91">
        <f t="shared" si="154"/>
        <v>384.50730240000001</v>
      </c>
      <c r="E867" s="90">
        <f t="shared" si="157"/>
        <v>132.3972</v>
      </c>
      <c r="F867" s="128">
        <f t="shared" si="155"/>
        <v>546.83272800000009</v>
      </c>
      <c r="K867" s="39"/>
    </row>
    <row r="868" spans="1:14" s="39" customFormat="1" ht="15.75" customHeight="1" x14ac:dyDescent="0.3">
      <c r="A868" s="127">
        <v>18</v>
      </c>
      <c r="B868" s="90" t="s">
        <v>331</v>
      </c>
      <c r="C868" s="90">
        <f t="shared" si="156"/>
        <v>320.422752</v>
      </c>
      <c r="D868" s="91">
        <f>C868*1.2</f>
        <v>384.50730240000001</v>
      </c>
      <c r="E868" s="90">
        <f t="shared" si="157"/>
        <v>132.3972</v>
      </c>
      <c r="F868" s="128">
        <f>C868*(($F$469)+1)+(IF(E868&lt;101,E868,IF(E868&lt;201,E868/2,IF(E868&lt;=301,E868/3,E868/4))))</f>
        <v>546.83272800000009</v>
      </c>
      <c r="G868" s="43"/>
      <c r="H868" s="43"/>
      <c r="K868"/>
    </row>
    <row r="869" spans="1:14" s="39" customFormat="1" ht="15.6" x14ac:dyDescent="0.3">
      <c r="A869" s="127">
        <v>19</v>
      </c>
      <c r="B869" s="90" t="s">
        <v>331</v>
      </c>
      <c r="C869" s="90">
        <f t="shared" si="156"/>
        <v>320.422752</v>
      </c>
      <c r="D869" s="91">
        <f t="shared" ref="D869:D886" si="158">C869*1.2</f>
        <v>384.50730240000001</v>
      </c>
      <c r="E869" s="90">
        <f t="shared" si="157"/>
        <v>132.3972</v>
      </c>
      <c r="F869" s="128">
        <f t="shared" ref="F869:F886" si="159">C869*(($F$469)+1)+(IF(E869&lt;101,E869,IF(E869&lt;201,E869/2,IF(E869&lt;=301,E869/3,E869/4))))</f>
        <v>546.83272800000009</v>
      </c>
      <c r="G869" s="157"/>
      <c r="H869" s="157"/>
      <c r="I869" s="40"/>
      <c r="J869" s="54"/>
      <c r="K869"/>
      <c r="L869" s="170"/>
      <c r="M869" s="170"/>
      <c r="N869" s="40"/>
    </row>
    <row r="870" spans="1:14" x14ac:dyDescent="0.3">
      <c r="A870" s="127">
        <v>20</v>
      </c>
      <c r="B870" s="90" t="s">
        <v>331</v>
      </c>
      <c r="C870" s="90">
        <f t="shared" si="156"/>
        <v>320.422752</v>
      </c>
      <c r="D870" s="91">
        <f t="shared" si="158"/>
        <v>384.50730240000001</v>
      </c>
      <c r="E870" s="90">
        <f t="shared" si="157"/>
        <v>132.3972</v>
      </c>
      <c r="F870" s="128">
        <f t="shared" si="159"/>
        <v>546.83272800000009</v>
      </c>
    </row>
    <row r="871" spans="1:14" x14ac:dyDescent="0.3">
      <c r="A871" s="127">
        <v>21</v>
      </c>
      <c r="B871" s="90" t="s">
        <v>331</v>
      </c>
      <c r="C871" s="90">
        <f>(23.69+1.8*(1.5)+0.6*1.68+3.16*0.75+1.2*1.2)*10.764</f>
        <v>335.922912</v>
      </c>
      <c r="D871" s="91">
        <f t="shared" si="158"/>
        <v>403.10749440000001</v>
      </c>
      <c r="E871" s="90">
        <f t="shared" ref="E871:E875" si="160">(3.5*1.8)*10.764</f>
        <v>67.813199999999995</v>
      </c>
      <c r="F871" s="128">
        <f t="shared" si="159"/>
        <v>571.69756800000005</v>
      </c>
    </row>
    <row r="872" spans="1:14" ht="15.6" x14ac:dyDescent="0.3">
      <c r="A872" s="127">
        <v>22</v>
      </c>
      <c r="B872" s="90" t="s">
        <v>331</v>
      </c>
      <c r="C872" s="90">
        <f>(23.69+1.8*(1.5)+0.6*1.68+3.16*0.75+1.2*1.2)*10.764</f>
        <v>335.922912</v>
      </c>
      <c r="D872" s="91">
        <f t="shared" si="158"/>
        <v>403.10749440000001</v>
      </c>
      <c r="E872" s="90">
        <f>(5*1.2)*10.764</f>
        <v>64.584000000000003</v>
      </c>
      <c r="F872" s="128">
        <f t="shared" si="159"/>
        <v>568.46836800000005</v>
      </c>
      <c r="K872" s="40"/>
    </row>
    <row r="873" spans="1:14" ht="15.6" x14ac:dyDescent="0.3">
      <c r="A873" s="127">
        <v>23</v>
      </c>
      <c r="B873" s="90" t="s">
        <v>331</v>
      </c>
      <c r="C873" s="90">
        <f>(23.69+1.8*(1.5)+0.6*1.68+3.16*0.75+1.2*1.2)*10.764</f>
        <v>335.922912</v>
      </c>
      <c r="D873" s="91">
        <f t="shared" si="158"/>
        <v>403.10749440000001</v>
      </c>
      <c r="E873" s="90">
        <f>(2.7*1.8+4.95*1.2)*10.764</f>
        <v>116.2512</v>
      </c>
      <c r="F873" s="128">
        <f t="shared" si="159"/>
        <v>562.00996799999996</v>
      </c>
      <c r="K873" s="39"/>
    </row>
    <row r="874" spans="1:14" x14ac:dyDescent="0.3">
      <c r="A874" s="127">
        <v>24</v>
      </c>
      <c r="B874" s="90" t="s">
        <v>331</v>
      </c>
      <c r="C874" s="90">
        <f>(23.69+1.8*(1.5)+0.6*1.68+3.16*0.75)*10.764</f>
        <v>320.422752</v>
      </c>
      <c r="D874" s="91">
        <f t="shared" si="158"/>
        <v>384.50730240000001</v>
      </c>
      <c r="E874" s="90">
        <f t="shared" ref="E874" si="161">(1.2*5+3.5*1.8)*10.764</f>
        <v>132.3972</v>
      </c>
      <c r="F874" s="128">
        <f t="shared" si="159"/>
        <v>546.83272800000009</v>
      </c>
    </row>
    <row r="875" spans="1:14" x14ac:dyDescent="0.3">
      <c r="A875" s="127">
        <v>25</v>
      </c>
      <c r="B875" s="90" t="s">
        <v>331</v>
      </c>
      <c r="C875" s="90">
        <f>(23.69+1.8*(1.5)+0.6*1.68+3.16*0.75+1.2*1.2)*10.764</f>
        <v>335.922912</v>
      </c>
      <c r="D875" s="91">
        <f t="shared" si="158"/>
        <v>403.10749440000001</v>
      </c>
      <c r="E875" s="90">
        <f t="shared" si="160"/>
        <v>67.813199999999995</v>
      </c>
      <c r="F875" s="128">
        <f t="shared" si="159"/>
        <v>571.69756800000005</v>
      </c>
    </row>
    <row r="876" spans="1:14" ht="15.6" x14ac:dyDescent="0.3">
      <c r="A876" s="127">
        <v>26</v>
      </c>
      <c r="B876" s="90" t="s">
        <v>331</v>
      </c>
      <c r="C876" s="90">
        <f>(23.69+1.8*(1.5)+0.6*1.68+3.16*0.75)*10.764</f>
        <v>320.422752</v>
      </c>
      <c r="D876" s="91">
        <f t="shared" si="158"/>
        <v>384.50730240000001</v>
      </c>
      <c r="E876" s="90">
        <f t="shared" ref="E876" si="162">(1.2*5+3.5*1.8)*10.764</f>
        <v>132.3972</v>
      </c>
      <c r="F876" s="128">
        <f t="shared" si="159"/>
        <v>546.83272800000009</v>
      </c>
      <c r="K876" s="40"/>
    </row>
    <row r="877" spans="1:14" ht="15.6" x14ac:dyDescent="0.3">
      <c r="A877" s="127">
        <v>27</v>
      </c>
      <c r="B877" s="90" t="s">
        <v>331</v>
      </c>
      <c r="C877" s="90">
        <f>(23.69+1.8*(1.5)+0.6*1.68+3.16*0.75)*10.764</f>
        <v>320.422752</v>
      </c>
      <c r="D877" s="91">
        <f t="shared" si="158"/>
        <v>384.50730240000001</v>
      </c>
      <c r="E877" s="90">
        <f>(6.18*1+1.6*2.5+4*1)*10.764</f>
        <v>152.63351999999998</v>
      </c>
      <c r="F877" s="128">
        <f t="shared" si="159"/>
        <v>556.95088800000008</v>
      </c>
      <c r="K877" s="39"/>
    </row>
    <row r="878" spans="1:14" ht="15.6" x14ac:dyDescent="0.3">
      <c r="A878" s="127">
        <v>28</v>
      </c>
      <c r="B878" s="90" t="s">
        <v>331</v>
      </c>
      <c r="C878" s="90">
        <f>(23.69+1.8*(1.5)+0.6*1.68+3.16*0.75+1.2*1.2)*10.764</f>
        <v>335.922912</v>
      </c>
      <c r="D878" s="91">
        <f t="shared" si="158"/>
        <v>403.10749440000001</v>
      </c>
      <c r="E878" s="90">
        <f>(4.88*1.2+2.7*1.8)*10.764</f>
        <v>115.347024</v>
      </c>
      <c r="F878" s="128">
        <f t="shared" si="159"/>
        <v>561.55787999999995</v>
      </c>
      <c r="K878" s="39"/>
    </row>
    <row r="879" spans="1:14" ht="15.6" x14ac:dyDescent="0.3">
      <c r="A879" s="127">
        <v>29</v>
      </c>
      <c r="B879" s="90" t="s">
        <v>331</v>
      </c>
      <c r="C879" s="90">
        <f>(23.69+1.8*(1.5+1.2)+0.6*1.68+3.16*0.75)*10.764</f>
        <v>343.67299199999997</v>
      </c>
      <c r="D879" s="91">
        <f t="shared" si="158"/>
        <v>412.40759039999995</v>
      </c>
      <c r="E879" s="90">
        <f>(5*1.2)*10.764</f>
        <v>64.584000000000003</v>
      </c>
      <c r="F879" s="128">
        <f t="shared" si="159"/>
        <v>580.09348799999998</v>
      </c>
      <c r="K879" s="40"/>
    </row>
    <row r="880" spans="1:14" ht="15.6" x14ac:dyDescent="0.3">
      <c r="A880" s="127">
        <v>30</v>
      </c>
      <c r="B880" s="90" t="s">
        <v>331</v>
      </c>
      <c r="C880" s="90">
        <f>(23.69+1.8*(1.5+1.2)+0.6*1.68+3.16*0.75+1.2*1.2)*10.764</f>
        <v>359.17315200000002</v>
      </c>
      <c r="D880" s="91">
        <f t="shared" si="158"/>
        <v>431.0077824</v>
      </c>
      <c r="E880" s="90">
        <f>(3.6*1.5+3*1.2)*10.764</f>
        <v>96.875999999999991</v>
      </c>
      <c r="F880" s="128">
        <f t="shared" si="159"/>
        <v>635.63572799999997</v>
      </c>
      <c r="K880" s="39"/>
    </row>
    <row r="881" spans="1:14" x14ac:dyDescent="0.3">
      <c r="A881" s="127">
        <v>31</v>
      </c>
      <c r="B881" s="90" t="s">
        <v>331</v>
      </c>
      <c r="C881" s="90">
        <f>(23.69+1.8*(1.5)+0.6*1.68+3.16*0.75)*10.764</f>
        <v>320.422752</v>
      </c>
      <c r="D881" s="91">
        <f t="shared" si="158"/>
        <v>384.50730240000001</v>
      </c>
      <c r="E881" s="90">
        <f>(6.18*1+1.6*2.5+4*1)*10.764</f>
        <v>152.63351999999998</v>
      </c>
      <c r="F881" s="128">
        <f t="shared" si="159"/>
        <v>556.95088800000008</v>
      </c>
    </row>
    <row r="882" spans="1:14" x14ac:dyDescent="0.3">
      <c r="A882" s="127">
        <v>32</v>
      </c>
      <c r="B882" s="90" t="s">
        <v>331</v>
      </c>
      <c r="C882" s="90">
        <f>(23.69+1.8*(1.5)+0.6*1.68+3.16*0.75+1.2*1.2)*10.764</f>
        <v>335.922912</v>
      </c>
      <c r="D882" s="91">
        <f t="shared" si="158"/>
        <v>403.10749440000001</v>
      </c>
      <c r="E882" s="90">
        <f>(3.5*1.8)*10.764</f>
        <v>67.813199999999995</v>
      </c>
      <c r="F882" s="128">
        <f t="shared" si="159"/>
        <v>571.69756800000005</v>
      </c>
    </row>
    <row r="883" spans="1:14" ht="15.6" x14ac:dyDescent="0.3">
      <c r="A883" s="127">
        <v>33</v>
      </c>
      <c r="B883" s="90" t="s">
        <v>331</v>
      </c>
      <c r="C883" s="90">
        <f>(23.69+1.8*(1.5)+0.6*1.68+3.16*0.75)*10.764</f>
        <v>320.422752</v>
      </c>
      <c r="D883" s="91">
        <f t="shared" si="158"/>
        <v>384.50730240000001</v>
      </c>
      <c r="E883" s="90">
        <f>(6.18*1+1.6*2.5+4*1)*10.764</f>
        <v>152.63351999999998</v>
      </c>
      <c r="F883" s="128">
        <f t="shared" si="159"/>
        <v>556.95088800000008</v>
      </c>
      <c r="K883" s="40"/>
    </row>
    <row r="884" spans="1:14" ht="15.6" x14ac:dyDescent="0.3">
      <c r="A884" s="127">
        <v>34</v>
      </c>
      <c r="B884" s="90" t="s">
        <v>331</v>
      </c>
      <c r="C884" s="90">
        <f>(23.69+1.8*(1.5)+0.6*1.68+3.16*0.75)*10.764</f>
        <v>320.422752</v>
      </c>
      <c r="D884" s="91">
        <f t="shared" si="158"/>
        <v>384.50730240000001</v>
      </c>
      <c r="E884" s="90">
        <f>(6.18*1+1.6*2.5+4*1)*10.764</f>
        <v>152.63351999999998</v>
      </c>
      <c r="F884" s="128">
        <f t="shared" si="159"/>
        <v>556.95088800000008</v>
      </c>
      <c r="K884" s="39"/>
    </row>
    <row r="885" spans="1:14" ht="15.6" x14ac:dyDescent="0.3">
      <c r="A885" s="127">
        <v>35</v>
      </c>
      <c r="B885" s="90" t="s">
        <v>331</v>
      </c>
      <c r="C885" s="90">
        <f>(23.69+1.8*(1.5)+0.6*1.68+3.16*0.75+1.2*1.2)*10.764</f>
        <v>335.922912</v>
      </c>
      <c r="D885" s="91">
        <f t="shared" si="158"/>
        <v>403.10749440000001</v>
      </c>
      <c r="E885" s="90">
        <f>(2.7*1.8+4.95*1.2)*10.764</f>
        <v>116.2512</v>
      </c>
      <c r="F885" s="128">
        <f t="shared" si="159"/>
        <v>562.00996799999996</v>
      </c>
      <c r="K885" s="39"/>
    </row>
    <row r="886" spans="1:14" ht="15.6" x14ac:dyDescent="0.3">
      <c r="A886" s="127">
        <v>36</v>
      </c>
      <c r="B886" s="90" t="s">
        <v>331</v>
      </c>
      <c r="C886" s="90">
        <f>(23.69+1.8*(1.5+1.2)+0.6*1.68+3.16*0.75)*10.764</f>
        <v>343.67299199999997</v>
      </c>
      <c r="D886" s="91">
        <f t="shared" si="158"/>
        <v>412.40759039999995</v>
      </c>
      <c r="E886" s="90">
        <f>(5*1.2)*10.764</f>
        <v>64.584000000000003</v>
      </c>
      <c r="F886" s="128">
        <f t="shared" si="159"/>
        <v>580.09348799999998</v>
      </c>
      <c r="K886" s="39"/>
    </row>
    <row r="887" spans="1:14" s="39" customFormat="1" ht="15.75" customHeight="1" x14ac:dyDescent="0.3">
      <c r="A887" s="151" t="s">
        <v>333</v>
      </c>
      <c r="B887" s="152"/>
      <c r="C887" s="152"/>
      <c r="D887" s="152"/>
      <c r="E887" s="152"/>
      <c r="F887" s="153"/>
      <c r="G887" s="43"/>
      <c r="H887" s="43"/>
      <c r="K887" s="40"/>
    </row>
    <row r="888" spans="1:14" s="39" customFormat="1" ht="15.75" customHeight="1" x14ac:dyDescent="0.3">
      <c r="A888" s="127">
        <v>1</v>
      </c>
      <c r="B888" s="90" t="s">
        <v>331</v>
      </c>
      <c r="C888" s="90">
        <f>(27.66+1.2*1.8+1.2*1.2+3.16*0.75)*10.764</f>
        <v>361.99331999999998</v>
      </c>
      <c r="D888" s="91">
        <f>C888*1.2</f>
        <v>434.39198399999998</v>
      </c>
      <c r="E888" s="90">
        <v>0</v>
      </c>
      <c r="F888" s="128">
        <f>C888*(($F$469)+1)+(IF(E888&lt;101,E888,IF(E888&lt;201,E888/2,IF(E888&lt;=301,E888/3,E888/4))))</f>
        <v>542.98997999999995</v>
      </c>
      <c r="G888" s="43"/>
      <c r="H888" s="43"/>
      <c r="K888"/>
    </row>
    <row r="889" spans="1:14" s="39" customFormat="1" ht="15.6" x14ac:dyDescent="0.3">
      <c r="A889" s="127">
        <v>2</v>
      </c>
      <c r="B889" s="90" t="s">
        <v>331</v>
      </c>
      <c r="C889" s="90">
        <f t="shared" ref="C889:C923" si="163">(27.66+1.2*1.8+1.2*1.2+3.16*0.75)*10.764</f>
        <v>361.99331999999998</v>
      </c>
      <c r="D889" s="91">
        <f t="shared" ref="D889:D893" si="164">C889*1.2</f>
        <v>434.39198399999998</v>
      </c>
      <c r="E889" s="90">
        <v>0</v>
      </c>
      <c r="F889" s="128">
        <f t="shared" ref="F889:F893" si="165">C889*(($F$469)+1)+(IF(E889&lt;101,E889,IF(E889&lt;201,E889/2,IF(E889&lt;=301,E889/3,E889/4))))</f>
        <v>542.98997999999995</v>
      </c>
      <c r="G889" s="157"/>
      <c r="H889" s="157"/>
      <c r="I889" s="40"/>
      <c r="J889" s="54"/>
      <c r="K889"/>
      <c r="L889" s="170"/>
      <c r="M889" s="170"/>
      <c r="N889" s="40"/>
    </row>
    <row r="890" spans="1:14" x14ac:dyDescent="0.3">
      <c r="A890" s="127">
        <v>3</v>
      </c>
      <c r="B890" s="90" t="s">
        <v>331</v>
      </c>
      <c r="C890" s="90">
        <f t="shared" si="163"/>
        <v>361.99331999999998</v>
      </c>
      <c r="D890" s="91">
        <f t="shared" si="164"/>
        <v>434.39198399999998</v>
      </c>
      <c r="E890" s="90">
        <v>0</v>
      </c>
      <c r="F890" s="128">
        <f t="shared" si="165"/>
        <v>542.98997999999995</v>
      </c>
    </row>
    <row r="891" spans="1:14" x14ac:dyDescent="0.3">
      <c r="A891" s="127">
        <v>4</v>
      </c>
      <c r="B891" s="90" t="s">
        <v>331</v>
      </c>
      <c r="C891" s="90">
        <f t="shared" si="163"/>
        <v>361.99331999999998</v>
      </c>
      <c r="D891" s="91">
        <f t="shared" si="164"/>
        <v>434.39198399999998</v>
      </c>
      <c r="E891" s="90">
        <v>0</v>
      </c>
      <c r="F891" s="128">
        <f t="shared" si="165"/>
        <v>542.98997999999995</v>
      </c>
    </row>
    <row r="892" spans="1:14" ht="15.6" x14ac:dyDescent="0.3">
      <c r="A892" s="127">
        <v>5</v>
      </c>
      <c r="B892" s="90" t="s">
        <v>331</v>
      </c>
      <c r="C892" s="90">
        <f t="shared" si="163"/>
        <v>361.99331999999998</v>
      </c>
      <c r="D892" s="91">
        <f t="shared" si="164"/>
        <v>434.39198399999998</v>
      </c>
      <c r="E892" s="90">
        <v>0</v>
      </c>
      <c r="F892" s="128">
        <f t="shared" si="165"/>
        <v>542.98997999999995</v>
      </c>
      <c r="K892" s="40"/>
    </row>
    <row r="893" spans="1:14" ht="15.6" x14ac:dyDescent="0.3">
      <c r="A893" s="127">
        <v>6</v>
      </c>
      <c r="B893" s="90" t="s">
        <v>331</v>
      </c>
      <c r="C893" s="90">
        <f t="shared" si="163"/>
        <v>361.99331999999998</v>
      </c>
      <c r="D893" s="91">
        <f t="shared" si="164"/>
        <v>434.39198399999998</v>
      </c>
      <c r="E893" s="90">
        <v>0</v>
      </c>
      <c r="F893" s="128">
        <f t="shared" si="165"/>
        <v>542.98997999999995</v>
      </c>
      <c r="K893" s="39"/>
    </row>
    <row r="894" spans="1:14" s="39" customFormat="1" ht="15.75" customHeight="1" x14ac:dyDescent="0.3">
      <c r="A894" s="127">
        <v>7</v>
      </c>
      <c r="B894" s="90" t="s">
        <v>331</v>
      </c>
      <c r="C894" s="90">
        <f t="shared" si="163"/>
        <v>361.99331999999998</v>
      </c>
      <c r="D894" s="91">
        <f>C894*1.2</f>
        <v>434.39198399999998</v>
      </c>
      <c r="E894" s="90">
        <v>0</v>
      </c>
      <c r="F894" s="128">
        <f>C894*(($F$469)+1)+(IF(E894&lt;101,E894,IF(E894&lt;201,E894/2,IF(E894&lt;=301,E894/3,E894/4))))</f>
        <v>542.98997999999995</v>
      </c>
      <c r="G894" s="43"/>
      <c r="H894" s="43"/>
      <c r="K894"/>
    </row>
    <row r="895" spans="1:14" s="39" customFormat="1" ht="15.6" x14ac:dyDescent="0.3">
      <c r="A895" s="127">
        <v>8</v>
      </c>
      <c r="B895" s="90" t="s">
        <v>331</v>
      </c>
      <c r="C895" s="90">
        <f t="shared" si="163"/>
        <v>361.99331999999998</v>
      </c>
      <c r="D895" s="91">
        <f t="shared" ref="D895:D904" si="166">C895*1.2</f>
        <v>434.39198399999998</v>
      </c>
      <c r="E895" s="90">
        <v>0</v>
      </c>
      <c r="F895" s="128">
        <f t="shared" ref="F895:F904" si="167">C895*(($F$469)+1)+(IF(E895&lt;101,E895,IF(E895&lt;201,E895/2,IF(E895&lt;=301,E895/3,E895/4))))</f>
        <v>542.98997999999995</v>
      </c>
      <c r="G895" s="157"/>
      <c r="H895" s="157"/>
      <c r="I895" s="40"/>
      <c r="J895" s="54"/>
      <c r="K895"/>
      <c r="L895" s="170"/>
      <c r="M895" s="170"/>
      <c r="N895" s="40"/>
    </row>
    <row r="896" spans="1:14" x14ac:dyDescent="0.3">
      <c r="A896" s="127">
        <v>9</v>
      </c>
      <c r="B896" s="90" t="s">
        <v>331</v>
      </c>
      <c r="C896" s="90">
        <f t="shared" si="163"/>
        <v>361.99331999999998</v>
      </c>
      <c r="D896" s="91">
        <f t="shared" si="166"/>
        <v>434.39198399999998</v>
      </c>
      <c r="E896" s="90">
        <v>0</v>
      </c>
      <c r="F896" s="128">
        <f t="shared" si="167"/>
        <v>542.98997999999995</v>
      </c>
    </row>
    <row r="897" spans="1:14" x14ac:dyDescent="0.3">
      <c r="A897" s="127">
        <v>10</v>
      </c>
      <c r="B897" s="90" t="s">
        <v>331</v>
      </c>
      <c r="C897" s="90">
        <f t="shared" si="163"/>
        <v>361.99331999999998</v>
      </c>
      <c r="D897" s="91">
        <f t="shared" si="166"/>
        <v>434.39198399999998</v>
      </c>
      <c r="E897" s="90">
        <v>0</v>
      </c>
      <c r="F897" s="128">
        <f t="shared" si="167"/>
        <v>542.98997999999995</v>
      </c>
    </row>
    <row r="898" spans="1:14" ht="15.6" x14ac:dyDescent="0.3">
      <c r="A898" s="127">
        <v>11</v>
      </c>
      <c r="B898" s="90" t="s">
        <v>331</v>
      </c>
      <c r="C898" s="90">
        <f t="shared" si="163"/>
        <v>361.99331999999998</v>
      </c>
      <c r="D898" s="91">
        <f t="shared" si="166"/>
        <v>434.39198399999998</v>
      </c>
      <c r="E898" s="90">
        <v>0</v>
      </c>
      <c r="F898" s="128">
        <f t="shared" si="167"/>
        <v>542.98997999999995</v>
      </c>
      <c r="K898" s="40"/>
    </row>
    <row r="899" spans="1:14" ht="15.6" x14ac:dyDescent="0.3">
      <c r="A899" s="127">
        <v>12</v>
      </c>
      <c r="B899" s="90" t="s">
        <v>331</v>
      </c>
      <c r="C899" s="90">
        <f t="shared" si="163"/>
        <v>361.99331999999998</v>
      </c>
      <c r="D899" s="91">
        <f t="shared" si="166"/>
        <v>434.39198399999998</v>
      </c>
      <c r="E899" s="90">
        <v>0</v>
      </c>
      <c r="F899" s="128">
        <f t="shared" si="167"/>
        <v>542.98997999999995</v>
      </c>
      <c r="K899" s="39"/>
    </row>
    <row r="900" spans="1:14" s="39" customFormat="1" ht="15.6" x14ac:dyDescent="0.3">
      <c r="A900" s="127">
        <v>13</v>
      </c>
      <c r="B900" s="90" t="s">
        <v>331</v>
      </c>
      <c r="C900" s="90">
        <f t="shared" si="163"/>
        <v>361.99331999999998</v>
      </c>
      <c r="D900" s="91">
        <f t="shared" si="166"/>
        <v>434.39198399999998</v>
      </c>
      <c r="E900" s="90">
        <v>0</v>
      </c>
      <c r="F900" s="128">
        <f t="shared" si="167"/>
        <v>542.98997999999995</v>
      </c>
      <c r="G900" s="157"/>
      <c r="H900" s="157"/>
      <c r="I900" s="40"/>
      <c r="J900" s="54"/>
      <c r="K900"/>
      <c r="L900" s="170"/>
      <c r="M900" s="170"/>
      <c r="N900" s="40"/>
    </row>
    <row r="901" spans="1:14" x14ac:dyDescent="0.3">
      <c r="A901" s="127">
        <v>14</v>
      </c>
      <c r="B901" s="90" t="s">
        <v>331</v>
      </c>
      <c r="C901" s="90">
        <f t="shared" si="163"/>
        <v>361.99331999999998</v>
      </c>
      <c r="D901" s="91">
        <f t="shared" si="166"/>
        <v>434.39198399999998</v>
      </c>
      <c r="E901" s="90">
        <v>0</v>
      </c>
      <c r="F901" s="128">
        <f t="shared" si="167"/>
        <v>542.98997999999995</v>
      </c>
    </row>
    <row r="902" spans="1:14" x14ac:dyDescent="0.3">
      <c r="A902" s="127">
        <v>15</v>
      </c>
      <c r="B902" s="90" t="s">
        <v>331</v>
      </c>
      <c r="C902" s="90">
        <f t="shared" si="163"/>
        <v>361.99331999999998</v>
      </c>
      <c r="D902" s="91">
        <f t="shared" si="166"/>
        <v>434.39198399999998</v>
      </c>
      <c r="E902" s="90">
        <v>0</v>
      </c>
      <c r="F902" s="128">
        <f t="shared" si="167"/>
        <v>542.98997999999995</v>
      </c>
    </row>
    <row r="903" spans="1:14" ht="15.6" x14ac:dyDescent="0.3">
      <c r="A903" s="127">
        <v>16</v>
      </c>
      <c r="B903" s="90" t="s">
        <v>331</v>
      </c>
      <c r="C903" s="90">
        <f t="shared" si="163"/>
        <v>361.99331999999998</v>
      </c>
      <c r="D903" s="91">
        <f t="shared" si="166"/>
        <v>434.39198399999998</v>
      </c>
      <c r="E903" s="90">
        <v>0</v>
      </c>
      <c r="F903" s="128">
        <f t="shared" si="167"/>
        <v>542.98997999999995</v>
      </c>
      <c r="K903" s="40"/>
    </row>
    <row r="904" spans="1:14" ht="15.6" x14ac:dyDescent="0.3">
      <c r="A904" s="127">
        <v>17</v>
      </c>
      <c r="B904" s="90" t="s">
        <v>331</v>
      </c>
      <c r="C904" s="90">
        <f t="shared" si="163"/>
        <v>361.99331999999998</v>
      </c>
      <c r="D904" s="91">
        <f t="shared" si="166"/>
        <v>434.39198399999998</v>
      </c>
      <c r="E904" s="90">
        <v>0</v>
      </c>
      <c r="F904" s="128">
        <f t="shared" si="167"/>
        <v>542.98997999999995</v>
      </c>
      <c r="K904" s="39"/>
    </row>
    <row r="905" spans="1:14" s="39" customFormat="1" ht="15.75" customHeight="1" x14ac:dyDescent="0.3">
      <c r="A905" s="127">
        <v>18</v>
      </c>
      <c r="B905" s="90" t="s">
        <v>331</v>
      </c>
      <c r="C905" s="90">
        <f t="shared" si="163"/>
        <v>361.99331999999998</v>
      </c>
      <c r="D905" s="91">
        <f>C905*1.2</f>
        <v>434.39198399999998</v>
      </c>
      <c r="E905" s="90">
        <v>0</v>
      </c>
      <c r="F905" s="128">
        <f>C905*(($F$469)+1)+(IF(E905&lt;101,E905,IF(E905&lt;201,E905/2,IF(E905&lt;=301,E905/3,E905/4))))</f>
        <v>542.98997999999995</v>
      </c>
      <c r="G905" s="43"/>
      <c r="H905" s="43"/>
      <c r="K905"/>
    </row>
    <row r="906" spans="1:14" s="39" customFormat="1" ht="15.6" x14ac:dyDescent="0.3">
      <c r="A906" s="127">
        <v>19</v>
      </c>
      <c r="B906" s="90" t="s">
        <v>331</v>
      </c>
      <c r="C906" s="90">
        <f t="shared" si="163"/>
        <v>361.99331999999998</v>
      </c>
      <c r="D906" s="91">
        <f t="shared" ref="D906:D923" si="168">C906*1.2</f>
        <v>434.39198399999998</v>
      </c>
      <c r="E906" s="90">
        <v>0</v>
      </c>
      <c r="F906" s="128">
        <f t="shared" ref="F906:F923" si="169">C906*(($F$469)+1)+(IF(E906&lt;101,E906,IF(E906&lt;201,E906/2,IF(E906&lt;=301,E906/3,E906/4))))</f>
        <v>542.98997999999995</v>
      </c>
      <c r="G906" s="157"/>
      <c r="H906" s="157"/>
      <c r="I906" s="40"/>
      <c r="J906" s="54"/>
      <c r="K906"/>
      <c r="L906" s="170"/>
      <c r="M906" s="170"/>
      <c r="N906" s="40"/>
    </row>
    <row r="907" spans="1:14" x14ac:dyDescent="0.3">
      <c r="A907" s="127">
        <v>20</v>
      </c>
      <c r="B907" s="90" t="s">
        <v>331</v>
      </c>
      <c r="C907" s="90">
        <f t="shared" si="163"/>
        <v>361.99331999999998</v>
      </c>
      <c r="D907" s="91">
        <f t="shared" si="168"/>
        <v>434.39198399999998</v>
      </c>
      <c r="E907" s="90">
        <v>0</v>
      </c>
      <c r="F907" s="128">
        <f t="shared" si="169"/>
        <v>542.98997999999995</v>
      </c>
    </row>
    <row r="908" spans="1:14" x14ac:dyDescent="0.3">
      <c r="A908" s="127">
        <v>21</v>
      </c>
      <c r="B908" s="90" t="s">
        <v>331</v>
      </c>
      <c r="C908" s="90">
        <f t="shared" si="163"/>
        <v>361.99331999999998</v>
      </c>
      <c r="D908" s="91">
        <f t="shared" si="168"/>
        <v>434.39198399999998</v>
      </c>
      <c r="E908" s="90">
        <v>0</v>
      </c>
      <c r="F908" s="128">
        <f t="shared" si="169"/>
        <v>542.98997999999995</v>
      </c>
    </row>
    <row r="909" spans="1:14" ht="15.6" x14ac:dyDescent="0.3">
      <c r="A909" s="127">
        <v>22</v>
      </c>
      <c r="B909" s="90" t="s">
        <v>331</v>
      </c>
      <c r="C909" s="90">
        <f t="shared" si="163"/>
        <v>361.99331999999998</v>
      </c>
      <c r="D909" s="91">
        <f t="shared" si="168"/>
        <v>434.39198399999998</v>
      </c>
      <c r="E909" s="90">
        <v>0</v>
      </c>
      <c r="F909" s="128">
        <f t="shared" si="169"/>
        <v>542.98997999999995</v>
      </c>
      <c r="K909" s="40"/>
    </row>
    <row r="910" spans="1:14" ht="15.6" x14ac:dyDescent="0.3">
      <c r="A910" s="127">
        <v>23</v>
      </c>
      <c r="B910" s="90" t="s">
        <v>331</v>
      </c>
      <c r="C910" s="90">
        <f t="shared" si="163"/>
        <v>361.99331999999998</v>
      </c>
      <c r="D910" s="91">
        <f t="shared" si="168"/>
        <v>434.39198399999998</v>
      </c>
      <c r="E910" s="90">
        <v>0</v>
      </c>
      <c r="F910" s="128">
        <f t="shared" si="169"/>
        <v>542.98997999999995</v>
      </c>
      <c r="K910" s="39"/>
    </row>
    <row r="911" spans="1:14" x14ac:dyDescent="0.3">
      <c r="A911" s="127">
        <v>24</v>
      </c>
      <c r="B911" s="90" t="s">
        <v>331</v>
      </c>
      <c r="C911" s="90">
        <f t="shared" si="163"/>
        <v>361.99331999999998</v>
      </c>
      <c r="D911" s="91">
        <f t="shared" si="168"/>
        <v>434.39198399999998</v>
      </c>
      <c r="E911" s="90">
        <v>0</v>
      </c>
      <c r="F911" s="128">
        <f t="shared" si="169"/>
        <v>542.98997999999995</v>
      </c>
    </row>
    <row r="912" spans="1:14" x14ac:dyDescent="0.3">
      <c r="A912" s="127">
        <v>25</v>
      </c>
      <c r="B912" s="90" t="s">
        <v>331</v>
      </c>
      <c r="C912" s="90">
        <f t="shared" si="163"/>
        <v>361.99331999999998</v>
      </c>
      <c r="D912" s="91">
        <f t="shared" si="168"/>
        <v>434.39198399999998</v>
      </c>
      <c r="E912" s="90">
        <v>0</v>
      </c>
      <c r="F912" s="128">
        <f t="shared" si="169"/>
        <v>542.98997999999995</v>
      </c>
    </row>
    <row r="913" spans="1:14" ht="15.6" x14ac:dyDescent="0.3">
      <c r="A913" s="127">
        <v>26</v>
      </c>
      <c r="B913" s="90" t="s">
        <v>331</v>
      </c>
      <c r="C913" s="90">
        <f t="shared" si="163"/>
        <v>361.99331999999998</v>
      </c>
      <c r="D913" s="91">
        <f t="shared" si="168"/>
        <v>434.39198399999998</v>
      </c>
      <c r="E913" s="90">
        <v>0</v>
      </c>
      <c r="F913" s="128">
        <f t="shared" si="169"/>
        <v>542.98997999999995</v>
      </c>
      <c r="K913" s="40"/>
    </row>
    <row r="914" spans="1:14" ht="15.6" x14ac:dyDescent="0.3">
      <c r="A914" s="127">
        <v>27</v>
      </c>
      <c r="B914" s="90" t="s">
        <v>331</v>
      </c>
      <c r="C914" s="90">
        <f t="shared" si="163"/>
        <v>361.99331999999998</v>
      </c>
      <c r="D914" s="91">
        <f t="shared" si="168"/>
        <v>434.39198399999998</v>
      </c>
      <c r="E914" s="90">
        <v>0</v>
      </c>
      <c r="F914" s="128">
        <f t="shared" si="169"/>
        <v>542.98997999999995</v>
      </c>
      <c r="K914" s="39"/>
    </row>
    <row r="915" spans="1:14" ht="15.6" x14ac:dyDescent="0.3">
      <c r="A915" s="127">
        <v>28</v>
      </c>
      <c r="B915" s="90" t="s">
        <v>331</v>
      </c>
      <c r="C915" s="90">
        <f t="shared" si="163"/>
        <v>361.99331999999998</v>
      </c>
      <c r="D915" s="91">
        <f t="shared" si="168"/>
        <v>434.39198399999998</v>
      </c>
      <c r="E915" s="90">
        <v>0</v>
      </c>
      <c r="F915" s="128">
        <f t="shared" si="169"/>
        <v>542.98997999999995</v>
      </c>
      <c r="K915" s="39"/>
    </row>
    <row r="916" spans="1:14" ht="15.6" x14ac:dyDescent="0.3">
      <c r="A916" s="127">
        <v>29</v>
      </c>
      <c r="B916" s="90" t="s">
        <v>331</v>
      </c>
      <c r="C916" s="90">
        <f t="shared" si="163"/>
        <v>361.99331999999998</v>
      </c>
      <c r="D916" s="91">
        <f t="shared" si="168"/>
        <v>434.39198399999998</v>
      </c>
      <c r="E916" s="90">
        <v>0</v>
      </c>
      <c r="F916" s="128">
        <f t="shared" si="169"/>
        <v>542.98997999999995</v>
      </c>
      <c r="K916" s="40"/>
    </row>
    <row r="917" spans="1:14" ht="15.6" x14ac:dyDescent="0.3">
      <c r="A917" s="127">
        <v>30</v>
      </c>
      <c r="B917" s="90" t="s">
        <v>331</v>
      </c>
      <c r="C917" s="90">
        <f t="shared" si="163"/>
        <v>361.99331999999998</v>
      </c>
      <c r="D917" s="91">
        <f t="shared" si="168"/>
        <v>434.39198399999998</v>
      </c>
      <c r="E917" s="90">
        <v>0</v>
      </c>
      <c r="F917" s="128">
        <f t="shared" si="169"/>
        <v>542.98997999999995</v>
      </c>
      <c r="K917" s="39"/>
    </row>
    <row r="918" spans="1:14" x14ac:dyDescent="0.3">
      <c r="A918" s="127">
        <v>31</v>
      </c>
      <c r="B918" s="90" t="s">
        <v>331</v>
      </c>
      <c r="C918" s="90">
        <f t="shared" si="163"/>
        <v>361.99331999999998</v>
      </c>
      <c r="D918" s="91">
        <f t="shared" si="168"/>
        <v>434.39198399999998</v>
      </c>
      <c r="E918" s="90">
        <v>0</v>
      </c>
      <c r="F918" s="128">
        <f t="shared" si="169"/>
        <v>542.98997999999995</v>
      </c>
    </row>
    <row r="919" spans="1:14" x14ac:dyDescent="0.3">
      <c r="A919" s="127">
        <v>32</v>
      </c>
      <c r="B919" s="90" t="s">
        <v>331</v>
      </c>
      <c r="C919" s="90">
        <f t="shared" si="163"/>
        <v>361.99331999999998</v>
      </c>
      <c r="D919" s="91">
        <f t="shared" si="168"/>
        <v>434.39198399999998</v>
      </c>
      <c r="E919" s="90">
        <v>0</v>
      </c>
      <c r="F919" s="128">
        <f t="shared" si="169"/>
        <v>542.98997999999995</v>
      </c>
    </row>
    <row r="920" spans="1:14" ht="15.6" x14ac:dyDescent="0.3">
      <c r="A920" s="127">
        <v>33</v>
      </c>
      <c r="B920" s="90" t="s">
        <v>331</v>
      </c>
      <c r="C920" s="90">
        <f t="shared" si="163"/>
        <v>361.99331999999998</v>
      </c>
      <c r="D920" s="91">
        <f t="shared" si="168"/>
        <v>434.39198399999998</v>
      </c>
      <c r="E920" s="90">
        <v>0</v>
      </c>
      <c r="F920" s="128">
        <f t="shared" si="169"/>
        <v>542.98997999999995</v>
      </c>
      <c r="K920" s="40"/>
    </row>
    <row r="921" spans="1:14" ht="15.6" x14ac:dyDescent="0.3">
      <c r="A921" s="127">
        <v>34</v>
      </c>
      <c r="B921" s="90" t="s">
        <v>331</v>
      </c>
      <c r="C921" s="90">
        <f t="shared" si="163"/>
        <v>361.99331999999998</v>
      </c>
      <c r="D921" s="91">
        <f t="shared" si="168"/>
        <v>434.39198399999998</v>
      </c>
      <c r="E921" s="90">
        <v>0</v>
      </c>
      <c r="F921" s="128">
        <f t="shared" si="169"/>
        <v>542.98997999999995</v>
      </c>
      <c r="K921" s="39"/>
    </row>
    <row r="922" spans="1:14" ht="15.6" x14ac:dyDescent="0.3">
      <c r="A922" s="127">
        <v>35</v>
      </c>
      <c r="B922" s="90" t="s">
        <v>331</v>
      </c>
      <c r="C922" s="90">
        <f t="shared" si="163"/>
        <v>361.99331999999998</v>
      </c>
      <c r="D922" s="91">
        <f t="shared" si="168"/>
        <v>434.39198399999998</v>
      </c>
      <c r="E922" s="90">
        <v>0</v>
      </c>
      <c r="F922" s="128">
        <f t="shared" si="169"/>
        <v>542.98997999999995</v>
      </c>
      <c r="K922" s="39"/>
    </row>
    <row r="923" spans="1:14" ht="15.6" x14ac:dyDescent="0.3">
      <c r="A923" s="127">
        <v>36</v>
      </c>
      <c r="B923" s="90" t="s">
        <v>331</v>
      </c>
      <c r="C923" s="90">
        <f t="shared" si="163"/>
        <v>361.99331999999998</v>
      </c>
      <c r="D923" s="91">
        <f t="shared" si="168"/>
        <v>434.39198399999998</v>
      </c>
      <c r="E923" s="90">
        <v>0</v>
      </c>
      <c r="F923" s="128">
        <f t="shared" si="169"/>
        <v>542.98997999999995</v>
      </c>
      <c r="K923" s="39"/>
    </row>
    <row r="924" spans="1:14" s="39" customFormat="1" ht="15.75" customHeight="1" x14ac:dyDescent="0.3">
      <c r="A924" s="151" t="s">
        <v>334</v>
      </c>
      <c r="B924" s="152"/>
      <c r="C924" s="152"/>
      <c r="D924" s="152"/>
      <c r="E924" s="152"/>
      <c r="F924" s="153"/>
      <c r="G924" s="43"/>
      <c r="H924" s="43"/>
      <c r="K924" s="40"/>
    </row>
    <row r="925" spans="1:14" s="39" customFormat="1" ht="15.75" customHeight="1" x14ac:dyDescent="0.3">
      <c r="A925" s="127">
        <v>1</v>
      </c>
      <c r="B925" s="90" t="s">
        <v>331</v>
      </c>
      <c r="C925" s="90">
        <f>(27.66+1.2*1.8+1.2*1.2+3.16*0.75)*10.764</f>
        <v>361.99331999999998</v>
      </c>
      <c r="D925" s="91">
        <f>C925*1.2</f>
        <v>434.39198399999998</v>
      </c>
      <c r="E925" s="90">
        <v>0</v>
      </c>
      <c r="F925" s="128">
        <f>C925*(($F$469)+1)+(IF(E925&lt;101,E925,IF(E925&lt;201,E925/2,IF(E925&lt;=301,E925/3,E925/4))))</f>
        <v>542.98997999999995</v>
      </c>
      <c r="G925" s="43"/>
      <c r="H925" s="43"/>
      <c r="K925"/>
    </row>
    <row r="926" spans="1:14" s="39" customFormat="1" ht="15.6" x14ac:dyDescent="0.3">
      <c r="A926" s="127">
        <v>2</v>
      </c>
      <c r="B926" s="90" t="s">
        <v>331</v>
      </c>
      <c r="C926" s="90">
        <f t="shared" ref="C926:C928" si="170">(27.66+1.2*1.8+1.2*1.2+3.16*0.75)*10.764</f>
        <v>361.99331999999998</v>
      </c>
      <c r="D926" s="91">
        <f t="shared" ref="D926:D928" si="171">C926*1.2</f>
        <v>434.39198399999998</v>
      </c>
      <c r="E926" s="90">
        <v>0</v>
      </c>
      <c r="F926" s="128">
        <f t="shared" ref="F926:F930" si="172">C926*(($F$469)+1)+(IF(E926&lt;101,E926,IF(E926&lt;201,E926/2,IF(E926&lt;=301,E926/3,E926/4))))</f>
        <v>542.98997999999995</v>
      </c>
      <c r="G926" s="157"/>
      <c r="H926" s="157"/>
      <c r="I926" s="40"/>
      <c r="J926" s="54"/>
      <c r="K926"/>
      <c r="L926" s="170"/>
      <c r="M926" s="170"/>
      <c r="N926" s="40"/>
    </row>
    <row r="927" spans="1:14" x14ac:dyDescent="0.3">
      <c r="A927" s="127">
        <v>3</v>
      </c>
      <c r="B927" s="90" t="s">
        <v>331</v>
      </c>
      <c r="C927" s="90">
        <f t="shared" si="170"/>
        <v>361.99331999999998</v>
      </c>
      <c r="D927" s="91">
        <f t="shared" si="171"/>
        <v>434.39198399999998</v>
      </c>
      <c r="E927" s="90">
        <v>0</v>
      </c>
      <c r="F927" s="128">
        <f t="shared" si="172"/>
        <v>542.98997999999995</v>
      </c>
    </row>
    <row r="928" spans="1:14" x14ac:dyDescent="0.3">
      <c r="A928" s="127">
        <v>4</v>
      </c>
      <c r="B928" s="90" t="s">
        <v>331</v>
      </c>
      <c r="C928" s="90">
        <f t="shared" si="170"/>
        <v>361.99331999999998</v>
      </c>
      <c r="D928" s="91">
        <f t="shared" si="171"/>
        <v>434.39198399999998</v>
      </c>
      <c r="E928" s="90">
        <v>0</v>
      </c>
      <c r="F928" s="128">
        <f t="shared" si="172"/>
        <v>542.98997999999995</v>
      </c>
    </row>
    <row r="929" spans="1:14" ht="15.6" x14ac:dyDescent="0.3">
      <c r="A929" s="127">
        <v>5</v>
      </c>
      <c r="B929" s="159" t="s">
        <v>335</v>
      </c>
      <c r="C929" s="160"/>
      <c r="D929" s="160"/>
      <c r="E929" s="161"/>
      <c r="F929" s="128">
        <f t="shared" si="172"/>
        <v>0</v>
      </c>
      <c r="K929" s="40"/>
    </row>
    <row r="930" spans="1:14" ht="15.6" x14ac:dyDescent="0.3">
      <c r="A930" s="127">
        <v>6</v>
      </c>
      <c r="B930" s="165"/>
      <c r="C930" s="166"/>
      <c r="D930" s="166"/>
      <c r="E930" s="167"/>
      <c r="F930" s="128">
        <f t="shared" si="172"/>
        <v>0</v>
      </c>
      <c r="K930" s="39"/>
    </row>
    <row r="931" spans="1:14" s="39" customFormat="1" ht="15.75" customHeight="1" x14ac:dyDescent="0.3">
      <c r="A931" s="127">
        <v>7</v>
      </c>
      <c r="B931" s="90" t="s">
        <v>331</v>
      </c>
      <c r="C931" s="90">
        <f t="shared" ref="C931:C960" si="173">(27.66+1.2*1.8+1.2*1.2+3.16*0.75)*10.764</f>
        <v>361.99331999999998</v>
      </c>
      <c r="D931" s="91">
        <f>C931*1.2</f>
        <v>434.39198399999998</v>
      </c>
      <c r="E931" s="90">
        <v>0</v>
      </c>
      <c r="F931" s="128">
        <f>C931*(($F$469)+1)+(IF(E931&lt;101,E931,IF(E931&lt;201,E931/2,IF(E931&lt;=301,E931/3,E931/4))))</f>
        <v>542.98997999999995</v>
      </c>
      <c r="G931" s="43"/>
      <c r="H931" s="43"/>
      <c r="K931"/>
    </row>
    <row r="932" spans="1:14" s="39" customFormat="1" ht="15.6" x14ac:dyDescent="0.3">
      <c r="A932" s="127">
        <v>8</v>
      </c>
      <c r="B932" s="90" t="s">
        <v>331</v>
      </c>
      <c r="C932" s="90">
        <f t="shared" si="173"/>
        <v>361.99331999999998</v>
      </c>
      <c r="D932" s="91">
        <f t="shared" ref="D932:D941" si="174">C932*1.2</f>
        <v>434.39198399999998</v>
      </c>
      <c r="E932" s="90">
        <v>0</v>
      </c>
      <c r="F932" s="128">
        <f t="shared" ref="F932:F941" si="175">C932*(($F$469)+1)+(IF(E932&lt;101,E932,IF(E932&lt;201,E932/2,IF(E932&lt;=301,E932/3,E932/4))))</f>
        <v>542.98997999999995</v>
      </c>
      <c r="G932" s="157"/>
      <c r="H932" s="157"/>
      <c r="I932" s="40"/>
      <c r="J932" s="54"/>
      <c r="K932"/>
      <c r="L932" s="170"/>
      <c r="M932" s="170"/>
      <c r="N932" s="40"/>
    </row>
    <row r="933" spans="1:14" x14ac:dyDescent="0.3">
      <c r="A933" s="127">
        <v>9</v>
      </c>
      <c r="B933" s="90" t="s">
        <v>331</v>
      </c>
      <c r="C933" s="90">
        <f t="shared" si="173"/>
        <v>361.99331999999998</v>
      </c>
      <c r="D933" s="91">
        <f t="shared" si="174"/>
        <v>434.39198399999998</v>
      </c>
      <c r="E933" s="90">
        <v>0</v>
      </c>
      <c r="F933" s="128">
        <f t="shared" si="175"/>
        <v>542.98997999999995</v>
      </c>
    </row>
    <row r="934" spans="1:14" x14ac:dyDescent="0.3">
      <c r="A934" s="127">
        <v>10</v>
      </c>
      <c r="B934" s="90" t="s">
        <v>331</v>
      </c>
      <c r="C934" s="90">
        <f t="shared" si="173"/>
        <v>361.99331999999998</v>
      </c>
      <c r="D934" s="91">
        <f t="shared" si="174"/>
        <v>434.39198399999998</v>
      </c>
      <c r="E934" s="90">
        <v>0</v>
      </c>
      <c r="F934" s="128">
        <f t="shared" si="175"/>
        <v>542.98997999999995</v>
      </c>
    </row>
    <row r="935" spans="1:14" ht="15.6" x14ac:dyDescent="0.3">
      <c r="A935" s="127">
        <v>11</v>
      </c>
      <c r="B935" s="90" t="s">
        <v>331</v>
      </c>
      <c r="C935" s="90">
        <f t="shared" si="173"/>
        <v>361.99331999999998</v>
      </c>
      <c r="D935" s="91">
        <f t="shared" si="174"/>
        <v>434.39198399999998</v>
      </c>
      <c r="E935" s="90">
        <v>0</v>
      </c>
      <c r="F935" s="128">
        <f t="shared" si="175"/>
        <v>542.98997999999995</v>
      </c>
      <c r="K935" s="40"/>
    </row>
    <row r="936" spans="1:14" ht="15.6" x14ac:dyDescent="0.3">
      <c r="A936" s="127">
        <v>12</v>
      </c>
      <c r="B936" s="90" t="s">
        <v>331</v>
      </c>
      <c r="C936" s="90">
        <f t="shared" si="173"/>
        <v>361.99331999999998</v>
      </c>
      <c r="D936" s="91">
        <f t="shared" si="174"/>
        <v>434.39198399999998</v>
      </c>
      <c r="E936" s="90">
        <v>0</v>
      </c>
      <c r="F936" s="128">
        <f t="shared" si="175"/>
        <v>542.98997999999995</v>
      </c>
      <c r="K936" s="39"/>
    </row>
    <row r="937" spans="1:14" s="39" customFormat="1" ht="15.6" x14ac:dyDescent="0.3">
      <c r="A937" s="127">
        <v>13</v>
      </c>
      <c r="B937" s="90" t="s">
        <v>331</v>
      </c>
      <c r="C937" s="90">
        <f t="shared" si="173"/>
        <v>361.99331999999998</v>
      </c>
      <c r="D937" s="91">
        <f t="shared" si="174"/>
        <v>434.39198399999998</v>
      </c>
      <c r="E937" s="90">
        <v>0</v>
      </c>
      <c r="F937" s="128">
        <f t="shared" si="175"/>
        <v>542.98997999999995</v>
      </c>
      <c r="G937" s="157"/>
      <c r="H937" s="157"/>
      <c r="I937" s="40"/>
      <c r="J937" s="54"/>
      <c r="K937"/>
      <c r="L937" s="170"/>
      <c r="M937" s="170"/>
      <c r="N937" s="40"/>
    </row>
    <row r="938" spans="1:14" x14ac:dyDescent="0.3">
      <c r="A938" s="127">
        <v>14</v>
      </c>
      <c r="B938" s="90" t="s">
        <v>331</v>
      </c>
      <c r="C938" s="90">
        <f t="shared" si="173"/>
        <v>361.99331999999998</v>
      </c>
      <c r="D938" s="91">
        <f t="shared" si="174"/>
        <v>434.39198399999998</v>
      </c>
      <c r="E938" s="90">
        <v>0</v>
      </c>
      <c r="F938" s="128">
        <f t="shared" si="175"/>
        <v>542.98997999999995</v>
      </c>
    </row>
    <row r="939" spans="1:14" x14ac:dyDescent="0.3">
      <c r="A939" s="127">
        <v>15</v>
      </c>
      <c r="B939" s="90" t="s">
        <v>331</v>
      </c>
      <c r="C939" s="90">
        <f t="shared" si="173"/>
        <v>361.99331999999998</v>
      </c>
      <c r="D939" s="91">
        <f t="shared" si="174"/>
        <v>434.39198399999998</v>
      </c>
      <c r="E939" s="90">
        <v>0</v>
      </c>
      <c r="F939" s="128">
        <f t="shared" si="175"/>
        <v>542.98997999999995</v>
      </c>
    </row>
    <row r="940" spans="1:14" ht="15.6" x14ac:dyDescent="0.3">
      <c r="A940" s="127">
        <v>16</v>
      </c>
      <c r="B940" s="90" t="s">
        <v>331</v>
      </c>
      <c r="C940" s="90">
        <f t="shared" si="173"/>
        <v>361.99331999999998</v>
      </c>
      <c r="D940" s="91">
        <f t="shared" si="174"/>
        <v>434.39198399999998</v>
      </c>
      <c r="E940" s="90">
        <v>0</v>
      </c>
      <c r="F940" s="128">
        <f t="shared" si="175"/>
        <v>542.98997999999995</v>
      </c>
      <c r="K940" s="40"/>
    </row>
    <row r="941" spans="1:14" ht="15.6" x14ac:dyDescent="0.3">
      <c r="A941" s="127">
        <v>17</v>
      </c>
      <c r="B941" s="90" t="s">
        <v>331</v>
      </c>
      <c r="C941" s="90">
        <f t="shared" si="173"/>
        <v>361.99331999999998</v>
      </c>
      <c r="D941" s="91">
        <f t="shared" si="174"/>
        <v>434.39198399999998</v>
      </c>
      <c r="E941" s="90">
        <v>0</v>
      </c>
      <c r="F941" s="128">
        <f t="shared" si="175"/>
        <v>542.98997999999995</v>
      </c>
      <c r="K941" s="39"/>
    </row>
    <row r="942" spans="1:14" s="39" customFormat="1" ht="15.75" customHeight="1" x14ac:dyDescent="0.3">
      <c r="A942" s="127">
        <v>18</v>
      </c>
      <c r="B942" s="90" t="s">
        <v>331</v>
      </c>
      <c r="C942" s="90">
        <f t="shared" si="173"/>
        <v>361.99331999999998</v>
      </c>
      <c r="D942" s="91">
        <f>C942*1.2</f>
        <v>434.39198399999998</v>
      </c>
      <c r="E942" s="90">
        <v>0</v>
      </c>
      <c r="F942" s="128">
        <f>C942*(($F$469)+1)+(IF(E942&lt;101,E942,IF(E942&lt;201,E942/2,IF(E942&lt;=301,E942/3,E942/4))))</f>
        <v>542.98997999999995</v>
      </c>
      <c r="G942" s="43"/>
      <c r="H942" s="43"/>
      <c r="K942"/>
    </row>
    <row r="943" spans="1:14" s="39" customFormat="1" ht="15.6" x14ac:dyDescent="0.3">
      <c r="A943" s="127">
        <v>19</v>
      </c>
      <c r="B943" s="90" t="s">
        <v>331</v>
      </c>
      <c r="C943" s="90">
        <f t="shared" si="173"/>
        <v>361.99331999999998</v>
      </c>
      <c r="D943" s="91">
        <f t="shared" ref="D943:D946" si="176">C943*1.2</f>
        <v>434.39198399999998</v>
      </c>
      <c r="E943" s="90">
        <v>0</v>
      </c>
      <c r="F943" s="128">
        <f t="shared" ref="F943:F960" si="177">C943*(($F$469)+1)+(IF(E943&lt;101,E943,IF(E943&lt;201,E943/2,IF(E943&lt;=301,E943/3,E943/4))))</f>
        <v>542.98997999999995</v>
      </c>
      <c r="G943" s="157"/>
      <c r="H943" s="157"/>
      <c r="I943" s="40"/>
      <c r="J943" s="54"/>
      <c r="K943"/>
      <c r="L943" s="170"/>
      <c r="M943" s="170"/>
      <c r="N943" s="40"/>
    </row>
    <row r="944" spans="1:14" x14ac:dyDescent="0.3">
      <c r="A944" s="127">
        <v>20</v>
      </c>
      <c r="B944" s="90" t="s">
        <v>331</v>
      </c>
      <c r="C944" s="90">
        <f t="shared" si="173"/>
        <v>361.99331999999998</v>
      </c>
      <c r="D944" s="91">
        <f t="shared" si="176"/>
        <v>434.39198399999998</v>
      </c>
      <c r="E944" s="90">
        <v>0</v>
      </c>
      <c r="F944" s="128">
        <f t="shared" si="177"/>
        <v>542.98997999999995</v>
      </c>
    </row>
    <row r="945" spans="1:11" x14ac:dyDescent="0.3">
      <c r="A945" s="127">
        <v>21</v>
      </c>
      <c r="B945" s="90" t="s">
        <v>331</v>
      </c>
      <c r="C945" s="90">
        <f t="shared" si="173"/>
        <v>361.99331999999998</v>
      </c>
      <c r="D945" s="91">
        <f t="shared" si="176"/>
        <v>434.39198399999998</v>
      </c>
      <c r="E945" s="90">
        <v>0</v>
      </c>
      <c r="F945" s="128">
        <f t="shared" si="177"/>
        <v>542.98997999999995</v>
      </c>
    </row>
    <row r="946" spans="1:11" ht="15.6" x14ac:dyDescent="0.3">
      <c r="A946" s="127">
        <v>22</v>
      </c>
      <c r="B946" s="90" t="s">
        <v>331</v>
      </c>
      <c r="C946" s="90">
        <f t="shared" si="173"/>
        <v>361.99331999999998</v>
      </c>
      <c r="D946" s="91">
        <f t="shared" si="176"/>
        <v>434.39198399999998</v>
      </c>
      <c r="E946" s="90">
        <v>0</v>
      </c>
      <c r="F946" s="128">
        <f t="shared" si="177"/>
        <v>542.98997999999995</v>
      </c>
      <c r="K946" s="40"/>
    </row>
    <row r="947" spans="1:11" ht="15.6" x14ac:dyDescent="0.3">
      <c r="A947" s="127">
        <v>23</v>
      </c>
      <c r="B947" s="171" t="s">
        <v>335</v>
      </c>
      <c r="C947" s="172"/>
      <c r="D947" s="172"/>
      <c r="E947" s="173"/>
      <c r="F947" s="128">
        <f t="shared" si="177"/>
        <v>0</v>
      </c>
      <c r="K947" s="39"/>
    </row>
    <row r="948" spans="1:11" x14ac:dyDescent="0.3">
      <c r="A948" s="127">
        <v>24</v>
      </c>
      <c r="B948" s="90" t="s">
        <v>331</v>
      </c>
      <c r="C948" s="90">
        <f t="shared" si="173"/>
        <v>361.99331999999998</v>
      </c>
      <c r="D948" s="91">
        <f t="shared" ref="D948:D953" si="178">C948*1.2</f>
        <v>434.39198399999998</v>
      </c>
      <c r="E948" s="90">
        <v>0</v>
      </c>
      <c r="F948" s="128">
        <f t="shared" si="177"/>
        <v>542.98997999999995</v>
      </c>
    </row>
    <row r="949" spans="1:11" x14ac:dyDescent="0.3">
      <c r="A949" s="127">
        <v>25</v>
      </c>
      <c r="B949" s="90" t="s">
        <v>331</v>
      </c>
      <c r="C949" s="90">
        <f t="shared" si="173"/>
        <v>361.99331999999998</v>
      </c>
      <c r="D949" s="91">
        <f t="shared" si="178"/>
        <v>434.39198399999998</v>
      </c>
      <c r="E949" s="90">
        <v>0</v>
      </c>
      <c r="F949" s="128">
        <f t="shared" si="177"/>
        <v>542.98997999999995</v>
      </c>
    </row>
    <row r="950" spans="1:11" ht="15.6" x14ac:dyDescent="0.3">
      <c r="A950" s="127">
        <v>26</v>
      </c>
      <c r="B950" s="90" t="s">
        <v>331</v>
      </c>
      <c r="C950" s="90">
        <f t="shared" si="173"/>
        <v>361.99331999999998</v>
      </c>
      <c r="D950" s="91">
        <f t="shared" si="178"/>
        <v>434.39198399999998</v>
      </c>
      <c r="E950" s="90">
        <v>0</v>
      </c>
      <c r="F950" s="128">
        <f t="shared" si="177"/>
        <v>542.98997999999995</v>
      </c>
      <c r="K950" s="40"/>
    </row>
    <row r="951" spans="1:11" ht="15.6" x14ac:dyDescent="0.3">
      <c r="A951" s="127">
        <v>27</v>
      </c>
      <c r="B951" s="90" t="s">
        <v>331</v>
      </c>
      <c r="C951" s="90">
        <f t="shared" si="173"/>
        <v>361.99331999999998</v>
      </c>
      <c r="D951" s="91">
        <f t="shared" si="178"/>
        <v>434.39198399999998</v>
      </c>
      <c r="E951" s="90">
        <v>0</v>
      </c>
      <c r="F951" s="128">
        <f t="shared" si="177"/>
        <v>542.98997999999995</v>
      </c>
      <c r="K951" s="39"/>
    </row>
    <row r="952" spans="1:11" ht="15.6" x14ac:dyDescent="0.3">
      <c r="A952" s="127">
        <v>28</v>
      </c>
      <c r="B952" s="90" t="s">
        <v>331</v>
      </c>
      <c r="C952" s="90">
        <f t="shared" si="173"/>
        <v>361.99331999999998</v>
      </c>
      <c r="D952" s="91">
        <f t="shared" si="178"/>
        <v>434.39198399999998</v>
      </c>
      <c r="E952" s="90">
        <v>0</v>
      </c>
      <c r="F952" s="128">
        <f t="shared" si="177"/>
        <v>542.98997999999995</v>
      </c>
      <c r="K952" s="39"/>
    </row>
    <row r="953" spans="1:11" ht="15.6" x14ac:dyDescent="0.3">
      <c r="A953" s="127">
        <v>29</v>
      </c>
      <c r="B953" s="90" t="s">
        <v>331</v>
      </c>
      <c r="C953" s="90">
        <f t="shared" si="173"/>
        <v>361.99331999999998</v>
      </c>
      <c r="D953" s="91">
        <f t="shared" si="178"/>
        <v>434.39198399999998</v>
      </c>
      <c r="E953" s="90">
        <v>0</v>
      </c>
      <c r="F953" s="128">
        <f t="shared" si="177"/>
        <v>542.98997999999995</v>
      </c>
      <c r="K953" s="40"/>
    </row>
    <row r="954" spans="1:11" ht="15.6" x14ac:dyDescent="0.3">
      <c r="A954" s="127">
        <v>30</v>
      </c>
      <c r="B954" s="171" t="s">
        <v>335</v>
      </c>
      <c r="C954" s="172"/>
      <c r="D954" s="172"/>
      <c r="E954" s="173"/>
      <c r="F954" s="128">
        <f t="shared" si="177"/>
        <v>0</v>
      </c>
      <c r="K954" s="39"/>
    </row>
    <row r="955" spans="1:11" x14ac:dyDescent="0.3">
      <c r="A955" s="127">
        <v>31</v>
      </c>
      <c r="B955" s="90" t="s">
        <v>331</v>
      </c>
      <c r="C955" s="90">
        <f t="shared" si="173"/>
        <v>361.99331999999998</v>
      </c>
      <c r="D955" s="91">
        <f t="shared" ref="D955:D960" si="179">C955*1.2</f>
        <v>434.39198399999998</v>
      </c>
      <c r="E955" s="90">
        <v>0</v>
      </c>
      <c r="F955" s="128">
        <f t="shared" si="177"/>
        <v>542.98997999999995</v>
      </c>
    </row>
    <row r="956" spans="1:11" x14ac:dyDescent="0.3">
      <c r="A956" s="127">
        <v>32</v>
      </c>
      <c r="B956" s="90" t="s">
        <v>331</v>
      </c>
      <c r="C956" s="90">
        <f t="shared" si="173"/>
        <v>361.99331999999998</v>
      </c>
      <c r="D956" s="91">
        <f t="shared" si="179"/>
        <v>434.39198399999998</v>
      </c>
      <c r="E956" s="90">
        <v>0</v>
      </c>
      <c r="F956" s="128">
        <f t="shared" si="177"/>
        <v>542.98997999999995</v>
      </c>
    </row>
    <row r="957" spans="1:11" ht="15.6" x14ac:dyDescent="0.3">
      <c r="A957" s="127">
        <v>33</v>
      </c>
      <c r="B957" s="90" t="s">
        <v>331</v>
      </c>
      <c r="C957" s="90">
        <f t="shared" si="173"/>
        <v>361.99331999999998</v>
      </c>
      <c r="D957" s="91">
        <f t="shared" si="179"/>
        <v>434.39198399999998</v>
      </c>
      <c r="E957" s="90">
        <v>0</v>
      </c>
      <c r="F957" s="128">
        <f t="shared" si="177"/>
        <v>542.98997999999995</v>
      </c>
      <c r="K957" s="40"/>
    </row>
    <row r="958" spans="1:11" ht="15.6" x14ac:dyDescent="0.3">
      <c r="A958" s="127">
        <v>34</v>
      </c>
      <c r="B958" s="90" t="s">
        <v>331</v>
      </c>
      <c r="C958" s="90">
        <f t="shared" si="173"/>
        <v>361.99331999999998</v>
      </c>
      <c r="D958" s="91">
        <f t="shared" si="179"/>
        <v>434.39198399999998</v>
      </c>
      <c r="E958" s="90">
        <v>0</v>
      </c>
      <c r="F958" s="128">
        <f t="shared" si="177"/>
        <v>542.98997999999995</v>
      </c>
      <c r="K958" s="39"/>
    </row>
    <row r="959" spans="1:11" ht="15.6" x14ac:dyDescent="0.3">
      <c r="A959" s="127">
        <v>35</v>
      </c>
      <c r="B959" s="90" t="s">
        <v>331</v>
      </c>
      <c r="C959" s="90">
        <f t="shared" si="173"/>
        <v>361.99331999999998</v>
      </c>
      <c r="D959" s="91">
        <f t="shared" si="179"/>
        <v>434.39198399999998</v>
      </c>
      <c r="E959" s="90">
        <v>0</v>
      </c>
      <c r="F959" s="128">
        <f t="shared" si="177"/>
        <v>542.98997999999995</v>
      </c>
      <c r="K959" s="39"/>
    </row>
    <row r="960" spans="1:11" ht="15.6" x14ac:dyDescent="0.3">
      <c r="A960" s="127">
        <v>36</v>
      </c>
      <c r="B960" s="90" t="s">
        <v>331</v>
      </c>
      <c r="C960" s="90">
        <f t="shared" si="173"/>
        <v>361.99331999999998</v>
      </c>
      <c r="D960" s="91">
        <f t="shared" si="179"/>
        <v>434.39198399999998</v>
      </c>
      <c r="E960" s="90">
        <v>0</v>
      </c>
      <c r="F960" s="128">
        <f t="shared" si="177"/>
        <v>542.98997999999995</v>
      </c>
      <c r="K960" s="39"/>
    </row>
    <row r="961" spans="1:14" s="37" customFormat="1" ht="15.6" x14ac:dyDescent="0.3">
      <c r="A961" s="151" t="s">
        <v>376</v>
      </c>
      <c r="B961" s="152"/>
      <c r="C961" s="152"/>
      <c r="D961" s="152"/>
      <c r="E961" s="152"/>
      <c r="F961" s="153"/>
      <c r="G961" s="158"/>
      <c r="H961" s="158"/>
      <c r="I961" s="158"/>
      <c r="J961" s="158"/>
      <c r="K961" s="158"/>
    </row>
    <row r="962" spans="1:14" s="39" customFormat="1" ht="15.75" customHeight="1" x14ac:dyDescent="0.3">
      <c r="A962" s="151" t="s">
        <v>332</v>
      </c>
      <c r="B962" s="152"/>
      <c r="C962" s="152"/>
      <c r="D962" s="152"/>
      <c r="E962" s="152"/>
      <c r="F962" s="153"/>
      <c r="G962" s="43"/>
      <c r="H962" s="43"/>
      <c r="K962" s="40"/>
    </row>
    <row r="963" spans="1:14" s="39" customFormat="1" ht="15.75" customHeight="1" x14ac:dyDescent="0.3">
      <c r="A963" s="127">
        <v>1</v>
      </c>
      <c r="B963" s="90" t="s">
        <v>331</v>
      </c>
      <c r="C963" s="90">
        <f>(27.66+1.2*1.8+3.16*0.75)*10.764</f>
        <v>346.49315999999993</v>
      </c>
      <c r="D963" s="91">
        <f>C963*1.2</f>
        <v>415.79179199999993</v>
      </c>
      <c r="E963" s="90">
        <f>(5*1.2+1.33*1.88)*10.764</f>
        <v>91.498305599999981</v>
      </c>
      <c r="F963" s="128">
        <f>C963*(($F$469)+1)+(IF(E963&lt;101,E963,IF(E963&lt;201,E963/2,IF(E963&lt;=301,E963/3,E963/4))))</f>
        <v>611.23804559999985</v>
      </c>
      <c r="G963" s="43"/>
      <c r="H963" s="43"/>
      <c r="K963"/>
    </row>
    <row r="964" spans="1:14" s="39" customFormat="1" ht="15.6" x14ac:dyDescent="0.3">
      <c r="A964" s="127">
        <v>2</v>
      </c>
      <c r="B964" s="90" t="s">
        <v>331</v>
      </c>
      <c r="C964" s="90">
        <f>(27.66+1.2*1.2+3.16*0.75)*10.764</f>
        <v>338.74308000000002</v>
      </c>
      <c r="D964" s="91">
        <f t="shared" ref="D964:D968" si="180">C964*1.2</f>
        <v>406.49169599999999</v>
      </c>
      <c r="E964" s="90">
        <f>(3.5*1.8)*10.764</f>
        <v>67.813199999999995</v>
      </c>
      <c r="F964" s="128">
        <f t="shared" ref="F964:F968" si="181">C964*(($F$469)+1)+(IF(E964&lt;101,E964,IF(E964&lt;201,E964/2,IF(E964&lt;=301,E964/3,E964/4))))</f>
        <v>575.92782000000011</v>
      </c>
      <c r="G964" s="157"/>
      <c r="H964" s="157"/>
      <c r="I964" s="40"/>
      <c r="J964" s="54"/>
      <c r="K964"/>
      <c r="L964" s="170"/>
      <c r="M964" s="170"/>
      <c r="N964" s="40"/>
    </row>
    <row r="965" spans="1:14" x14ac:dyDescent="0.3">
      <c r="A965" s="127">
        <v>3</v>
      </c>
      <c r="B965" s="90" t="s">
        <v>331</v>
      </c>
      <c r="C965" s="90">
        <f>(27.66+3.16*0.75)*10.764</f>
        <v>323.24291999999997</v>
      </c>
      <c r="D965" s="91">
        <f t="shared" si="180"/>
        <v>387.89150399999994</v>
      </c>
      <c r="E965" s="90">
        <f>(3.5*1.8+5*1.2+1.4*2.7)*10.764</f>
        <v>173.08512000000002</v>
      </c>
      <c r="F965" s="128">
        <f t="shared" si="181"/>
        <v>571.40693999999996</v>
      </c>
    </row>
    <row r="966" spans="1:14" x14ac:dyDescent="0.3">
      <c r="A966" s="127">
        <v>4</v>
      </c>
      <c r="B966" s="90" t="s">
        <v>331</v>
      </c>
      <c r="C966" s="90">
        <f>(27.66+3.16*0.75)*10.764</f>
        <v>323.24291999999997</v>
      </c>
      <c r="D966" s="91">
        <f t="shared" si="180"/>
        <v>387.89150399999994</v>
      </c>
      <c r="E966" s="90">
        <f>(5*1.2+3.5*1.8)*10.764</f>
        <v>132.3972</v>
      </c>
      <c r="F966" s="128">
        <f t="shared" si="181"/>
        <v>551.06297999999992</v>
      </c>
    </row>
    <row r="967" spans="1:14" ht="15.6" x14ac:dyDescent="0.3">
      <c r="A967" s="127">
        <v>5</v>
      </c>
      <c r="B967" s="90" t="s">
        <v>331</v>
      </c>
      <c r="C967" s="90">
        <f>(27.66+1.2*1.2+3.16*0.75)*10.764</f>
        <v>338.74308000000002</v>
      </c>
      <c r="D967" s="91">
        <f t="shared" si="180"/>
        <v>406.49169599999999</v>
      </c>
      <c r="E967" s="90">
        <f>(3.5*1.8+1.83*3.13)*10.764</f>
        <v>129.46831559999998</v>
      </c>
      <c r="F967" s="128">
        <f t="shared" si="181"/>
        <v>572.84877780000011</v>
      </c>
      <c r="K967" s="40"/>
    </row>
    <row r="968" spans="1:14" ht="15.6" x14ac:dyDescent="0.3">
      <c r="A968" s="127">
        <v>6</v>
      </c>
      <c r="B968" s="90" t="s">
        <v>331</v>
      </c>
      <c r="C968" s="90">
        <f>(27.66+1.2*1.2+3.16*0.75)*10.764</f>
        <v>338.74308000000002</v>
      </c>
      <c r="D968" s="91">
        <f t="shared" si="180"/>
        <v>406.49169599999999</v>
      </c>
      <c r="E968" s="90">
        <f>(3.5*1.8)*10.764</f>
        <v>67.813199999999995</v>
      </c>
      <c r="F968" s="128">
        <f t="shared" si="181"/>
        <v>575.92782000000011</v>
      </c>
      <c r="K968" s="39"/>
    </row>
    <row r="969" spans="1:14" s="39" customFormat="1" ht="15.75" customHeight="1" x14ac:dyDescent="0.3">
      <c r="A969" s="127">
        <v>7</v>
      </c>
      <c r="B969" s="90" t="s">
        <v>331</v>
      </c>
      <c r="C969" s="90">
        <f>(27.66+3.16*0.75)*10.764</f>
        <v>323.24291999999997</v>
      </c>
      <c r="D969" s="91">
        <f>C969*1.2</f>
        <v>387.89150399999994</v>
      </c>
      <c r="E969" s="90">
        <f>(5*1.2+3.5*1.8)*10.764</f>
        <v>132.3972</v>
      </c>
      <c r="F969" s="128">
        <f>C969*(($F$469)+1)+(IF(E969&lt;101,E969,IF(E969&lt;201,E969/2,IF(E969&lt;=301,E969/3,E969/4))))</f>
        <v>551.06297999999992</v>
      </c>
      <c r="G969" s="43"/>
      <c r="H969" s="43"/>
      <c r="K969"/>
    </row>
    <row r="970" spans="1:14" s="39" customFormat="1" ht="15.6" x14ac:dyDescent="0.3">
      <c r="A970" s="127">
        <v>8</v>
      </c>
      <c r="B970" s="90" t="s">
        <v>331</v>
      </c>
      <c r="C970" s="90">
        <f t="shared" ref="C970:C973" si="182">(27.66+3.16*0.75)*10.764</f>
        <v>323.24291999999997</v>
      </c>
      <c r="D970" s="91">
        <f t="shared" ref="D970:D979" si="183">C970*1.2</f>
        <v>387.89150399999994</v>
      </c>
      <c r="E970" s="90">
        <f>(1.2*5+1.8*3.5+0.6*1)*10.764</f>
        <v>138.85559999999998</v>
      </c>
      <c r="F970" s="128">
        <f t="shared" ref="F970:F979" si="184">C970*(($F$469)+1)+(IF(E970&lt;101,E970,IF(E970&lt;201,E970/2,IF(E970&lt;=301,E970/3,E970/4))))</f>
        <v>554.29217999999992</v>
      </c>
      <c r="G970" s="157"/>
      <c r="H970" s="157"/>
      <c r="I970" s="40"/>
      <c r="J970" s="54"/>
      <c r="K970"/>
      <c r="L970" s="170"/>
      <c r="M970" s="170"/>
      <c r="N970" s="40"/>
    </row>
    <row r="971" spans="1:14" x14ac:dyDescent="0.3">
      <c r="A971" s="127">
        <v>9</v>
      </c>
      <c r="B971" s="90" t="s">
        <v>331</v>
      </c>
      <c r="C971" s="90">
        <f t="shared" si="182"/>
        <v>323.24291999999997</v>
      </c>
      <c r="D971" s="91">
        <f t="shared" si="183"/>
        <v>387.89150399999994</v>
      </c>
      <c r="E971" s="90">
        <f>(5*1.2+3.5*1.8)*10.764</f>
        <v>132.3972</v>
      </c>
      <c r="F971" s="128">
        <f t="shared" si="184"/>
        <v>551.06297999999992</v>
      </c>
    </row>
    <row r="972" spans="1:14" x14ac:dyDescent="0.3">
      <c r="A972" s="127">
        <v>10</v>
      </c>
      <c r="B972" s="90" t="s">
        <v>331</v>
      </c>
      <c r="C972" s="90">
        <f t="shared" si="182"/>
        <v>323.24291999999997</v>
      </c>
      <c r="D972" s="91">
        <f t="shared" si="183"/>
        <v>387.89150399999994</v>
      </c>
      <c r="E972" s="90">
        <f t="shared" ref="E972:E973" si="185">(5*1.2+3.5*1.8)*10.764</f>
        <v>132.3972</v>
      </c>
      <c r="F972" s="128">
        <f t="shared" si="184"/>
        <v>551.06297999999992</v>
      </c>
    </row>
    <row r="973" spans="1:14" ht="15.6" x14ac:dyDescent="0.3">
      <c r="A973" s="127">
        <v>11</v>
      </c>
      <c r="B973" s="90" t="s">
        <v>331</v>
      </c>
      <c r="C973" s="90">
        <f t="shared" si="182"/>
        <v>323.24291999999997</v>
      </c>
      <c r="D973" s="91">
        <f t="shared" si="183"/>
        <v>387.89150399999994</v>
      </c>
      <c r="E973" s="90">
        <f t="shared" si="185"/>
        <v>132.3972</v>
      </c>
      <c r="F973" s="128">
        <f t="shared" si="184"/>
        <v>551.06297999999992</v>
      </c>
      <c r="K973" s="40"/>
    </row>
    <row r="974" spans="1:14" ht="15.6" x14ac:dyDescent="0.3">
      <c r="A974" s="127">
        <v>12</v>
      </c>
      <c r="B974" s="90" t="s">
        <v>331</v>
      </c>
      <c r="C974" s="90">
        <f>(27.66+1.2*1.2+3.16*0.75)*10.764</f>
        <v>338.74308000000002</v>
      </c>
      <c r="D974" s="91">
        <f t="shared" si="183"/>
        <v>406.49169599999999</v>
      </c>
      <c r="E974" s="90">
        <f>(3.5*1.8)*10.764</f>
        <v>67.813199999999995</v>
      </c>
      <c r="F974" s="128">
        <f t="shared" si="184"/>
        <v>575.92782000000011</v>
      </c>
      <c r="K974" s="39"/>
    </row>
    <row r="975" spans="1:14" s="39" customFormat="1" ht="15.6" x14ac:dyDescent="0.3">
      <c r="A975" s="127">
        <v>13</v>
      </c>
      <c r="B975" s="90" t="s">
        <v>331</v>
      </c>
      <c r="C975" s="90">
        <f>(27.66+1.2*1.8+3.16*0.75)*10.764</f>
        <v>346.49315999999993</v>
      </c>
      <c r="D975" s="91">
        <f t="shared" si="183"/>
        <v>415.79179199999993</v>
      </c>
      <c r="E975" s="90">
        <f>(5*1.2)*10.764</f>
        <v>64.584000000000003</v>
      </c>
      <c r="F975" s="128">
        <f t="shared" si="184"/>
        <v>584.32373999999982</v>
      </c>
      <c r="G975" s="157"/>
      <c r="H975" s="157"/>
      <c r="I975" s="40"/>
      <c r="J975" s="54"/>
      <c r="K975"/>
      <c r="L975" s="170"/>
      <c r="M975" s="170"/>
      <c r="N975" s="40"/>
    </row>
    <row r="976" spans="1:14" x14ac:dyDescent="0.3">
      <c r="A976" s="127">
        <v>14</v>
      </c>
      <c r="B976" s="90" t="s">
        <v>331</v>
      </c>
      <c r="C976" s="90">
        <f>(27.66+1.2*1.8+3.16*0.75)*10.764</f>
        <v>346.49315999999993</v>
      </c>
      <c r="D976" s="91">
        <f t="shared" si="183"/>
        <v>415.79179199999993</v>
      </c>
      <c r="E976" s="90">
        <f>(5*1.2)*10.764</f>
        <v>64.584000000000003</v>
      </c>
      <c r="F976" s="128">
        <f t="shared" si="184"/>
        <v>584.32373999999982</v>
      </c>
    </row>
    <row r="977" spans="1:14" x14ac:dyDescent="0.3">
      <c r="A977" s="127">
        <v>15</v>
      </c>
      <c r="B977" s="90" t="s">
        <v>331</v>
      </c>
      <c r="C977" s="90">
        <f>(27.66+1.2*1.2+3.16*0.75)*10.764</f>
        <v>338.74308000000002</v>
      </c>
      <c r="D977" s="91">
        <f t="shared" si="183"/>
        <v>406.49169599999999</v>
      </c>
      <c r="E977" s="90">
        <f>(3.5*1.8)*10.764</f>
        <v>67.813199999999995</v>
      </c>
      <c r="F977" s="128">
        <f t="shared" si="184"/>
        <v>575.92782000000011</v>
      </c>
    </row>
    <row r="978" spans="1:14" ht="15.6" x14ac:dyDescent="0.3">
      <c r="A978" s="127">
        <v>16</v>
      </c>
      <c r="B978" s="90" t="s">
        <v>331</v>
      </c>
      <c r="C978" s="90">
        <f t="shared" ref="C978:C982" si="186">(27.66+3.16*0.75)*10.764</f>
        <v>323.24291999999997</v>
      </c>
      <c r="D978" s="91">
        <f t="shared" si="183"/>
        <v>387.89150399999994</v>
      </c>
      <c r="E978" s="90">
        <f t="shared" ref="E978:E980" si="187">(5*1.2+3.5*1.8)*10.764</f>
        <v>132.3972</v>
      </c>
      <c r="F978" s="128">
        <f t="shared" si="184"/>
        <v>551.06297999999992</v>
      </c>
      <c r="K978" s="40"/>
    </row>
    <row r="979" spans="1:14" ht="15.6" x14ac:dyDescent="0.3">
      <c r="A979" s="127">
        <v>17</v>
      </c>
      <c r="B979" s="90" t="s">
        <v>331</v>
      </c>
      <c r="C979" s="90">
        <f t="shared" si="186"/>
        <v>323.24291999999997</v>
      </c>
      <c r="D979" s="91">
        <f t="shared" si="183"/>
        <v>387.89150399999994</v>
      </c>
      <c r="E979" s="90">
        <f t="shared" si="187"/>
        <v>132.3972</v>
      </c>
      <c r="F979" s="128">
        <f t="shared" si="184"/>
        <v>551.06297999999992</v>
      </c>
      <c r="K979" s="39"/>
    </row>
    <row r="980" spans="1:14" s="39" customFormat="1" ht="15.75" customHeight="1" x14ac:dyDescent="0.3">
      <c r="A980" s="127">
        <v>18</v>
      </c>
      <c r="B980" s="90" t="s">
        <v>331</v>
      </c>
      <c r="C980" s="90">
        <f t="shared" si="186"/>
        <v>323.24291999999997</v>
      </c>
      <c r="D980" s="91">
        <f>C980*1.2</f>
        <v>387.89150399999994</v>
      </c>
      <c r="E980" s="90">
        <f t="shared" si="187"/>
        <v>132.3972</v>
      </c>
      <c r="F980" s="128">
        <f>C980*(($F$469)+1)+(IF(E980&lt;101,E980,IF(E980&lt;201,E980/2,IF(E980&lt;=301,E980/3,E980/4))))</f>
        <v>551.06297999999992</v>
      </c>
      <c r="G980" s="43"/>
      <c r="H980" s="43"/>
      <c r="K980"/>
    </row>
    <row r="981" spans="1:14" s="39" customFormat="1" ht="15.6" x14ac:dyDescent="0.3">
      <c r="A981" s="127">
        <v>19</v>
      </c>
      <c r="B981" s="90" t="s">
        <v>331</v>
      </c>
      <c r="C981" s="90">
        <f t="shared" si="186"/>
        <v>323.24291999999997</v>
      </c>
      <c r="D981" s="91">
        <f t="shared" ref="D981:D990" si="188">C981*1.2</f>
        <v>387.89150399999994</v>
      </c>
      <c r="E981" s="90">
        <f>(1.2*5+1.8*3.5+0.6*1)*10.764</f>
        <v>138.85559999999998</v>
      </c>
      <c r="F981" s="128">
        <f t="shared" ref="F981:F990" si="189">C981*(($F$469)+1)+(IF(E981&lt;101,E981,IF(E981&lt;201,E981/2,IF(E981&lt;=301,E981/3,E981/4))))</f>
        <v>554.29217999999992</v>
      </c>
      <c r="G981" s="157"/>
      <c r="H981" s="157"/>
      <c r="I981" s="40"/>
      <c r="J981" s="54"/>
      <c r="K981"/>
      <c r="L981" s="170"/>
      <c r="M981" s="170"/>
      <c r="N981" s="40"/>
    </row>
    <row r="982" spans="1:14" x14ac:dyDescent="0.3">
      <c r="A982" s="127">
        <v>20</v>
      </c>
      <c r="B982" s="90" t="s">
        <v>331</v>
      </c>
      <c r="C982" s="90">
        <f t="shared" si="186"/>
        <v>323.24291999999997</v>
      </c>
      <c r="D982" s="91">
        <f t="shared" si="188"/>
        <v>387.89150399999994</v>
      </c>
      <c r="E982" s="90">
        <f>(6.4*1.2+2.7*1.8+4.5*1.2)*10.764</f>
        <v>193.10615999999996</v>
      </c>
      <c r="F982" s="128">
        <f t="shared" si="189"/>
        <v>581.41746000000001</v>
      </c>
    </row>
    <row r="983" spans="1:14" x14ac:dyDescent="0.3">
      <c r="A983" s="127">
        <v>21</v>
      </c>
      <c r="B983" s="90" t="s">
        <v>331</v>
      </c>
      <c r="C983" s="90">
        <f>(27.66+1.2*1.2+3.16*0.75)*10.764</f>
        <v>338.74308000000002</v>
      </c>
      <c r="D983" s="91">
        <f t="shared" si="188"/>
        <v>406.49169599999999</v>
      </c>
      <c r="E983" s="90">
        <f>(3.5*1.8)*10.764</f>
        <v>67.813199999999995</v>
      </c>
      <c r="F983" s="128">
        <f t="shared" si="189"/>
        <v>575.92782000000011</v>
      </c>
    </row>
    <row r="984" spans="1:14" ht="15.6" x14ac:dyDescent="0.3">
      <c r="A984" s="127">
        <v>22</v>
      </c>
      <c r="B984" s="90" t="s">
        <v>331</v>
      </c>
      <c r="C984" s="90">
        <f>(27.66+1.2*1.2+3.16*0.75)*10.764</f>
        <v>338.74308000000002</v>
      </c>
      <c r="D984" s="91">
        <f t="shared" si="188"/>
        <v>406.49169599999999</v>
      </c>
      <c r="E984" s="90">
        <f>(2.5*1.8+4.5*1.2)*10.764</f>
        <v>106.56359999999998</v>
      </c>
      <c r="F984" s="128">
        <f t="shared" si="189"/>
        <v>561.39642000000003</v>
      </c>
      <c r="K984" s="40"/>
    </row>
    <row r="985" spans="1:14" ht="15.6" x14ac:dyDescent="0.3">
      <c r="A985" s="127">
        <v>23</v>
      </c>
      <c r="B985" s="90" t="s">
        <v>331</v>
      </c>
      <c r="C985" s="90">
        <f t="shared" ref="C985:C988" si="190">(27.66+3.16*0.75)*10.764</f>
        <v>323.24291999999997</v>
      </c>
      <c r="D985" s="91">
        <f t="shared" si="188"/>
        <v>387.89150399999994</v>
      </c>
      <c r="E985" s="90">
        <f t="shared" ref="E985" si="191">(5*1.2+3.5*1.8)*10.764</f>
        <v>132.3972</v>
      </c>
      <c r="F985" s="128">
        <f t="shared" si="189"/>
        <v>551.06297999999992</v>
      </c>
      <c r="K985" s="39"/>
    </row>
    <row r="986" spans="1:14" x14ac:dyDescent="0.3">
      <c r="A986" s="127">
        <v>24</v>
      </c>
      <c r="B986" s="90" t="s">
        <v>331</v>
      </c>
      <c r="C986" s="90">
        <f t="shared" si="190"/>
        <v>323.24291999999997</v>
      </c>
      <c r="D986" s="91">
        <f t="shared" si="188"/>
        <v>387.89150399999994</v>
      </c>
      <c r="E986" s="90">
        <f>(3.5*1.8+5*1.2+1.5*1.2)*10.764</f>
        <v>151.7724</v>
      </c>
      <c r="F986" s="128">
        <f t="shared" si="189"/>
        <v>560.75058000000001</v>
      </c>
    </row>
    <row r="987" spans="1:14" x14ac:dyDescent="0.3">
      <c r="A987" s="127">
        <v>25</v>
      </c>
      <c r="B987" s="90" t="s">
        <v>331</v>
      </c>
      <c r="C987" s="90">
        <f t="shared" si="190"/>
        <v>323.24291999999997</v>
      </c>
      <c r="D987" s="91">
        <f t="shared" si="188"/>
        <v>387.89150399999994</v>
      </c>
      <c r="E987" s="90">
        <f>(3.5*1.8+5*1.2)*10.764</f>
        <v>132.3972</v>
      </c>
      <c r="F987" s="128">
        <f t="shared" si="189"/>
        <v>551.06297999999992</v>
      </c>
    </row>
    <row r="988" spans="1:14" ht="15.6" x14ac:dyDescent="0.3">
      <c r="A988" s="127">
        <v>26</v>
      </c>
      <c r="B988" s="90" t="s">
        <v>331</v>
      </c>
      <c r="C988" s="90">
        <f t="shared" si="190"/>
        <v>323.24291999999997</v>
      </c>
      <c r="D988" s="91">
        <f t="shared" si="188"/>
        <v>387.89150399999994</v>
      </c>
      <c r="E988" s="90">
        <f>(6.4*1.2+2.7*1.8+4.5*1.2)*10.764</f>
        <v>193.10615999999996</v>
      </c>
      <c r="F988" s="128">
        <f t="shared" si="189"/>
        <v>581.41746000000001</v>
      </c>
      <c r="K988" s="40"/>
    </row>
    <row r="989" spans="1:14" ht="15.6" x14ac:dyDescent="0.3">
      <c r="A989" s="127">
        <v>27</v>
      </c>
      <c r="B989" s="90" t="s">
        <v>331</v>
      </c>
      <c r="C989" s="90">
        <f>(27.66+1.2*1.2+3.16*0.75)*10.764</f>
        <v>338.74308000000002</v>
      </c>
      <c r="D989" s="91">
        <f t="shared" si="188"/>
        <v>406.49169599999999</v>
      </c>
      <c r="E989" s="90">
        <f>(1.2*3.5+1.8*2.7)*10.764</f>
        <v>97.521839999999997</v>
      </c>
      <c r="F989" s="128">
        <f t="shared" si="189"/>
        <v>605.63646000000006</v>
      </c>
      <c r="K989" s="39"/>
    </row>
    <row r="990" spans="1:14" ht="15.6" x14ac:dyDescent="0.3">
      <c r="A990" s="127">
        <v>28</v>
      </c>
      <c r="B990" s="90" t="s">
        <v>331</v>
      </c>
      <c r="C990" s="90">
        <f>(27.66+1.2*1.8+3.16*0.75)*10.764</f>
        <v>346.49315999999993</v>
      </c>
      <c r="D990" s="91">
        <f t="shared" si="188"/>
        <v>415.79179199999993</v>
      </c>
      <c r="E990" s="90">
        <f>(5*1.2)*10.764</f>
        <v>64.584000000000003</v>
      </c>
      <c r="F990" s="128">
        <f t="shared" si="189"/>
        <v>584.32373999999982</v>
      </c>
      <c r="K990" s="39"/>
    </row>
    <row r="991" spans="1:14" s="39" customFormat="1" ht="15.75" customHeight="1" x14ac:dyDescent="0.3">
      <c r="A991" s="151" t="s">
        <v>333</v>
      </c>
      <c r="B991" s="152"/>
      <c r="C991" s="152"/>
      <c r="D991" s="152"/>
      <c r="E991" s="152"/>
      <c r="F991" s="153"/>
      <c r="G991" s="43"/>
      <c r="H991" s="43"/>
      <c r="K991" s="40"/>
    </row>
    <row r="992" spans="1:14" s="39" customFormat="1" ht="15.75" customHeight="1" x14ac:dyDescent="0.3">
      <c r="A992" s="127">
        <v>1</v>
      </c>
      <c r="B992" s="90" t="s">
        <v>331</v>
      </c>
      <c r="C992" s="90">
        <f t="shared" ref="C992:C1019" si="192">(23.69+1.8*(1.5+1.2)+0.6*1.68+3.16*0.75+1.2*1.2)*10.764</f>
        <v>359.17315200000002</v>
      </c>
      <c r="D992" s="91">
        <f>C992*1.2</f>
        <v>431.0077824</v>
      </c>
      <c r="E992" s="90">
        <v>0</v>
      </c>
      <c r="F992" s="128">
        <f>C992*(($F$469)+1)+(IF(E992&lt;101,E992,IF(E992&lt;201,E992/2,IF(E992&lt;=301,E992/3,E992/4))))</f>
        <v>538.759728</v>
      </c>
      <c r="G992" s="43"/>
      <c r="H992" s="43"/>
      <c r="K992"/>
    </row>
    <row r="993" spans="1:14" s="39" customFormat="1" ht="15.6" x14ac:dyDescent="0.3">
      <c r="A993" s="127">
        <v>2</v>
      </c>
      <c r="B993" s="90" t="s">
        <v>331</v>
      </c>
      <c r="C993" s="90">
        <f t="shared" si="192"/>
        <v>359.17315200000002</v>
      </c>
      <c r="D993" s="91">
        <f t="shared" ref="D993:D997" si="193">C993*1.2</f>
        <v>431.0077824</v>
      </c>
      <c r="E993" s="90">
        <v>0</v>
      </c>
      <c r="F993" s="128">
        <f t="shared" ref="F993:F997" si="194">C993*(($F$469)+1)+(IF(E993&lt;101,E993,IF(E993&lt;201,E993/2,IF(E993&lt;=301,E993/3,E993/4))))</f>
        <v>538.759728</v>
      </c>
      <c r="G993" s="157"/>
      <c r="H993" s="157"/>
      <c r="I993" s="40"/>
      <c r="J993" s="54"/>
      <c r="K993"/>
      <c r="L993" s="170"/>
      <c r="M993" s="170"/>
      <c r="N993" s="40"/>
    </row>
    <row r="994" spans="1:14" x14ac:dyDescent="0.3">
      <c r="A994" s="127">
        <v>3</v>
      </c>
      <c r="B994" s="90" t="s">
        <v>331</v>
      </c>
      <c r="C994" s="90">
        <f t="shared" si="192"/>
        <v>359.17315200000002</v>
      </c>
      <c r="D994" s="91">
        <f t="shared" si="193"/>
        <v>431.0077824</v>
      </c>
      <c r="E994" s="90">
        <v>0</v>
      </c>
      <c r="F994" s="128">
        <f t="shared" si="194"/>
        <v>538.759728</v>
      </c>
    </row>
    <row r="995" spans="1:14" x14ac:dyDescent="0.3">
      <c r="A995" s="127">
        <v>4</v>
      </c>
      <c r="B995" s="90" t="s">
        <v>331</v>
      </c>
      <c r="C995" s="90">
        <f t="shared" si="192"/>
        <v>359.17315200000002</v>
      </c>
      <c r="D995" s="91">
        <f t="shared" si="193"/>
        <v>431.0077824</v>
      </c>
      <c r="E995" s="90">
        <v>0</v>
      </c>
      <c r="F995" s="128">
        <f t="shared" si="194"/>
        <v>538.759728</v>
      </c>
    </row>
    <row r="996" spans="1:14" ht="15.6" x14ac:dyDescent="0.3">
      <c r="A996" s="127">
        <v>5</v>
      </c>
      <c r="B996" s="90" t="s">
        <v>331</v>
      </c>
      <c r="C996" s="90">
        <f t="shared" si="192"/>
        <v>359.17315200000002</v>
      </c>
      <c r="D996" s="91">
        <f t="shared" si="193"/>
        <v>431.0077824</v>
      </c>
      <c r="E996" s="90">
        <v>0</v>
      </c>
      <c r="F996" s="128">
        <f t="shared" si="194"/>
        <v>538.759728</v>
      </c>
      <c r="K996" s="40"/>
    </row>
    <row r="997" spans="1:14" ht="15.6" x14ac:dyDescent="0.3">
      <c r="A997" s="127">
        <v>6</v>
      </c>
      <c r="B997" s="90" t="s">
        <v>331</v>
      </c>
      <c r="C997" s="90">
        <f t="shared" si="192"/>
        <v>359.17315200000002</v>
      </c>
      <c r="D997" s="91">
        <f t="shared" si="193"/>
        <v>431.0077824</v>
      </c>
      <c r="E997" s="90">
        <v>0</v>
      </c>
      <c r="F997" s="128">
        <f t="shared" si="194"/>
        <v>538.759728</v>
      </c>
      <c r="K997" s="39"/>
    </row>
    <row r="998" spans="1:14" s="39" customFormat="1" ht="15.75" customHeight="1" x14ac:dyDescent="0.3">
      <c r="A998" s="127">
        <v>7</v>
      </c>
      <c r="B998" s="90" t="s">
        <v>331</v>
      </c>
      <c r="C998" s="90">
        <f t="shared" si="192"/>
        <v>359.17315200000002</v>
      </c>
      <c r="D998" s="91">
        <f>C998*1.2</f>
        <v>431.0077824</v>
      </c>
      <c r="E998" s="90">
        <v>0</v>
      </c>
      <c r="F998" s="128">
        <f>C998*(($F$469)+1)+(IF(E998&lt;101,E998,IF(E998&lt;201,E998/2,IF(E998&lt;=301,E998/3,E998/4))))</f>
        <v>538.759728</v>
      </c>
      <c r="G998" s="43"/>
      <c r="H998" s="43"/>
      <c r="K998"/>
    </row>
    <row r="999" spans="1:14" s="39" customFormat="1" ht="15.6" x14ac:dyDescent="0.3">
      <c r="A999" s="127">
        <v>8</v>
      </c>
      <c r="B999" s="90" t="s">
        <v>331</v>
      </c>
      <c r="C999" s="90">
        <f t="shared" si="192"/>
        <v>359.17315200000002</v>
      </c>
      <c r="D999" s="91">
        <f t="shared" ref="D999:D1008" si="195">C999*1.2</f>
        <v>431.0077824</v>
      </c>
      <c r="E999" s="90">
        <v>0</v>
      </c>
      <c r="F999" s="128">
        <f t="shared" ref="F999:F1008" si="196">C999*(($F$469)+1)+(IF(E999&lt;101,E999,IF(E999&lt;201,E999/2,IF(E999&lt;=301,E999/3,E999/4))))</f>
        <v>538.759728</v>
      </c>
      <c r="G999" s="157"/>
      <c r="H999" s="157"/>
      <c r="I999" s="40"/>
      <c r="J999" s="54"/>
      <c r="K999"/>
      <c r="L999" s="170"/>
      <c r="M999" s="170"/>
      <c r="N999" s="40"/>
    </row>
    <row r="1000" spans="1:14" x14ac:dyDescent="0.3">
      <c r="A1000" s="127">
        <v>9</v>
      </c>
      <c r="B1000" s="90" t="s">
        <v>331</v>
      </c>
      <c r="C1000" s="90">
        <f t="shared" si="192"/>
        <v>359.17315200000002</v>
      </c>
      <c r="D1000" s="91">
        <f t="shared" si="195"/>
        <v>431.0077824</v>
      </c>
      <c r="E1000" s="90">
        <v>0</v>
      </c>
      <c r="F1000" s="128">
        <f t="shared" si="196"/>
        <v>538.759728</v>
      </c>
    </row>
    <row r="1001" spans="1:14" x14ac:dyDescent="0.3">
      <c r="A1001" s="127">
        <v>10</v>
      </c>
      <c r="B1001" s="90" t="s">
        <v>331</v>
      </c>
      <c r="C1001" s="90">
        <f t="shared" si="192"/>
        <v>359.17315200000002</v>
      </c>
      <c r="D1001" s="91">
        <f t="shared" si="195"/>
        <v>431.0077824</v>
      </c>
      <c r="E1001" s="90">
        <v>0</v>
      </c>
      <c r="F1001" s="128">
        <f t="shared" si="196"/>
        <v>538.759728</v>
      </c>
    </row>
    <row r="1002" spans="1:14" ht="15.6" x14ac:dyDescent="0.3">
      <c r="A1002" s="127">
        <v>11</v>
      </c>
      <c r="B1002" s="90" t="s">
        <v>331</v>
      </c>
      <c r="C1002" s="90">
        <f t="shared" si="192"/>
        <v>359.17315200000002</v>
      </c>
      <c r="D1002" s="91">
        <f t="shared" si="195"/>
        <v>431.0077824</v>
      </c>
      <c r="E1002" s="90">
        <v>0</v>
      </c>
      <c r="F1002" s="128">
        <f t="shared" si="196"/>
        <v>538.759728</v>
      </c>
      <c r="K1002" s="40"/>
    </row>
    <row r="1003" spans="1:14" ht="15.6" x14ac:dyDescent="0.3">
      <c r="A1003" s="127">
        <v>12</v>
      </c>
      <c r="B1003" s="90" t="s">
        <v>331</v>
      </c>
      <c r="C1003" s="90">
        <f t="shared" si="192"/>
        <v>359.17315200000002</v>
      </c>
      <c r="D1003" s="91">
        <f t="shared" si="195"/>
        <v>431.0077824</v>
      </c>
      <c r="E1003" s="90">
        <v>0</v>
      </c>
      <c r="F1003" s="128">
        <f t="shared" si="196"/>
        <v>538.759728</v>
      </c>
      <c r="K1003" s="39"/>
    </row>
    <row r="1004" spans="1:14" s="39" customFormat="1" ht="15.6" x14ac:dyDescent="0.3">
      <c r="A1004" s="127">
        <v>13</v>
      </c>
      <c r="B1004" s="90" t="s">
        <v>331</v>
      </c>
      <c r="C1004" s="90">
        <f t="shared" si="192"/>
        <v>359.17315200000002</v>
      </c>
      <c r="D1004" s="91">
        <f t="shared" si="195"/>
        <v>431.0077824</v>
      </c>
      <c r="E1004" s="90">
        <v>0</v>
      </c>
      <c r="F1004" s="128">
        <f t="shared" si="196"/>
        <v>538.759728</v>
      </c>
      <c r="G1004" s="157"/>
      <c r="H1004" s="157"/>
      <c r="I1004" s="40"/>
      <c r="J1004" s="54"/>
      <c r="K1004"/>
      <c r="L1004" s="170"/>
      <c r="M1004" s="170"/>
      <c r="N1004" s="40"/>
    </row>
    <row r="1005" spans="1:14" x14ac:dyDescent="0.3">
      <c r="A1005" s="127">
        <v>14</v>
      </c>
      <c r="B1005" s="90" t="s">
        <v>331</v>
      </c>
      <c r="C1005" s="90">
        <f t="shared" si="192"/>
        <v>359.17315200000002</v>
      </c>
      <c r="D1005" s="91">
        <f t="shared" si="195"/>
        <v>431.0077824</v>
      </c>
      <c r="E1005" s="90">
        <v>0</v>
      </c>
      <c r="F1005" s="128">
        <f t="shared" si="196"/>
        <v>538.759728</v>
      </c>
    </row>
    <row r="1006" spans="1:14" x14ac:dyDescent="0.3">
      <c r="A1006" s="127">
        <v>15</v>
      </c>
      <c r="B1006" s="90" t="s">
        <v>331</v>
      </c>
      <c r="C1006" s="90">
        <f t="shared" si="192"/>
        <v>359.17315200000002</v>
      </c>
      <c r="D1006" s="91">
        <f t="shared" si="195"/>
        <v>431.0077824</v>
      </c>
      <c r="E1006" s="90">
        <v>0</v>
      </c>
      <c r="F1006" s="128">
        <f t="shared" si="196"/>
        <v>538.759728</v>
      </c>
    </row>
    <row r="1007" spans="1:14" ht="15.6" x14ac:dyDescent="0.3">
      <c r="A1007" s="127">
        <v>16</v>
      </c>
      <c r="B1007" s="90" t="s">
        <v>331</v>
      </c>
      <c r="C1007" s="90">
        <f t="shared" si="192"/>
        <v>359.17315200000002</v>
      </c>
      <c r="D1007" s="91">
        <f t="shared" si="195"/>
        <v>431.0077824</v>
      </c>
      <c r="E1007" s="90">
        <v>0</v>
      </c>
      <c r="F1007" s="128">
        <f t="shared" si="196"/>
        <v>538.759728</v>
      </c>
      <c r="K1007" s="40"/>
    </row>
    <row r="1008" spans="1:14" ht="15.6" x14ac:dyDescent="0.3">
      <c r="A1008" s="127">
        <v>17</v>
      </c>
      <c r="B1008" s="90" t="s">
        <v>331</v>
      </c>
      <c r="C1008" s="90">
        <f t="shared" si="192"/>
        <v>359.17315200000002</v>
      </c>
      <c r="D1008" s="91">
        <f t="shared" si="195"/>
        <v>431.0077824</v>
      </c>
      <c r="E1008" s="90">
        <v>0</v>
      </c>
      <c r="F1008" s="128">
        <f t="shared" si="196"/>
        <v>538.759728</v>
      </c>
      <c r="K1008" s="39"/>
    </row>
    <row r="1009" spans="1:14" s="39" customFormat="1" ht="15.75" customHeight="1" x14ac:dyDescent="0.3">
      <c r="A1009" s="127">
        <v>18</v>
      </c>
      <c r="B1009" s="90" t="s">
        <v>331</v>
      </c>
      <c r="C1009" s="90">
        <f t="shared" si="192"/>
        <v>359.17315200000002</v>
      </c>
      <c r="D1009" s="91">
        <f>C1009*1.2</f>
        <v>431.0077824</v>
      </c>
      <c r="E1009" s="90">
        <v>0</v>
      </c>
      <c r="F1009" s="128">
        <f>C1009*(($F$469)+1)+(IF(E1009&lt;101,E1009,IF(E1009&lt;201,E1009/2,IF(E1009&lt;=301,E1009/3,E1009/4))))</f>
        <v>538.759728</v>
      </c>
      <c r="G1009" s="43"/>
      <c r="H1009" s="43"/>
      <c r="K1009"/>
    </row>
    <row r="1010" spans="1:14" s="39" customFormat="1" ht="15.6" x14ac:dyDescent="0.3">
      <c r="A1010" s="127">
        <v>19</v>
      </c>
      <c r="B1010" s="90" t="s">
        <v>331</v>
      </c>
      <c r="C1010" s="90">
        <f t="shared" si="192"/>
        <v>359.17315200000002</v>
      </c>
      <c r="D1010" s="91">
        <f t="shared" ref="D1010:D1019" si="197">C1010*1.2</f>
        <v>431.0077824</v>
      </c>
      <c r="E1010" s="90">
        <v>0</v>
      </c>
      <c r="F1010" s="128">
        <f t="shared" ref="F1010:F1019" si="198">C1010*(($F$469)+1)+(IF(E1010&lt;101,E1010,IF(E1010&lt;201,E1010/2,IF(E1010&lt;=301,E1010/3,E1010/4))))</f>
        <v>538.759728</v>
      </c>
      <c r="G1010" s="157"/>
      <c r="H1010" s="157"/>
      <c r="I1010" s="40"/>
      <c r="J1010" s="54"/>
      <c r="K1010"/>
      <c r="L1010" s="170"/>
      <c r="M1010" s="170"/>
      <c r="N1010" s="40"/>
    </row>
    <row r="1011" spans="1:14" x14ac:dyDescent="0.3">
      <c r="A1011" s="127">
        <v>20</v>
      </c>
      <c r="B1011" s="90" t="s">
        <v>331</v>
      </c>
      <c r="C1011" s="90">
        <f t="shared" si="192"/>
        <v>359.17315200000002</v>
      </c>
      <c r="D1011" s="91">
        <f t="shared" si="197"/>
        <v>431.0077824</v>
      </c>
      <c r="E1011" s="90">
        <v>0</v>
      </c>
      <c r="F1011" s="128">
        <f t="shared" si="198"/>
        <v>538.759728</v>
      </c>
    </row>
    <row r="1012" spans="1:14" x14ac:dyDescent="0.3">
      <c r="A1012" s="127">
        <v>21</v>
      </c>
      <c r="B1012" s="90" t="s">
        <v>331</v>
      </c>
      <c r="C1012" s="90">
        <f t="shared" si="192"/>
        <v>359.17315200000002</v>
      </c>
      <c r="D1012" s="91">
        <f t="shared" si="197"/>
        <v>431.0077824</v>
      </c>
      <c r="E1012" s="90">
        <v>0</v>
      </c>
      <c r="F1012" s="128">
        <f t="shared" si="198"/>
        <v>538.759728</v>
      </c>
    </row>
    <row r="1013" spans="1:14" ht="15.6" x14ac:dyDescent="0.3">
      <c r="A1013" s="127">
        <v>22</v>
      </c>
      <c r="B1013" s="90" t="s">
        <v>331</v>
      </c>
      <c r="C1013" s="90">
        <f t="shared" si="192"/>
        <v>359.17315200000002</v>
      </c>
      <c r="D1013" s="91">
        <f t="shared" si="197"/>
        <v>431.0077824</v>
      </c>
      <c r="E1013" s="90">
        <v>0</v>
      </c>
      <c r="F1013" s="128">
        <f t="shared" si="198"/>
        <v>538.759728</v>
      </c>
      <c r="K1013" s="40"/>
    </row>
    <row r="1014" spans="1:14" ht="15.6" x14ac:dyDescent="0.3">
      <c r="A1014" s="127">
        <v>23</v>
      </c>
      <c r="B1014" s="90" t="s">
        <v>331</v>
      </c>
      <c r="C1014" s="90">
        <f t="shared" si="192"/>
        <v>359.17315200000002</v>
      </c>
      <c r="D1014" s="91">
        <f t="shared" si="197"/>
        <v>431.0077824</v>
      </c>
      <c r="E1014" s="90">
        <v>0</v>
      </c>
      <c r="F1014" s="128">
        <f t="shared" si="198"/>
        <v>538.759728</v>
      </c>
      <c r="K1014" s="39"/>
    </row>
    <row r="1015" spans="1:14" x14ac:dyDescent="0.3">
      <c r="A1015" s="127">
        <v>24</v>
      </c>
      <c r="B1015" s="90" t="s">
        <v>331</v>
      </c>
      <c r="C1015" s="90">
        <f t="shared" si="192"/>
        <v>359.17315200000002</v>
      </c>
      <c r="D1015" s="91">
        <f t="shared" si="197"/>
        <v>431.0077824</v>
      </c>
      <c r="E1015" s="90">
        <v>0</v>
      </c>
      <c r="F1015" s="128">
        <f t="shared" si="198"/>
        <v>538.759728</v>
      </c>
    </row>
    <row r="1016" spans="1:14" x14ac:dyDescent="0.3">
      <c r="A1016" s="127">
        <v>25</v>
      </c>
      <c r="B1016" s="90" t="s">
        <v>331</v>
      </c>
      <c r="C1016" s="90">
        <f t="shared" si="192"/>
        <v>359.17315200000002</v>
      </c>
      <c r="D1016" s="91">
        <f t="shared" si="197"/>
        <v>431.0077824</v>
      </c>
      <c r="E1016" s="90">
        <v>0</v>
      </c>
      <c r="F1016" s="128">
        <f t="shared" si="198"/>
        <v>538.759728</v>
      </c>
    </row>
    <row r="1017" spans="1:14" ht="15.6" x14ac:dyDescent="0.3">
      <c r="A1017" s="127">
        <v>26</v>
      </c>
      <c r="B1017" s="90" t="s">
        <v>331</v>
      </c>
      <c r="C1017" s="90">
        <f t="shared" si="192"/>
        <v>359.17315200000002</v>
      </c>
      <c r="D1017" s="91">
        <f t="shared" si="197"/>
        <v>431.0077824</v>
      </c>
      <c r="E1017" s="90">
        <v>0</v>
      </c>
      <c r="F1017" s="128">
        <f t="shared" si="198"/>
        <v>538.759728</v>
      </c>
      <c r="K1017" s="40"/>
    </row>
    <row r="1018" spans="1:14" ht="15.6" x14ac:dyDescent="0.3">
      <c r="A1018" s="127">
        <v>27</v>
      </c>
      <c r="B1018" s="90" t="s">
        <v>331</v>
      </c>
      <c r="C1018" s="90">
        <f t="shared" si="192"/>
        <v>359.17315200000002</v>
      </c>
      <c r="D1018" s="91">
        <f t="shared" si="197"/>
        <v>431.0077824</v>
      </c>
      <c r="E1018" s="90">
        <v>0</v>
      </c>
      <c r="F1018" s="128">
        <f t="shared" si="198"/>
        <v>538.759728</v>
      </c>
      <c r="K1018" s="39"/>
    </row>
    <row r="1019" spans="1:14" ht="15.6" x14ac:dyDescent="0.3">
      <c r="A1019" s="127">
        <v>28</v>
      </c>
      <c r="B1019" s="90" t="s">
        <v>331</v>
      </c>
      <c r="C1019" s="90">
        <f t="shared" si="192"/>
        <v>359.17315200000002</v>
      </c>
      <c r="D1019" s="91">
        <f t="shared" si="197"/>
        <v>431.0077824</v>
      </c>
      <c r="E1019" s="90">
        <v>0</v>
      </c>
      <c r="F1019" s="128">
        <f t="shared" si="198"/>
        <v>538.759728</v>
      </c>
      <c r="K1019" s="39"/>
    </row>
    <row r="1020" spans="1:14" s="39" customFormat="1" ht="15.75" customHeight="1" x14ac:dyDescent="0.3">
      <c r="A1020" s="151" t="s">
        <v>334</v>
      </c>
      <c r="B1020" s="152"/>
      <c r="C1020" s="152"/>
      <c r="D1020" s="152"/>
      <c r="E1020" s="152"/>
      <c r="F1020" s="153"/>
      <c r="G1020" s="43"/>
      <c r="H1020" s="43"/>
      <c r="K1020" s="40"/>
    </row>
    <row r="1021" spans="1:14" s="39" customFormat="1" ht="15.75" customHeight="1" x14ac:dyDescent="0.3">
      <c r="A1021" s="127">
        <v>1</v>
      </c>
      <c r="B1021" s="90" t="s">
        <v>331</v>
      </c>
      <c r="C1021" s="90">
        <f t="shared" ref="C1021:C1032" si="199">(23.69+1.8*(1.5+1.2)+0.6*1.68+3.16*0.75+1.2*1.2)*10.764</f>
        <v>359.17315200000002</v>
      </c>
      <c r="D1021" s="91">
        <f>C1021*1.2</f>
        <v>431.0077824</v>
      </c>
      <c r="E1021" s="90">
        <v>0</v>
      </c>
      <c r="F1021" s="128">
        <f>C1021*(($F$469)+1)+(IF(E1021&lt;101,E1021,IF(E1021&lt;201,E1021/2,IF(E1021&lt;=301,E1021/3,E1021/4))))</f>
        <v>538.759728</v>
      </c>
      <c r="G1021" s="43"/>
      <c r="H1021" s="43"/>
      <c r="K1021"/>
    </row>
    <row r="1022" spans="1:14" s="39" customFormat="1" ht="15.6" x14ac:dyDescent="0.3">
      <c r="A1022" s="127">
        <v>2</v>
      </c>
      <c r="B1022" s="90" t="s">
        <v>331</v>
      </c>
      <c r="C1022" s="90">
        <f t="shared" si="199"/>
        <v>359.17315200000002</v>
      </c>
      <c r="D1022" s="91">
        <f t="shared" ref="D1022:D1026" si="200">C1022*1.2</f>
        <v>431.0077824</v>
      </c>
      <c r="E1022" s="90">
        <v>0</v>
      </c>
      <c r="F1022" s="128">
        <f t="shared" ref="F1022:F1026" si="201">C1022*(($F$469)+1)+(IF(E1022&lt;101,E1022,IF(E1022&lt;201,E1022/2,IF(E1022&lt;=301,E1022/3,E1022/4))))</f>
        <v>538.759728</v>
      </c>
      <c r="G1022" s="157"/>
      <c r="H1022" s="157"/>
      <c r="I1022" s="40"/>
      <c r="J1022" s="54"/>
      <c r="K1022"/>
      <c r="L1022" s="170"/>
      <c r="M1022" s="170"/>
      <c r="N1022" s="40"/>
    </row>
    <row r="1023" spans="1:14" x14ac:dyDescent="0.3">
      <c r="A1023" s="127">
        <v>3</v>
      </c>
      <c r="B1023" s="90" t="s">
        <v>331</v>
      </c>
      <c r="C1023" s="90">
        <f t="shared" si="199"/>
        <v>359.17315200000002</v>
      </c>
      <c r="D1023" s="91">
        <f t="shared" si="200"/>
        <v>431.0077824</v>
      </c>
      <c r="E1023" s="90">
        <v>0</v>
      </c>
      <c r="F1023" s="128">
        <f t="shared" si="201"/>
        <v>538.759728</v>
      </c>
    </row>
    <row r="1024" spans="1:14" x14ac:dyDescent="0.3">
      <c r="A1024" s="127">
        <v>4</v>
      </c>
      <c r="B1024" s="90" t="s">
        <v>331</v>
      </c>
      <c r="C1024" s="90">
        <f t="shared" si="199"/>
        <v>359.17315200000002</v>
      </c>
      <c r="D1024" s="91">
        <f t="shared" si="200"/>
        <v>431.0077824</v>
      </c>
      <c r="E1024" s="90">
        <v>0</v>
      </c>
      <c r="F1024" s="128">
        <f t="shared" si="201"/>
        <v>538.759728</v>
      </c>
    </row>
    <row r="1025" spans="1:14" ht="15.6" x14ac:dyDescent="0.3">
      <c r="A1025" s="127">
        <v>5</v>
      </c>
      <c r="B1025" s="90" t="s">
        <v>331</v>
      </c>
      <c r="C1025" s="90">
        <f t="shared" si="199"/>
        <v>359.17315200000002</v>
      </c>
      <c r="D1025" s="91">
        <f t="shared" si="200"/>
        <v>431.0077824</v>
      </c>
      <c r="E1025" s="90">
        <v>0</v>
      </c>
      <c r="F1025" s="128">
        <f t="shared" si="201"/>
        <v>538.759728</v>
      </c>
      <c r="K1025" s="40"/>
    </row>
    <row r="1026" spans="1:14" ht="15.6" x14ac:dyDescent="0.3">
      <c r="A1026" s="127">
        <v>6</v>
      </c>
      <c r="B1026" s="90" t="s">
        <v>331</v>
      </c>
      <c r="C1026" s="90">
        <f t="shared" si="199"/>
        <v>359.17315200000002</v>
      </c>
      <c r="D1026" s="91">
        <f t="shared" si="200"/>
        <v>431.0077824</v>
      </c>
      <c r="E1026" s="90">
        <v>0</v>
      </c>
      <c r="F1026" s="128">
        <f t="shared" si="201"/>
        <v>538.759728</v>
      </c>
      <c r="K1026" s="39"/>
    </row>
    <row r="1027" spans="1:14" s="39" customFormat="1" ht="15.75" customHeight="1" x14ac:dyDescent="0.3">
      <c r="A1027" s="127">
        <v>7</v>
      </c>
      <c r="B1027" s="90" t="s">
        <v>331</v>
      </c>
      <c r="C1027" s="90">
        <f t="shared" si="199"/>
        <v>359.17315200000002</v>
      </c>
      <c r="D1027" s="91">
        <f>C1027*1.2</f>
        <v>431.0077824</v>
      </c>
      <c r="E1027" s="90">
        <v>0</v>
      </c>
      <c r="F1027" s="128">
        <f>C1027*(($F$469)+1)+(IF(E1027&lt;101,E1027,IF(E1027&lt;201,E1027/2,IF(E1027&lt;=301,E1027/3,E1027/4))))</f>
        <v>538.759728</v>
      </c>
      <c r="G1027" s="43"/>
      <c r="H1027" s="43"/>
      <c r="K1027"/>
    </row>
    <row r="1028" spans="1:14" s="39" customFormat="1" ht="15.6" x14ac:dyDescent="0.3">
      <c r="A1028" s="127">
        <v>8</v>
      </c>
      <c r="B1028" s="90" t="s">
        <v>331</v>
      </c>
      <c r="C1028" s="90">
        <f t="shared" si="199"/>
        <v>359.17315200000002</v>
      </c>
      <c r="D1028" s="91">
        <f t="shared" ref="D1028:D1032" si="202">C1028*1.2</f>
        <v>431.0077824</v>
      </c>
      <c r="E1028" s="90">
        <v>0</v>
      </c>
      <c r="F1028" s="128">
        <f t="shared" ref="F1028:F1037" si="203">C1028*(($F$469)+1)+(IF(E1028&lt;101,E1028,IF(E1028&lt;201,E1028/2,IF(E1028&lt;=301,E1028/3,E1028/4))))</f>
        <v>538.759728</v>
      </c>
      <c r="G1028" s="157"/>
      <c r="H1028" s="157"/>
      <c r="I1028" s="40"/>
      <c r="J1028" s="54"/>
      <c r="K1028"/>
      <c r="L1028" s="170"/>
      <c r="M1028" s="170"/>
      <c r="N1028" s="40"/>
    </row>
    <row r="1029" spans="1:14" x14ac:dyDescent="0.3">
      <c r="A1029" s="127">
        <v>9</v>
      </c>
      <c r="B1029" s="90" t="s">
        <v>331</v>
      </c>
      <c r="C1029" s="90">
        <f t="shared" si="199"/>
        <v>359.17315200000002</v>
      </c>
      <c r="D1029" s="91">
        <f t="shared" si="202"/>
        <v>431.0077824</v>
      </c>
      <c r="E1029" s="90">
        <v>0</v>
      </c>
      <c r="F1029" s="128">
        <f t="shared" si="203"/>
        <v>538.759728</v>
      </c>
    </row>
    <row r="1030" spans="1:14" x14ac:dyDescent="0.3">
      <c r="A1030" s="127">
        <v>10</v>
      </c>
      <c r="B1030" s="90" t="s">
        <v>331</v>
      </c>
      <c r="C1030" s="90">
        <f t="shared" si="199"/>
        <v>359.17315200000002</v>
      </c>
      <c r="D1030" s="91">
        <f t="shared" si="202"/>
        <v>431.0077824</v>
      </c>
      <c r="E1030" s="90">
        <v>0</v>
      </c>
      <c r="F1030" s="128">
        <f t="shared" si="203"/>
        <v>538.759728</v>
      </c>
    </row>
    <row r="1031" spans="1:14" ht="15.6" x14ac:dyDescent="0.3">
      <c r="A1031" s="127">
        <v>11</v>
      </c>
      <c r="B1031" s="90" t="s">
        <v>331</v>
      </c>
      <c r="C1031" s="90">
        <f t="shared" si="199"/>
        <v>359.17315200000002</v>
      </c>
      <c r="D1031" s="91">
        <f t="shared" si="202"/>
        <v>431.0077824</v>
      </c>
      <c r="E1031" s="90">
        <v>0</v>
      </c>
      <c r="F1031" s="128">
        <f t="shared" si="203"/>
        <v>538.759728</v>
      </c>
      <c r="K1031" s="40"/>
    </row>
    <row r="1032" spans="1:14" ht="15.6" x14ac:dyDescent="0.3">
      <c r="A1032" s="127">
        <v>12</v>
      </c>
      <c r="B1032" s="90" t="s">
        <v>331</v>
      </c>
      <c r="C1032" s="90">
        <f t="shared" si="199"/>
        <v>359.17315200000002</v>
      </c>
      <c r="D1032" s="91">
        <f t="shared" si="202"/>
        <v>431.0077824</v>
      </c>
      <c r="E1032" s="90">
        <v>0</v>
      </c>
      <c r="F1032" s="128">
        <f t="shared" si="203"/>
        <v>538.759728</v>
      </c>
      <c r="K1032" s="39"/>
    </row>
    <row r="1033" spans="1:14" s="39" customFormat="1" ht="15.6" x14ac:dyDescent="0.3">
      <c r="A1033" s="127">
        <v>13</v>
      </c>
      <c r="B1033" s="159" t="s">
        <v>335</v>
      </c>
      <c r="C1033" s="160"/>
      <c r="D1033" s="160"/>
      <c r="E1033" s="161"/>
      <c r="F1033" s="128">
        <f t="shared" si="203"/>
        <v>0</v>
      </c>
      <c r="G1033" s="157"/>
      <c r="H1033" s="157"/>
      <c r="I1033" s="40"/>
      <c r="J1033" s="54"/>
      <c r="K1033"/>
      <c r="L1033" s="170"/>
      <c r="M1033" s="170"/>
      <c r="N1033" s="40"/>
    </row>
    <row r="1034" spans="1:14" x14ac:dyDescent="0.3">
      <c r="A1034" s="127">
        <v>14</v>
      </c>
      <c r="B1034" s="162"/>
      <c r="C1034" s="163"/>
      <c r="D1034" s="163"/>
      <c r="E1034" s="164"/>
      <c r="F1034" s="128">
        <f t="shared" si="203"/>
        <v>0</v>
      </c>
    </row>
    <row r="1035" spans="1:14" x14ac:dyDescent="0.3">
      <c r="A1035" s="127">
        <v>15</v>
      </c>
      <c r="B1035" s="165"/>
      <c r="C1035" s="166"/>
      <c r="D1035" s="166"/>
      <c r="E1035" s="167"/>
      <c r="F1035" s="128">
        <f t="shared" si="203"/>
        <v>0</v>
      </c>
    </row>
    <row r="1036" spans="1:14" ht="15.6" x14ac:dyDescent="0.3">
      <c r="A1036" s="127">
        <v>16</v>
      </c>
      <c r="B1036" s="90" t="s">
        <v>331</v>
      </c>
      <c r="C1036" s="90">
        <f t="shared" ref="C1036:C1048" si="204">(23.69+1.8*(1.5+1.2)+0.6*1.68+3.16*0.75+1.2*1.2)*10.764</f>
        <v>359.17315200000002</v>
      </c>
      <c r="D1036" s="91">
        <f t="shared" ref="D1036:D1037" si="205">C1036*1.2</f>
        <v>431.0077824</v>
      </c>
      <c r="E1036" s="90">
        <v>0</v>
      </c>
      <c r="F1036" s="128">
        <f t="shared" si="203"/>
        <v>538.759728</v>
      </c>
      <c r="K1036" s="40"/>
    </row>
    <row r="1037" spans="1:14" ht="15.6" x14ac:dyDescent="0.3">
      <c r="A1037" s="127">
        <v>17</v>
      </c>
      <c r="B1037" s="90" t="s">
        <v>331</v>
      </c>
      <c r="C1037" s="90">
        <f t="shared" si="204"/>
        <v>359.17315200000002</v>
      </c>
      <c r="D1037" s="91">
        <f t="shared" si="205"/>
        <v>431.0077824</v>
      </c>
      <c r="E1037" s="90">
        <v>0</v>
      </c>
      <c r="F1037" s="128">
        <f t="shared" si="203"/>
        <v>538.759728</v>
      </c>
      <c r="K1037" s="39"/>
    </row>
    <row r="1038" spans="1:14" s="39" customFormat="1" ht="15.75" customHeight="1" x14ac:dyDescent="0.3">
      <c r="A1038" s="127">
        <v>18</v>
      </c>
      <c r="B1038" s="90" t="s">
        <v>331</v>
      </c>
      <c r="C1038" s="90">
        <f t="shared" si="204"/>
        <v>359.17315200000002</v>
      </c>
      <c r="D1038" s="91">
        <f>C1038*1.2</f>
        <v>431.0077824</v>
      </c>
      <c r="E1038" s="90">
        <v>0</v>
      </c>
      <c r="F1038" s="128">
        <f>C1038*(($F$469)+1)+(IF(E1038&lt;101,E1038,IF(E1038&lt;201,E1038/2,IF(E1038&lt;=301,E1038/3,E1038/4))))</f>
        <v>538.759728</v>
      </c>
      <c r="G1038" s="43"/>
      <c r="H1038" s="43"/>
      <c r="K1038"/>
    </row>
    <row r="1039" spans="1:14" s="39" customFormat="1" ht="15.6" x14ac:dyDescent="0.3">
      <c r="A1039" s="127">
        <v>19</v>
      </c>
      <c r="B1039" s="90" t="s">
        <v>331</v>
      </c>
      <c r="C1039" s="90">
        <f t="shared" si="204"/>
        <v>359.17315200000002</v>
      </c>
      <c r="D1039" s="91">
        <f t="shared" ref="D1039:D1048" si="206">C1039*1.2</f>
        <v>431.0077824</v>
      </c>
      <c r="E1039" s="90">
        <v>0</v>
      </c>
      <c r="F1039" s="128">
        <f t="shared" ref="F1039:F1048" si="207">C1039*(($F$469)+1)+(IF(E1039&lt;101,E1039,IF(E1039&lt;201,E1039/2,IF(E1039&lt;=301,E1039/3,E1039/4))))</f>
        <v>538.759728</v>
      </c>
      <c r="G1039" s="157"/>
      <c r="H1039" s="157"/>
      <c r="I1039" s="40"/>
      <c r="J1039" s="54"/>
      <c r="K1039"/>
      <c r="L1039" s="170"/>
      <c r="M1039" s="170"/>
      <c r="N1039" s="40"/>
    </row>
    <row r="1040" spans="1:14" x14ac:dyDescent="0.3">
      <c r="A1040" s="127">
        <v>20</v>
      </c>
      <c r="B1040" s="90" t="s">
        <v>331</v>
      </c>
      <c r="C1040" s="90">
        <f t="shared" si="204"/>
        <v>359.17315200000002</v>
      </c>
      <c r="D1040" s="91">
        <f t="shared" si="206"/>
        <v>431.0077824</v>
      </c>
      <c r="E1040" s="90">
        <v>0</v>
      </c>
      <c r="F1040" s="128">
        <f t="shared" si="207"/>
        <v>538.759728</v>
      </c>
    </row>
    <row r="1041" spans="1:14" x14ac:dyDescent="0.3">
      <c r="A1041" s="127">
        <v>21</v>
      </c>
      <c r="B1041" s="90" t="s">
        <v>331</v>
      </c>
      <c r="C1041" s="90">
        <f t="shared" si="204"/>
        <v>359.17315200000002</v>
      </c>
      <c r="D1041" s="91">
        <f t="shared" si="206"/>
        <v>431.0077824</v>
      </c>
      <c r="E1041" s="90">
        <v>0</v>
      </c>
      <c r="F1041" s="128">
        <f t="shared" si="207"/>
        <v>538.759728</v>
      </c>
    </row>
    <row r="1042" spans="1:14" ht="15.6" x14ac:dyDescent="0.3">
      <c r="A1042" s="127">
        <v>22</v>
      </c>
      <c r="B1042" s="90" t="s">
        <v>331</v>
      </c>
      <c r="C1042" s="90">
        <f t="shared" si="204"/>
        <v>359.17315200000002</v>
      </c>
      <c r="D1042" s="91">
        <f t="shared" si="206"/>
        <v>431.0077824</v>
      </c>
      <c r="E1042" s="90">
        <v>0</v>
      </c>
      <c r="F1042" s="128">
        <f t="shared" si="207"/>
        <v>538.759728</v>
      </c>
      <c r="K1042" s="40"/>
    </row>
    <row r="1043" spans="1:14" ht="15.6" x14ac:dyDescent="0.3">
      <c r="A1043" s="127">
        <v>23</v>
      </c>
      <c r="B1043" s="90" t="s">
        <v>331</v>
      </c>
      <c r="C1043" s="90">
        <f t="shared" si="204"/>
        <v>359.17315200000002</v>
      </c>
      <c r="D1043" s="91">
        <f t="shared" si="206"/>
        <v>431.0077824</v>
      </c>
      <c r="E1043" s="90">
        <v>0</v>
      </c>
      <c r="F1043" s="128">
        <f t="shared" si="207"/>
        <v>538.759728</v>
      </c>
      <c r="K1043" s="39"/>
    </row>
    <row r="1044" spans="1:14" x14ac:dyDescent="0.3">
      <c r="A1044" s="127">
        <v>24</v>
      </c>
      <c r="B1044" s="90" t="s">
        <v>331</v>
      </c>
      <c r="C1044" s="90">
        <f t="shared" si="204"/>
        <v>359.17315200000002</v>
      </c>
      <c r="D1044" s="91">
        <f t="shared" si="206"/>
        <v>431.0077824</v>
      </c>
      <c r="E1044" s="90">
        <v>0</v>
      </c>
      <c r="F1044" s="128">
        <f t="shared" si="207"/>
        <v>538.759728</v>
      </c>
    </row>
    <row r="1045" spans="1:14" x14ac:dyDescent="0.3">
      <c r="A1045" s="127">
        <v>25</v>
      </c>
      <c r="B1045" s="90" t="s">
        <v>331</v>
      </c>
      <c r="C1045" s="90">
        <f t="shared" si="204"/>
        <v>359.17315200000002</v>
      </c>
      <c r="D1045" s="91">
        <f t="shared" si="206"/>
        <v>431.0077824</v>
      </c>
      <c r="E1045" s="90">
        <v>0</v>
      </c>
      <c r="F1045" s="128">
        <f t="shared" si="207"/>
        <v>538.759728</v>
      </c>
    </row>
    <row r="1046" spans="1:14" ht="15.6" x14ac:dyDescent="0.3">
      <c r="A1046" s="127">
        <v>26</v>
      </c>
      <c r="B1046" s="90" t="s">
        <v>331</v>
      </c>
      <c r="C1046" s="90">
        <f t="shared" si="204"/>
        <v>359.17315200000002</v>
      </c>
      <c r="D1046" s="91">
        <f t="shared" si="206"/>
        <v>431.0077824</v>
      </c>
      <c r="E1046" s="90">
        <v>0</v>
      </c>
      <c r="F1046" s="128">
        <f t="shared" si="207"/>
        <v>538.759728</v>
      </c>
      <c r="K1046" s="40"/>
    </row>
    <row r="1047" spans="1:14" ht="15.6" x14ac:dyDescent="0.3">
      <c r="A1047" s="127">
        <v>27</v>
      </c>
      <c r="B1047" s="90" t="s">
        <v>331</v>
      </c>
      <c r="C1047" s="90">
        <f t="shared" si="204"/>
        <v>359.17315200000002</v>
      </c>
      <c r="D1047" s="91">
        <f t="shared" si="206"/>
        <v>431.0077824</v>
      </c>
      <c r="E1047" s="90">
        <v>0</v>
      </c>
      <c r="F1047" s="128">
        <f t="shared" si="207"/>
        <v>538.759728</v>
      </c>
      <c r="K1047" s="39"/>
    </row>
    <row r="1048" spans="1:14" ht="15.6" x14ac:dyDescent="0.3">
      <c r="A1048" s="127">
        <v>28</v>
      </c>
      <c r="B1048" s="90" t="s">
        <v>331</v>
      </c>
      <c r="C1048" s="90">
        <f t="shared" si="204"/>
        <v>359.17315200000002</v>
      </c>
      <c r="D1048" s="91">
        <f t="shared" si="206"/>
        <v>431.0077824</v>
      </c>
      <c r="E1048" s="90">
        <v>0</v>
      </c>
      <c r="F1048" s="128">
        <f t="shared" si="207"/>
        <v>538.759728</v>
      </c>
      <c r="K1048" s="39"/>
    </row>
    <row r="1049" spans="1:14" s="38" customFormat="1" ht="15.6" x14ac:dyDescent="0.3">
      <c r="A1049" s="142" t="s">
        <v>375</v>
      </c>
      <c r="B1049" s="143"/>
      <c r="C1049" s="143"/>
      <c r="D1049" s="143"/>
      <c r="E1049" s="143"/>
      <c r="F1049" s="144"/>
      <c r="G1049" s="156"/>
      <c r="H1049" s="156"/>
      <c r="K1049"/>
    </row>
    <row r="1050" spans="1:14" s="37" customFormat="1" ht="15.6" x14ac:dyDescent="0.3">
      <c r="A1050" s="151" t="s">
        <v>347</v>
      </c>
      <c r="B1050" s="152"/>
      <c r="C1050" s="152"/>
      <c r="D1050" s="152"/>
      <c r="E1050" s="152"/>
      <c r="F1050" s="153"/>
      <c r="G1050" s="158"/>
      <c r="H1050" s="158"/>
      <c r="I1050" s="158"/>
      <c r="J1050" s="158"/>
      <c r="K1050" s="158"/>
    </row>
    <row r="1051" spans="1:14" s="39" customFormat="1" ht="15.75" customHeight="1" x14ac:dyDescent="0.3">
      <c r="A1051" s="151" t="s">
        <v>332</v>
      </c>
      <c r="B1051" s="152"/>
      <c r="C1051" s="152"/>
      <c r="D1051" s="152"/>
      <c r="E1051" s="152"/>
      <c r="F1051" s="153"/>
      <c r="G1051" s="43"/>
      <c r="H1051" s="43"/>
      <c r="K1051" s="40"/>
    </row>
    <row r="1052" spans="1:14" s="39" customFormat="1" ht="15.75" customHeight="1" x14ac:dyDescent="0.3">
      <c r="A1052" s="127">
        <v>1</v>
      </c>
      <c r="B1052" s="90" t="s">
        <v>331</v>
      </c>
      <c r="C1052" s="90">
        <f>(27.66+1.2*1.8+3.16*0.75)*10.764</f>
        <v>346.49315999999993</v>
      </c>
      <c r="D1052" s="91">
        <f>C1052*1.2</f>
        <v>415.79179199999993</v>
      </c>
      <c r="E1052" s="90">
        <f>(5*1.2+4.2*1.2)*10.764</f>
        <v>118.83455999999998</v>
      </c>
      <c r="F1052" s="128">
        <f>C1052*(($F$469)+1)+(IF(E1052&lt;101,E1052,IF(E1052&lt;201,E1052/2,IF(E1052&lt;=301,E1052/3,E1052/4))))</f>
        <v>579.15701999999987</v>
      </c>
      <c r="G1052" s="43"/>
      <c r="H1052" s="43"/>
      <c r="K1052"/>
    </row>
    <row r="1053" spans="1:14" s="39" customFormat="1" ht="15.6" x14ac:dyDescent="0.3">
      <c r="A1053" s="127">
        <v>2</v>
      </c>
      <c r="B1053" s="90" t="s">
        <v>331</v>
      </c>
      <c r="C1053" s="90">
        <f>(27.66+1.2*1.2+3.16*0.75)*10.764</f>
        <v>338.74308000000002</v>
      </c>
      <c r="D1053" s="91">
        <f t="shared" ref="D1053:D1057" si="208">C1053*1.2</f>
        <v>406.49169599999999</v>
      </c>
      <c r="E1053" s="90">
        <f>(3.5*1.8)*10.764</f>
        <v>67.813199999999995</v>
      </c>
      <c r="F1053" s="128">
        <f t="shared" ref="F1053:F1057" si="209">C1053*(($F$469)+1)+(IF(E1053&lt;101,E1053,IF(E1053&lt;201,E1053/2,IF(E1053&lt;=301,E1053/3,E1053/4))))</f>
        <v>575.92782000000011</v>
      </c>
      <c r="G1053" s="157"/>
      <c r="H1053" s="157"/>
      <c r="I1053" s="40"/>
      <c r="J1053" s="54"/>
      <c r="K1053"/>
      <c r="L1053" s="170"/>
      <c r="M1053" s="170"/>
      <c r="N1053" s="40"/>
    </row>
    <row r="1054" spans="1:14" x14ac:dyDescent="0.3">
      <c r="A1054" s="127">
        <v>3</v>
      </c>
      <c r="B1054" s="90" t="s">
        <v>331</v>
      </c>
      <c r="C1054" s="90">
        <f>(27.66+3.16*0.75)*10.764</f>
        <v>323.24291999999997</v>
      </c>
      <c r="D1054" s="91">
        <f t="shared" si="208"/>
        <v>387.89150399999994</v>
      </c>
      <c r="E1054" s="90">
        <f>(3.5*1.8+5*1.2)*10.764</f>
        <v>132.3972</v>
      </c>
      <c r="F1054" s="128">
        <f t="shared" si="209"/>
        <v>551.06297999999992</v>
      </c>
    </row>
    <row r="1055" spans="1:14" x14ac:dyDescent="0.3">
      <c r="A1055" s="127">
        <v>4</v>
      </c>
      <c r="B1055" s="90" t="s">
        <v>331</v>
      </c>
      <c r="C1055" s="90">
        <f>(27.66+3.16*0.75)*10.764</f>
        <v>323.24291999999997</v>
      </c>
      <c r="D1055" s="91">
        <f t="shared" si="208"/>
        <v>387.89150399999994</v>
      </c>
      <c r="E1055" s="90">
        <f>(6.17*1.2+2.7*1.8+4.2*1.2)*10.764</f>
        <v>186.26025599999997</v>
      </c>
      <c r="F1055" s="128">
        <f t="shared" si="209"/>
        <v>577.994508</v>
      </c>
    </row>
    <row r="1056" spans="1:14" ht="15.6" x14ac:dyDescent="0.3">
      <c r="A1056" s="127">
        <v>5</v>
      </c>
      <c r="B1056" s="90" t="s">
        <v>331</v>
      </c>
      <c r="C1056" s="90">
        <f>(27.66+3.16*0.75)*10.764</f>
        <v>323.24291999999997</v>
      </c>
      <c r="D1056" s="91">
        <f t="shared" si="208"/>
        <v>387.89150399999994</v>
      </c>
      <c r="E1056" s="90">
        <f>(6.17*1.2+2.7*1.8+4.2*1.2)*10.764</f>
        <v>186.26025599999997</v>
      </c>
      <c r="F1056" s="128">
        <f t="shared" si="209"/>
        <v>577.994508</v>
      </c>
      <c r="K1056" s="40"/>
    </row>
    <row r="1057" spans="1:14" ht="15.6" x14ac:dyDescent="0.3">
      <c r="A1057" s="127">
        <v>6</v>
      </c>
      <c r="B1057" s="90" t="s">
        <v>331</v>
      </c>
      <c r="C1057" s="90">
        <f>(27.66+1.8*1.2+3.16*0.75)*10.764</f>
        <v>346.49315999999993</v>
      </c>
      <c r="D1057" s="91">
        <f t="shared" si="208"/>
        <v>415.79179199999993</v>
      </c>
      <c r="E1057" s="90">
        <f>(5*1.2)*10.764</f>
        <v>64.584000000000003</v>
      </c>
      <c r="F1057" s="128">
        <f t="shared" si="209"/>
        <v>584.32373999999982</v>
      </c>
      <c r="K1057" s="39"/>
    </row>
    <row r="1058" spans="1:14" s="39" customFormat="1" ht="15.75" customHeight="1" x14ac:dyDescent="0.3">
      <c r="A1058" s="127">
        <v>7</v>
      </c>
      <c r="B1058" s="90" t="s">
        <v>331</v>
      </c>
      <c r="C1058" s="90">
        <f>(27.66+3.16*0.75)*10.764</f>
        <v>323.24291999999997</v>
      </c>
      <c r="D1058" s="91">
        <f>C1058*1.2</f>
        <v>387.89150399999994</v>
      </c>
      <c r="E1058" s="90">
        <f>(6.17*1.2+2.7*1.8+4.2*1.2)*10.764</f>
        <v>186.26025599999997</v>
      </c>
      <c r="F1058" s="128">
        <f>C1058*(($F$469)+1)+(IF(E1058&lt;101,E1058,IF(E1058&lt;201,E1058/2,IF(E1058&lt;=301,E1058/3,E1058/4))))</f>
        <v>577.994508</v>
      </c>
      <c r="G1058" s="43"/>
      <c r="H1058" s="43"/>
      <c r="K1058"/>
    </row>
    <row r="1059" spans="1:14" s="39" customFormat="1" ht="15.6" x14ac:dyDescent="0.3">
      <c r="A1059" s="127">
        <v>8</v>
      </c>
      <c r="B1059" s="90" t="s">
        <v>331</v>
      </c>
      <c r="C1059" s="90">
        <f>(27.66+1.2*1.2+3.16*0.75)*10.764</f>
        <v>338.74308000000002</v>
      </c>
      <c r="D1059" s="91">
        <f t="shared" ref="D1059:D1068" si="210">C1059*1.2</f>
        <v>406.49169599999999</v>
      </c>
      <c r="E1059" s="90">
        <f>(5*1.2+4.2*1.2+1.9*3.12)*10.764</f>
        <v>182.643552</v>
      </c>
      <c r="F1059" s="128">
        <f t="shared" ref="F1059:F1068" si="211">C1059*(($F$469)+1)+(IF(E1059&lt;101,E1059,IF(E1059&lt;201,E1059/2,IF(E1059&lt;=301,E1059/3,E1059/4))))</f>
        <v>599.43639600000006</v>
      </c>
      <c r="G1059" s="157"/>
      <c r="H1059" s="157"/>
      <c r="I1059" s="40"/>
      <c r="J1059" s="54"/>
      <c r="K1059"/>
      <c r="L1059" s="170"/>
      <c r="M1059" s="170"/>
      <c r="N1059" s="40"/>
    </row>
    <row r="1060" spans="1:14" x14ac:dyDescent="0.3">
      <c r="A1060" s="127">
        <v>9</v>
      </c>
      <c r="B1060" s="90" t="s">
        <v>331</v>
      </c>
      <c r="C1060" s="90">
        <f>(27.66+3.16*0.75+1.2*1.2)*10.764</f>
        <v>338.74308000000002</v>
      </c>
      <c r="D1060" s="91">
        <f t="shared" si="210"/>
        <v>406.49169599999999</v>
      </c>
      <c r="E1060" s="90">
        <f>(3.5*1.8)*10.764</f>
        <v>67.813199999999995</v>
      </c>
      <c r="F1060" s="128">
        <f t="shared" si="211"/>
        <v>575.92782000000011</v>
      </c>
    </row>
    <row r="1061" spans="1:14" x14ac:dyDescent="0.3">
      <c r="A1061" s="127">
        <v>10</v>
      </c>
      <c r="B1061" s="90" t="s">
        <v>331</v>
      </c>
      <c r="C1061" s="90">
        <f t="shared" ref="C1061:C1064" si="212">(27.66+3.16*0.75)*10.764</f>
        <v>323.24291999999997</v>
      </c>
      <c r="D1061" s="91">
        <f t="shared" si="210"/>
        <v>387.89150399999994</v>
      </c>
      <c r="E1061" s="90">
        <f t="shared" ref="E1061:E1064" si="213">(5*1.2+3.5*1.8)*10.764</f>
        <v>132.3972</v>
      </c>
      <c r="F1061" s="128">
        <f t="shared" si="211"/>
        <v>551.06297999999992</v>
      </c>
    </row>
    <row r="1062" spans="1:14" ht="15.6" x14ac:dyDescent="0.3">
      <c r="A1062" s="127">
        <v>11</v>
      </c>
      <c r="B1062" s="90" t="s">
        <v>331</v>
      </c>
      <c r="C1062" s="90">
        <f>(27.66+3.16*0.75+1.2*1.2)*10.764</f>
        <v>338.74308000000002</v>
      </c>
      <c r="D1062" s="91">
        <f t="shared" si="210"/>
        <v>406.49169599999999</v>
      </c>
      <c r="E1062" s="90">
        <f>(3.5*1.8)*10.764</f>
        <v>67.813199999999995</v>
      </c>
      <c r="F1062" s="128">
        <f t="shared" si="211"/>
        <v>575.92782000000011</v>
      </c>
      <c r="K1062" s="40"/>
    </row>
    <row r="1063" spans="1:14" ht="15.6" x14ac:dyDescent="0.3">
      <c r="A1063" s="127">
        <v>12</v>
      </c>
      <c r="B1063" s="90" t="s">
        <v>331</v>
      </c>
      <c r="C1063" s="90">
        <f>(27.66+3.16*0.75)*10.764</f>
        <v>323.24291999999997</v>
      </c>
      <c r="D1063" s="91">
        <f t="shared" si="210"/>
        <v>387.89150399999994</v>
      </c>
      <c r="E1063" s="90">
        <f t="shared" si="213"/>
        <v>132.3972</v>
      </c>
      <c r="F1063" s="128">
        <f t="shared" si="211"/>
        <v>551.06297999999992</v>
      </c>
      <c r="K1063" s="39"/>
    </row>
    <row r="1064" spans="1:14" s="39" customFormat="1" ht="15.6" x14ac:dyDescent="0.3">
      <c r="A1064" s="127">
        <v>13</v>
      </c>
      <c r="B1064" s="90" t="s">
        <v>331</v>
      </c>
      <c r="C1064" s="90">
        <f t="shared" si="212"/>
        <v>323.24291999999997</v>
      </c>
      <c r="D1064" s="91">
        <f t="shared" si="210"/>
        <v>387.89150399999994</v>
      </c>
      <c r="E1064" s="90">
        <f t="shared" si="213"/>
        <v>132.3972</v>
      </c>
      <c r="F1064" s="128">
        <f t="shared" si="211"/>
        <v>551.06297999999992</v>
      </c>
      <c r="G1064" s="157"/>
      <c r="H1064" s="157"/>
      <c r="I1064" s="40"/>
      <c r="J1064" s="54"/>
      <c r="K1064"/>
      <c r="L1064" s="170"/>
      <c r="M1064" s="170"/>
      <c r="N1064" s="40"/>
    </row>
    <row r="1065" spans="1:14" x14ac:dyDescent="0.3">
      <c r="A1065" s="127">
        <v>14</v>
      </c>
      <c r="B1065" s="90" t="s">
        <v>331</v>
      </c>
      <c r="C1065" s="90">
        <f>(27.66+1.2*1.2+3.16*0.75)*10.764</f>
        <v>338.74308000000002</v>
      </c>
      <c r="D1065" s="91">
        <f t="shared" si="210"/>
        <v>406.49169599999999</v>
      </c>
      <c r="E1065" s="90">
        <f>(3.5*1.8)*10.764</f>
        <v>67.813199999999995</v>
      </c>
      <c r="F1065" s="128">
        <f t="shared" si="211"/>
        <v>575.92782000000011</v>
      </c>
    </row>
    <row r="1066" spans="1:14" x14ac:dyDescent="0.3">
      <c r="A1066" s="127">
        <v>15</v>
      </c>
      <c r="B1066" s="90" t="s">
        <v>331</v>
      </c>
      <c r="C1066" s="90">
        <f>(27.66+1.2*1.8+3.16*0.75)*10.764</f>
        <v>346.49315999999993</v>
      </c>
      <c r="D1066" s="91">
        <f t="shared" si="210"/>
        <v>415.79179199999993</v>
      </c>
      <c r="E1066" s="90">
        <f>(5*1.2)*10.764</f>
        <v>64.584000000000003</v>
      </c>
      <c r="F1066" s="128">
        <f t="shared" si="211"/>
        <v>584.32373999999982</v>
      </c>
    </row>
    <row r="1067" spans="1:14" ht="15.6" x14ac:dyDescent="0.3">
      <c r="A1067" s="127">
        <v>16</v>
      </c>
      <c r="B1067" s="90" t="s">
        <v>331</v>
      </c>
      <c r="C1067" s="90">
        <f>(27.66+1.2*1.8+3.16*0.75)*10.764</f>
        <v>346.49315999999993</v>
      </c>
      <c r="D1067" s="91">
        <f t="shared" si="210"/>
        <v>415.79179199999993</v>
      </c>
      <c r="E1067" s="90">
        <f>(5*1.2)*10.764</f>
        <v>64.584000000000003</v>
      </c>
      <c r="F1067" s="128">
        <f t="shared" si="211"/>
        <v>584.32373999999982</v>
      </c>
      <c r="K1067" s="40"/>
    </row>
    <row r="1068" spans="1:14" ht="15.6" x14ac:dyDescent="0.3">
      <c r="A1068" s="127">
        <v>17</v>
      </c>
      <c r="B1068" s="90" t="s">
        <v>331</v>
      </c>
      <c r="C1068" s="90">
        <f>(27.66+3.16*0.75+1.2*1.2)*10.764</f>
        <v>338.74308000000002</v>
      </c>
      <c r="D1068" s="91">
        <f t="shared" si="210"/>
        <v>406.49169599999999</v>
      </c>
      <c r="E1068" s="90">
        <f>(3.5*1.8)*10.764</f>
        <v>67.813199999999995</v>
      </c>
      <c r="F1068" s="128">
        <f t="shared" si="211"/>
        <v>575.92782000000011</v>
      </c>
      <c r="K1068" s="39"/>
    </row>
    <row r="1069" spans="1:14" s="39" customFormat="1" ht="15.75" customHeight="1" x14ac:dyDescent="0.3">
      <c r="A1069" s="127">
        <v>18</v>
      </c>
      <c r="B1069" s="90" t="s">
        <v>331</v>
      </c>
      <c r="C1069" s="90">
        <f>(27.66+3.16*0.75+1.2*1.2)*10.764</f>
        <v>338.74308000000002</v>
      </c>
      <c r="D1069" s="91">
        <f>C1069*1.2</f>
        <v>406.49169599999999</v>
      </c>
      <c r="E1069" s="90">
        <f>(3.5*1.8)*10.764</f>
        <v>67.813199999999995</v>
      </c>
      <c r="F1069" s="128">
        <f>C1069*(($F$469)+1)+(IF(E1069&lt;101,E1069,IF(E1069&lt;201,E1069/2,IF(E1069&lt;=301,E1069/3,E1069/4))))</f>
        <v>575.92782000000011</v>
      </c>
      <c r="G1069" s="43"/>
      <c r="H1069" s="43"/>
      <c r="K1069"/>
    </row>
    <row r="1070" spans="1:14" s="39" customFormat="1" ht="15.6" x14ac:dyDescent="0.3">
      <c r="A1070" s="127">
        <v>19</v>
      </c>
      <c r="B1070" s="90" t="s">
        <v>331</v>
      </c>
      <c r="C1070" s="90">
        <f t="shared" ref="C1070:C1072" si="214">(27.66+3.16*0.75)*10.764</f>
        <v>323.24291999999997</v>
      </c>
      <c r="D1070" s="91">
        <f t="shared" ref="D1070:D1081" si="215">C1070*1.2</f>
        <v>387.89150399999994</v>
      </c>
      <c r="E1070" s="90">
        <f t="shared" ref="E1070:E1072" si="216">(5*1.2+3.5*1.8)*10.764</f>
        <v>132.3972</v>
      </c>
      <c r="F1070" s="128">
        <f t="shared" ref="F1070:F1081" si="217">C1070*(($F$469)+1)+(IF(E1070&lt;101,E1070,IF(E1070&lt;201,E1070/2,IF(E1070&lt;=301,E1070/3,E1070/4))))</f>
        <v>551.06297999999992</v>
      </c>
      <c r="G1070" s="157"/>
      <c r="H1070" s="157"/>
      <c r="I1070" s="40"/>
      <c r="J1070" s="54"/>
      <c r="K1070"/>
      <c r="L1070" s="170"/>
      <c r="M1070" s="170"/>
      <c r="N1070" s="40"/>
    </row>
    <row r="1071" spans="1:14" x14ac:dyDescent="0.3">
      <c r="A1071" s="127">
        <v>20</v>
      </c>
      <c r="B1071" s="90" t="s">
        <v>331</v>
      </c>
      <c r="C1071" s="90">
        <f>(27.66+3.16*0.75+1.2*1.2)*10.764</f>
        <v>338.74308000000002</v>
      </c>
      <c r="D1071" s="91">
        <f t="shared" si="215"/>
        <v>406.49169599999999</v>
      </c>
      <c r="E1071" s="90">
        <f>(3.5*1.8)*10.764</f>
        <v>67.813199999999995</v>
      </c>
      <c r="F1071" s="128">
        <f t="shared" si="217"/>
        <v>575.92782000000011</v>
      </c>
    </row>
    <row r="1072" spans="1:14" x14ac:dyDescent="0.3">
      <c r="A1072" s="127">
        <v>21</v>
      </c>
      <c r="B1072" s="90" t="s">
        <v>331</v>
      </c>
      <c r="C1072" s="90">
        <f t="shared" si="214"/>
        <v>323.24291999999997</v>
      </c>
      <c r="D1072" s="91">
        <f t="shared" si="215"/>
        <v>387.89150399999994</v>
      </c>
      <c r="E1072" s="90">
        <f t="shared" si="216"/>
        <v>132.3972</v>
      </c>
      <c r="F1072" s="128">
        <f t="shared" si="217"/>
        <v>551.06297999999992</v>
      </c>
    </row>
    <row r="1073" spans="1:14" ht="15.6" x14ac:dyDescent="0.3">
      <c r="A1073" s="127">
        <v>22</v>
      </c>
      <c r="B1073" s="90" t="s">
        <v>331</v>
      </c>
      <c r="C1073" s="90">
        <f>(27.66+1.2*1.2+3.16*0.75)*10.764</f>
        <v>338.74308000000002</v>
      </c>
      <c r="D1073" s="91">
        <f t="shared" si="215"/>
        <v>406.49169599999999</v>
      </c>
      <c r="E1073" s="90">
        <f>(3.5*1.8)*10.764</f>
        <v>67.813199999999995</v>
      </c>
      <c r="F1073" s="128">
        <f t="shared" si="217"/>
        <v>575.92782000000011</v>
      </c>
      <c r="K1073" s="40"/>
    </row>
    <row r="1074" spans="1:14" ht="15.6" x14ac:dyDescent="0.3">
      <c r="A1074" s="127">
        <v>23</v>
      </c>
      <c r="B1074" s="90" t="s">
        <v>331</v>
      </c>
      <c r="C1074" s="90">
        <f>(27.66+3.16*0.75+1.2*1.8)*10.764</f>
        <v>346.49315999999993</v>
      </c>
      <c r="D1074" s="91">
        <f t="shared" si="215"/>
        <v>415.79179199999993</v>
      </c>
      <c r="E1074" s="90">
        <f>(5*1.2)*10.764</f>
        <v>64.584000000000003</v>
      </c>
      <c r="F1074" s="128">
        <f t="shared" si="217"/>
        <v>584.32373999999982</v>
      </c>
      <c r="K1074" s="39"/>
    </row>
    <row r="1075" spans="1:14" x14ac:dyDescent="0.3">
      <c r="A1075" s="127">
        <v>24</v>
      </c>
      <c r="B1075" s="90" t="s">
        <v>331</v>
      </c>
      <c r="C1075" s="90">
        <f>(27.66+3.16*0.75+1.2*1.2)*10.764</f>
        <v>338.74308000000002</v>
      </c>
      <c r="D1075" s="91">
        <f t="shared" si="215"/>
        <v>406.49169599999999</v>
      </c>
      <c r="E1075" s="90">
        <f>(3.5*1.8)*10.764</f>
        <v>67.813199999999995</v>
      </c>
      <c r="F1075" s="128">
        <f t="shared" si="217"/>
        <v>575.92782000000011</v>
      </c>
    </row>
    <row r="1076" spans="1:14" x14ac:dyDescent="0.3">
      <c r="A1076" s="127">
        <v>25</v>
      </c>
      <c r="B1076" s="90" t="s">
        <v>331</v>
      </c>
      <c r="C1076" s="90">
        <f t="shared" ref="C1076:C1077" si="218">(27.66+3.16*0.75)*10.764</f>
        <v>323.24291999999997</v>
      </c>
      <c r="D1076" s="91">
        <f t="shared" si="215"/>
        <v>387.89150399999994</v>
      </c>
      <c r="E1076" s="90">
        <f>(3.5*1.8+5*1.2)*10.764</f>
        <v>132.3972</v>
      </c>
      <c r="F1076" s="128">
        <f t="shared" si="217"/>
        <v>551.06297999999992</v>
      </c>
    </row>
    <row r="1077" spans="1:14" ht="15.6" x14ac:dyDescent="0.3">
      <c r="A1077" s="127">
        <v>26</v>
      </c>
      <c r="B1077" s="90" t="s">
        <v>331</v>
      </c>
      <c r="C1077" s="90">
        <f t="shared" si="218"/>
        <v>323.24291999999997</v>
      </c>
      <c r="D1077" s="91">
        <f t="shared" si="215"/>
        <v>387.89150399999994</v>
      </c>
      <c r="E1077" s="90">
        <f>(3.5*1.8+5*1.2)*10.764</f>
        <v>132.3972</v>
      </c>
      <c r="F1077" s="128">
        <f t="shared" si="217"/>
        <v>551.06297999999992</v>
      </c>
      <c r="K1077" s="40"/>
    </row>
    <row r="1078" spans="1:14" ht="15.6" x14ac:dyDescent="0.3">
      <c r="A1078" s="127">
        <v>27</v>
      </c>
      <c r="B1078" s="90" t="s">
        <v>331</v>
      </c>
      <c r="C1078" s="90">
        <f>(27.66+1.2*1.2+3.16*0.75)*10.764</f>
        <v>338.74308000000002</v>
      </c>
      <c r="D1078" s="91">
        <f t="shared" si="215"/>
        <v>406.49169599999999</v>
      </c>
      <c r="E1078" s="90">
        <f>(3.5*1.8)*10.764</f>
        <v>67.813199999999995</v>
      </c>
      <c r="F1078" s="128">
        <f t="shared" si="217"/>
        <v>575.92782000000011</v>
      </c>
      <c r="K1078" s="39"/>
    </row>
    <row r="1079" spans="1:14" ht="15.6" x14ac:dyDescent="0.3">
      <c r="A1079" s="127">
        <v>28</v>
      </c>
      <c r="B1079" s="90" t="s">
        <v>331</v>
      </c>
      <c r="C1079" s="90">
        <f>(27.66+1.2*1.8+3.16*0.75)*10.764</f>
        <v>346.49315999999993</v>
      </c>
      <c r="D1079" s="91">
        <f t="shared" si="215"/>
        <v>415.79179199999993</v>
      </c>
      <c r="E1079" s="90">
        <f>(5*1.2)*10.764</f>
        <v>64.584000000000003</v>
      </c>
      <c r="F1079" s="128">
        <f t="shared" si="217"/>
        <v>584.32373999999982</v>
      </c>
      <c r="K1079" s="39"/>
    </row>
    <row r="1080" spans="1:14" ht="15.6" x14ac:dyDescent="0.3">
      <c r="A1080" s="127">
        <v>29</v>
      </c>
      <c r="B1080" s="90" t="s">
        <v>331</v>
      </c>
      <c r="C1080" s="90">
        <f>(27.66+1.2*1.2+3.16*0.75)*10.764</f>
        <v>338.74308000000002</v>
      </c>
      <c r="D1080" s="91">
        <f t="shared" si="215"/>
        <v>406.49169599999999</v>
      </c>
      <c r="E1080" s="90">
        <f>(3.5*1.8+2.4*3.5)*10.764</f>
        <v>158.23079999999999</v>
      </c>
      <c r="F1080" s="128">
        <f t="shared" si="217"/>
        <v>587.23002000000008</v>
      </c>
      <c r="K1080" s="40"/>
    </row>
    <row r="1081" spans="1:14" ht="15.6" x14ac:dyDescent="0.3">
      <c r="A1081" s="127">
        <v>30</v>
      </c>
      <c r="B1081" s="90" t="s">
        <v>331</v>
      </c>
      <c r="C1081" s="90">
        <f>(27.66+3.16*0.75)*10.764</f>
        <v>323.24291999999997</v>
      </c>
      <c r="D1081" s="91">
        <f t="shared" si="215"/>
        <v>387.89150399999994</v>
      </c>
      <c r="E1081" s="90">
        <f>(5*1.2+3.5*1.8)*10.764</f>
        <v>132.3972</v>
      </c>
      <c r="F1081" s="128">
        <f t="shared" si="217"/>
        <v>551.06297999999992</v>
      </c>
      <c r="K1081" s="39"/>
    </row>
    <row r="1082" spans="1:14" s="39" customFormat="1" ht="15.75" customHeight="1" x14ac:dyDescent="0.3">
      <c r="A1082" s="127">
        <v>31</v>
      </c>
      <c r="B1082" s="90" t="s">
        <v>331</v>
      </c>
      <c r="C1082" s="90">
        <f>(27.66+3.16*0.75+1.2*1.2)*10.764</f>
        <v>338.74308000000002</v>
      </c>
      <c r="D1082" s="91">
        <f>C1082*1.2</f>
        <v>406.49169599999999</v>
      </c>
      <c r="E1082" s="90">
        <f>(2.7*3.5+3.5*1.8)*10.764</f>
        <v>169.53299999999999</v>
      </c>
      <c r="F1082" s="128">
        <f>C1082*(($F$469)+1)+(IF(E1082&lt;101,E1082,IF(E1082&lt;201,E1082/2,IF(E1082&lt;=301,E1082/3,E1082/4))))</f>
        <v>592.88112000000001</v>
      </c>
      <c r="G1082" s="43"/>
      <c r="H1082" s="43"/>
      <c r="K1082"/>
    </row>
    <row r="1083" spans="1:14" s="39" customFormat="1" ht="15.6" x14ac:dyDescent="0.3">
      <c r="A1083" s="127">
        <v>32</v>
      </c>
      <c r="B1083" s="90" t="s">
        <v>331</v>
      </c>
      <c r="C1083" s="90">
        <f t="shared" ref="C1083:C1084" si="219">(27.66+3.16*0.75)*10.764</f>
        <v>323.24291999999997</v>
      </c>
      <c r="D1083" s="91">
        <f t="shared" ref="D1083:D1091" si="220">C1083*1.2</f>
        <v>387.89150399999994</v>
      </c>
      <c r="E1083" s="90">
        <f>(5*1.2+3.5*1.8)*10.764</f>
        <v>132.3972</v>
      </c>
      <c r="F1083" s="128">
        <f t="shared" ref="F1083:F1091" si="221">C1083*(($F$469)+1)+(IF(E1083&lt;101,E1083,IF(E1083&lt;201,E1083/2,IF(E1083&lt;=301,E1083/3,E1083/4))))</f>
        <v>551.06297999999992</v>
      </c>
      <c r="G1083" s="157"/>
      <c r="H1083" s="157"/>
      <c r="I1083" s="40"/>
      <c r="J1083" s="54"/>
      <c r="K1083"/>
      <c r="L1083" s="170"/>
      <c r="M1083" s="170"/>
      <c r="N1083" s="40"/>
    </row>
    <row r="1084" spans="1:14" x14ac:dyDescent="0.3">
      <c r="A1084" s="127">
        <v>33</v>
      </c>
      <c r="B1084" s="90" t="s">
        <v>331</v>
      </c>
      <c r="C1084" s="90">
        <f t="shared" si="219"/>
        <v>323.24291999999997</v>
      </c>
      <c r="D1084" s="91">
        <f t="shared" si="220"/>
        <v>387.89150399999994</v>
      </c>
      <c r="E1084" s="90">
        <f>(5*1.2+3.5*1.8)*10.764</f>
        <v>132.3972</v>
      </c>
      <c r="F1084" s="128">
        <f t="shared" si="221"/>
        <v>551.06297999999992</v>
      </c>
    </row>
    <row r="1085" spans="1:14" x14ac:dyDescent="0.3">
      <c r="A1085" s="127">
        <v>34</v>
      </c>
      <c r="B1085" s="90" t="s">
        <v>331</v>
      </c>
      <c r="C1085" s="90">
        <f>(27.66+3.16*0.75+1.2*1.2)*10.764</f>
        <v>338.74308000000002</v>
      </c>
      <c r="D1085" s="91">
        <f t="shared" si="220"/>
        <v>406.49169599999999</v>
      </c>
      <c r="E1085" s="90">
        <f>(3.5*1.8)*10.764</f>
        <v>67.813199999999995</v>
      </c>
      <c r="F1085" s="128">
        <f t="shared" si="221"/>
        <v>575.92782000000011</v>
      </c>
    </row>
    <row r="1086" spans="1:14" ht="15.6" x14ac:dyDescent="0.3">
      <c r="A1086" s="127">
        <v>35</v>
      </c>
      <c r="B1086" s="90" t="s">
        <v>331</v>
      </c>
      <c r="C1086" s="90">
        <f>(27.66+3.16*0.75+1.2*1.8)*10.764</f>
        <v>346.49315999999993</v>
      </c>
      <c r="D1086" s="91">
        <f t="shared" si="220"/>
        <v>415.79179199999993</v>
      </c>
      <c r="E1086" s="90">
        <f>(5*1.2)*10.764</f>
        <v>64.584000000000003</v>
      </c>
      <c r="F1086" s="128">
        <f t="shared" si="221"/>
        <v>584.32373999999982</v>
      </c>
      <c r="K1086" s="40"/>
    </row>
    <row r="1087" spans="1:14" ht="15.6" x14ac:dyDescent="0.3">
      <c r="A1087" s="127">
        <v>36</v>
      </c>
      <c r="B1087" s="90" t="s">
        <v>331</v>
      </c>
      <c r="C1087" s="90">
        <f>(27.66+1.2*1.2+1.2*1.8+3.16*0.75)*10.764</f>
        <v>361.99331999999998</v>
      </c>
      <c r="D1087" s="91">
        <f t="shared" si="220"/>
        <v>434.39198399999998</v>
      </c>
      <c r="E1087" s="90">
        <v>0</v>
      </c>
      <c r="F1087" s="128">
        <f t="shared" si="221"/>
        <v>542.98997999999995</v>
      </c>
      <c r="K1087" s="39"/>
    </row>
    <row r="1088" spans="1:14" s="39" customFormat="1" ht="15.6" x14ac:dyDescent="0.3">
      <c r="A1088" s="127">
        <v>37</v>
      </c>
      <c r="B1088" s="90" t="s">
        <v>331</v>
      </c>
      <c r="C1088" s="90">
        <f>(27.66+1.2*1.2+1.2*1.8+3.16*0.75)*10.764</f>
        <v>361.99331999999998</v>
      </c>
      <c r="D1088" s="91">
        <f t="shared" si="220"/>
        <v>434.39198399999998</v>
      </c>
      <c r="E1088" s="90">
        <v>0</v>
      </c>
      <c r="F1088" s="128">
        <f t="shared" si="221"/>
        <v>542.98997999999995</v>
      </c>
      <c r="G1088" s="157"/>
      <c r="H1088" s="157"/>
      <c r="I1088" s="40"/>
      <c r="J1088" s="54"/>
      <c r="K1088"/>
      <c r="L1088" s="170"/>
      <c r="M1088" s="170"/>
      <c r="N1088" s="40"/>
    </row>
    <row r="1089" spans="1:14" x14ac:dyDescent="0.3">
      <c r="A1089" s="127">
        <v>38</v>
      </c>
      <c r="B1089" s="90" t="s">
        <v>331</v>
      </c>
      <c r="C1089" s="90">
        <f>(27.66+1.2*1.8+3.16*0.75)*10.764</f>
        <v>346.49315999999993</v>
      </c>
      <c r="D1089" s="91">
        <f t="shared" si="220"/>
        <v>415.79179199999993</v>
      </c>
      <c r="E1089" s="90">
        <f>(5*1.2)*10.764</f>
        <v>64.584000000000003</v>
      </c>
      <c r="F1089" s="128">
        <f t="shared" si="221"/>
        <v>584.32373999999982</v>
      </c>
    </row>
    <row r="1090" spans="1:14" x14ac:dyDescent="0.3">
      <c r="A1090" s="127">
        <v>39</v>
      </c>
      <c r="B1090" s="90" t="s">
        <v>331</v>
      </c>
      <c r="C1090" s="90">
        <f>(27.66+1.2*1.2+3.16*0.75)*10.764</f>
        <v>338.74308000000002</v>
      </c>
      <c r="D1090" s="91">
        <f t="shared" si="220"/>
        <v>406.49169599999999</v>
      </c>
      <c r="E1090" s="90">
        <f>(3.5*1.8)*10.764</f>
        <v>67.813199999999995</v>
      </c>
      <c r="F1090" s="128">
        <f t="shared" si="221"/>
        <v>575.92782000000011</v>
      </c>
    </row>
    <row r="1091" spans="1:14" ht="15.6" x14ac:dyDescent="0.3">
      <c r="A1091" s="127">
        <v>40</v>
      </c>
      <c r="B1091" s="90" t="s">
        <v>331</v>
      </c>
      <c r="C1091" s="90">
        <f>(27.66+1.2*1.2+3.16*0.75)*10.764</f>
        <v>338.74308000000002</v>
      </c>
      <c r="D1091" s="91">
        <f t="shared" si="220"/>
        <v>406.49169599999999</v>
      </c>
      <c r="E1091" s="90">
        <f>(3.5*1.8)*10.764</f>
        <v>67.813199999999995</v>
      </c>
      <c r="F1091" s="128">
        <f t="shared" si="221"/>
        <v>575.92782000000011</v>
      </c>
      <c r="K1091" s="40"/>
    </row>
    <row r="1092" spans="1:14" ht="15.6" x14ac:dyDescent="0.3">
      <c r="A1092" s="127">
        <v>41</v>
      </c>
      <c r="B1092" s="90" t="s">
        <v>331</v>
      </c>
      <c r="C1092" s="90">
        <f>(27.66+1.2*1.8+3.16*0.75)*10.764</f>
        <v>346.49315999999993</v>
      </c>
      <c r="D1092" s="91">
        <f t="shared" ref="D1092" si="222">C1092*1.2</f>
        <v>415.79179199999993</v>
      </c>
      <c r="E1092" s="90">
        <f>(5*1.2)*10.764</f>
        <v>64.584000000000003</v>
      </c>
      <c r="F1092" s="128">
        <f t="shared" ref="F1092" si="223">C1092*(($F$469)+1)+(IF(E1092&lt;101,E1092,IF(E1092&lt;201,E1092/2,IF(E1092&lt;=301,E1092/3,E1092/4))))</f>
        <v>584.32373999999982</v>
      </c>
      <c r="K1092" s="40"/>
    </row>
    <row r="1093" spans="1:14" s="39" customFormat="1" ht="15.75" customHeight="1" x14ac:dyDescent="0.3">
      <c r="A1093" s="151" t="s">
        <v>333</v>
      </c>
      <c r="B1093" s="152"/>
      <c r="C1093" s="152"/>
      <c r="D1093" s="152"/>
      <c r="E1093" s="152"/>
      <c r="F1093" s="153"/>
      <c r="G1093" s="43"/>
      <c r="H1093" s="43"/>
      <c r="K1093" s="40"/>
    </row>
    <row r="1094" spans="1:14" s="39" customFormat="1" ht="15.75" customHeight="1" x14ac:dyDescent="0.3">
      <c r="A1094" s="127">
        <v>1</v>
      </c>
      <c r="B1094" s="90" t="s">
        <v>331</v>
      </c>
      <c r="C1094" s="90">
        <f t="shared" ref="C1094:C1134" si="224">(23.69+1.8*(1.5+1.2)+0.6*1.68+3.16*0.75+1.2*1.2)*10.764</f>
        <v>359.17315200000002</v>
      </c>
      <c r="D1094" s="91">
        <f>C1094*1.2</f>
        <v>431.0077824</v>
      </c>
      <c r="E1094" s="90">
        <v>0</v>
      </c>
      <c r="F1094" s="128">
        <f>C1094*(($F$469)+1)+(IF(E1094&lt;101,E1094,IF(E1094&lt;201,E1094/2,IF(E1094&lt;=301,E1094/3,E1094/4))))</f>
        <v>538.759728</v>
      </c>
      <c r="G1094" s="43"/>
      <c r="H1094" s="43"/>
      <c r="K1094"/>
    </row>
    <row r="1095" spans="1:14" s="39" customFormat="1" ht="15.6" x14ac:dyDescent="0.3">
      <c r="A1095" s="127">
        <v>2</v>
      </c>
      <c r="B1095" s="90" t="s">
        <v>331</v>
      </c>
      <c r="C1095" s="90">
        <f t="shared" si="224"/>
        <v>359.17315200000002</v>
      </c>
      <c r="D1095" s="91">
        <f t="shared" ref="D1095:D1099" si="225">C1095*1.2</f>
        <v>431.0077824</v>
      </c>
      <c r="E1095" s="90">
        <v>0</v>
      </c>
      <c r="F1095" s="128">
        <f t="shared" ref="F1095:F1099" si="226">C1095*(($F$469)+1)+(IF(E1095&lt;101,E1095,IF(E1095&lt;201,E1095/2,IF(E1095&lt;=301,E1095/3,E1095/4))))</f>
        <v>538.759728</v>
      </c>
      <c r="G1095" s="157"/>
      <c r="H1095" s="157"/>
      <c r="I1095" s="40"/>
      <c r="J1095" s="54"/>
      <c r="K1095"/>
      <c r="L1095" s="170"/>
      <c r="M1095" s="170"/>
      <c r="N1095" s="40"/>
    </row>
    <row r="1096" spans="1:14" x14ac:dyDescent="0.3">
      <c r="A1096" s="127">
        <v>3</v>
      </c>
      <c r="B1096" s="90" t="s">
        <v>331</v>
      </c>
      <c r="C1096" s="90">
        <f t="shared" si="224"/>
        <v>359.17315200000002</v>
      </c>
      <c r="D1096" s="91">
        <f t="shared" si="225"/>
        <v>431.0077824</v>
      </c>
      <c r="E1096" s="90">
        <v>0</v>
      </c>
      <c r="F1096" s="128">
        <f t="shared" si="226"/>
        <v>538.759728</v>
      </c>
    </row>
    <row r="1097" spans="1:14" x14ac:dyDescent="0.3">
      <c r="A1097" s="127">
        <v>4</v>
      </c>
      <c r="B1097" s="90" t="s">
        <v>331</v>
      </c>
      <c r="C1097" s="90">
        <f t="shared" si="224"/>
        <v>359.17315200000002</v>
      </c>
      <c r="D1097" s="91">
        <f t="shared" si="225"/>
        <v>431.0077824</v>
      </c>
      <c r="E1097" s="90">
        <v>0</v>
      </c>
      <c r="F1097" s="128">
        <f t="shared" si="226"/>
        <v>538.759728</v>
      </c>
    </row>
    <row r="1098" spans="1:14" ht="15.6" x14ac:dyDescent="0.3">
      <c r="A1098" s="127">
        <v>5</v>
      </c>
      <c r="B1098" s="90" t="s">
        <v>331</v>
      </c>
      <c r="C1098" s="90">
        <f t="shared" si="224"/>
        <v>359.17315200000002</v>
      </c>
      <c r="D1098" s="91">
        <f t="shared" si="225"/>
        <v>431.0077824</v>
      </c>
      <c r="E1098" s="90">
        <v>0</v>
      </c>
      <c r="F1098" s="128">
        <f t="shared" si="226"/>
        <v>538.759728</v>
      </c>
      <c r="K1098" s="40"/>
    </row>
    <row r="1099" spans="1:14" ht="15.6" x14ac:dyDescent="0.3">
      <c r="A1099" s="127">
        <v>6</v>
      </c>
      <c r="B1099" s="90" t="s">
        <v>331</v>
      </c>
      <c r="C1099" s="90">
        <f t="shared" si="224"/>
        <v>359.17315200000002</v>
      </c>
      <c r="D1099" s="91">
        <f t="shared" si="225"/>
        <v>431.0077824</v>
      </c>
      <c r="E1099" s="90">
        <v>0</v>
      </c>
      <c r="F1099" s="128">
        <f t="shared" si="226"/>
        <v>538.759728</v>
      </c>
      <c r="K1099" s="39"/>
    </row>
    <row r="1100" spans="1:14" s="39" customFormat="1" ht="15.75" customHeight="1" x14ac:dyDescent="0.3">
      <c r="A1100" s="127">
        <v>7</v>
      </c>
      <c r="B1100" s="90" t="s">
        <v>331</v>
      </c>
      <c r="C1100" s="90">
        <f t="shared" si="224"/>
        <v>359.17315200000002</v>
      </c>
      <c r="D1100" s="91">
        <f>C1100*1.2</f>
        <v>431.0077824</v>
      </c>
      <c r="E1100" s="90">
        <v>0</v>
      </c>
      <c r="F1100" s="128">
        <f>C1100*(($F$469)+1)+(IF(E1100&lt;101,E1100,IF(E1100&lt;201,E1100/2,IF(E1100&lt;=301,E1100/3,E1100/4))))</f>
        <v>538.759728</v>
      </c>
      <c r="G1100" s="43"/>
      <c r="H1100" s="43"/>
      <c r="K1100"/>
    </row>
    <row r="1101" spans="1:14" s="39" customFormat="1" ht="15.6" x14ac:dyDescent="0.3">
      <c r="A1101" s="127">
        <v>8</v>
      </c>
      <c r="B1101" s="90" t="s">
        <v>331</v>
      </c>
      <c r="C1101" s="90">
        <f t="shared" si="224"/>
        <v>359.17315200000002</v>
      </c>
      <c r="D1101" s="91">
        <f t="shared" ref="D1101:D1110" si="227">C1101*1.2</f>
        <v>431.0077824</v>
      </c>
      <c r="E1101" s="90">
        <v>0</v>
      </c>
      <c r="F1101" s="128">
        <f t="shared" ref="F1101:F1110" si="228">C1101*(($F$469)+1)+(IF(E1101&lt;101,E1101,IF(E1101&lt;201,E1101/2,IF(E1101&lt;=301,E1101/3,E1101/4))))</f>
        <v>538.759728</v>
      </c>
      <c r="G1101" s="157"/>
      <c r="H1101" s="157"/>
      <c r="I1101" s="40"/>
      <c r="J1101" s="54"/>
      <c r="K1101"/>
      <c r="L1101" s="170"/>
      <c r="M1101" s="170"/>
      <c r="N1101" s="40"/>
    </row>
    <row r="1102" spans="1:14" x14ac:dyDescent="0.3">
      <c r="A1102" s="127">
        <v>9</v>
      </c>
      <c r="B1102" s="90" t="s">
        <v>331</v>
      </c>
      <c r="C1102" s="90">
        <f t="shared" si="224"/>
        <v>359.17315200000002</v>
      </c>
      <c r="D1102" s="91">
        <f t="shared" si="227"/>
        <v>431.0077824</v>
      </c>
      <c r="E1102" s="90">
        <v>0</v>
      </c>
      <c r="F1102" s="128">
        <f t="shared" si="228"/>
        <v>538.759728</v>
      </c>
    </row>
    <row r="1103" spans="1:14" x14ac:dyDescent="0.3">
      <c r="A1103" s="127">
        <v>10</v>
      </c>
      <c r="B1103" s="90" t="s">
        <v>331</v>
      </c>
      <c r="C1103" s="90">
        <f t="shared" si="224"/>
        <v>359.17315200000002</v>
      </c>
      <c r="D1103" s="91">
        <f t="shared" si="227"/>
        <v>431.0077824</v>
      </c>
      <c r="E1103" s="90">
        <v>0</v>
      </c>
      <c r="F1103" s="128">
        <f t="shared" si="228"/>
        <v>538.759728</v>
      </c>
    </row>
    <row r="1104" spans="1:14" ht="15.6" x14ac:dyDescent="0.3">
      <c r="A1104" s="127">
        <v>11</v>
      </c>
      <c r="B1104" s="90" t="s">
        <v>331</v>
      </c>
      <c r="C1104" s="90">
        <f t="shared" si="224"/>
        <v>359.17315200000002</v>
      </c>
      <c r="D1104" s="91">
        <f t="shared" si="227"/>
        <v>431.0077824</v>
      </c>
      <c r="E1104" s="90">
        <v>0</v>
      </c>
      <c r="F1104" s="128">
        <f t="shared" si="228"/>
        <v>538.759728</v>
      </c>
      <c r="K1104" s="40"/>
    </row>
    <row r="1105" spans="1:14" ht="15.6" x14ac:dyDescent="0.3">
      <c r="A1105" s="127">
        <v>12</v>
      </c>
      <c r="B1105" s="90" t="s">
        <v>331</v>
      </c>
      <c r="C1105" s="90">
        <f t="shared" si="224"/>
        <v>359.17315200000002</v>
      </c>
      <c r="D1105" s="91">
        <f t="shared" si="227"/>
        <v>431.0077824</v>
      </c>
      <c r="E1105" s="90">
        <v>0</v>
      </c>
      <c r="F1105" s="128">
        <f t="shared" si="228"/>
        <v>538.759728</v>
      </c>
      <c r="K1105" s="39"/>
    </row>
    <row r="1106" spans="1:14" s="39" customFormat="1" ht="15.6" x14ac:dyDescent="0.3">
      <c r="A1106" s="127">
        <v>13</v>
      </c>
      <c r="B1106" s="90" t="s">
        <v>331</v>
      </c>
      <c r="C1106" s="90">
        <f t="shared" si="224"/>
        <v>359.17315200000002</v>
      </c>
      <c r="D1106" s="91">
        <f t="shared" si="227"/>
        <v>431.0077824</v>
      </c>
      <c r="E1106" s="90">
        <v>0</v>
      </c>
      <c r="F1106" s="128">
        <f t="shared" si="228"/>
        <v>538.759728</v>
      </c>
      <c r="G1106" s="157"/>
      <c r="H1106" s="157"/>
      <c r="I1106" s="40"/>
      <c r="J1106" s="54"/>
      <c r="K1106"/>
      <c r="L1106" s="170"/>
      <c r="M1106" s="170"/>
      <c r="N1106" s="40"/>
    </row>
    <row r="1107" spans="1:14" x14ac:dyDescent="0.3">
      <c r="A1107" s="127">
        <v>14</v>
      </c>
      <c r="B1107" s="90" t="s">
        <v>331</v>
      </c>
      <c r="C1107" s="90">
        <f t="shared" si="224"/>
        <v>359.17315200000002</v>
      </c>
      <c r="D1107" s="91">
        <f t="shared" si="227"/>
        <v>431.0077824</v>
      </c>
      <c r="E1107" s="90">
        <v>0</v>
      </c>
      <c r="F1107" s="128">
        <f t="shared" si="228"/>
        <v>538.759728</v>
      </c>
    </row>
    <row r="1108" spans="1:14" x14ac:dyDescent="0.3">
      <c r="A1108" s="127">
        <v>15</v>
      </c>
      <c r="B1108" s="90" t="s">
        <v>331</v>
      </c>
      <c r="C1108" s="90">
        <f t="shared" si="224"/>
        <v>359.17315200000002</v>
      </c>
      <c r="D1108" s="91">
        <f t="shared" si="227"/>
        <v>431.0077824</v>
      </c>
      <c r="E1108" s="90">
        <v>0</v>
      </c>
      <c r="F1108" s="128">
        <f t="shared" si="228"/>
        <v>538.759728</v>
      </c>
    </row>
    <row r="1109" spans="1:14" ht="15.6" x14ac:dyDescent="0.3">
      <c r="A1109" s="127">
        <v>16</v>
      </c>
      <c r="B1109" s="90" t="s">
        <v>331</v>
      </c>
      <c r="C1109" s="90">
        <f t="shared" si="224"/>
        <v>359.17315200000002</v>
      </c>
      <c r="D1109" s="91">
        <f t="shared" si="227"/>
        <v>431.0077824</v>
      </c>
      <c r="E1109" s="90">
        <v>0</v>
      </c>
      <c r="F1109" s="128">
        <f t="shared" si="228"/>
        <v>538.759728</v>
      </c>
      <c r="K1109" s="40"/>
    </row>
    <row r="1110" spans="1:14" ht="15.6" x14ac:dyDescent="0.3">
      <c r="A1110" s="127">
        <v>17</v>
      </c>
      <c r="B1110" s="90" t="s">
        <v>331</v>
      </c>
      <c r="C1110" s="90">
        <f t="shared" si="224"/>
        <v>359.17315200000002</v>
      </c>
      <c r="D1110" s="91">
        <f t="shared" si="227"/>
        <v>431.0077824</v>
      </c>
      <c r="E1110" s="90">
        <v>0</v>
      </c>
      <c r="F1110" s="128">
        <f t="shared" si="228"/>
        <v>538.759728</v>
      </c>
      <c r="K1110" s="39"/>
    </row>
    <row r="1111" spans="1:14" s="39" customFormat="1" ht="15.75" customHeight="1" x14ac:dyDescent="0.3">
      <c r="A1111" s="127">
        <v>18</v>
      </c>
      <c r="B1111" s="90" t="s">
        <v>331</v>
      </c>
      <c r="C1111" s="90">
        <f t="shared" si="224"/>
        <v>359.17315200000002</v>
      </c>
      <c r="D1111" s="91">
        <f>C1111*1.2</f>
        <v>431.0077824</v>
      </c>
      <c r="E1111" s="90">
        <v>0</v>
      </c>
      <c r="F1111" s="128">
        <f>C1111*(($F$469)+1)+(IF(E1111&lt;101,E1111,IF(E1111&lt;201,E1111/2,IF(E1111&lt;=301,E1111/3,E1111/4))))</f>
        <v>538.759728</v>
      </c>
      <c r="G1111" s="43"/>
      <c r="H1111" s="43"/>
      <c r="K1111"/>
    </row>
    <row r="1112" spans="1:14" s="39" customFormat="1" ht="15.6" x14ac:dyDescent="0.3">
      <c r="A1112" s="127">
        <v>19</v>
      </c>
      <c r="B1112" s="90" t="s">
        <v>331</v>
      </c>
      <c r="C1112" s="90">
        <f t="shared" si="224"/>
        <v>359.17315200000002</v>
      </c>
      <c r="D1112" s="91">
        <f t="shared" ref="D1112:D1128" si="229">C1112*1.2</f>
        <v>431.0077824</v>
      </c>
      <c r="E1112" s="90">
        <v>0</v>
      </c>
      <c r="F1112" s="128">
        <f t="shared" ref="F1112:F1128" si="230">C1112*(($F$469)+1)+(IF(E1112&lt;101,E1112,IF(E1112&lt;201,E1112/2,IF(E1112&lt;=301,E1112/3,E1112/4))))</f>
        <v>538.759728</v>
      </c>
      <c r="G1112" s="157"/>
      <c r="H1112" s="157"/>
      <c r="I1112" s="40"/>
      <c r="J1112" s="54"/>
      <c r="K1112"/>
      <c r="L1112" s="170"/>
      <c r="M1112" s="170"/>
      <c r="N1112" s="40"/>
    </row>
    <row r="1113" spans="1:14" x14ac:dyDescent="0.3">
      <c r="A1113" s="127">
        <v>20</v>
      </c>
      <c r="B1113" s="90" t="s">
        <v>331</v>
      </c>
      <c r="C1113" s="90">
        <f t="shared" si="224"/>
        <v>359.17315200000002</v>
      </c>
      <c r="D1113" s="91">
        <f t="shared" si="229"/>
        <v>431.0077824</v>
      </c>
      <c r="E1113" s="90">
        <v>0</v>
      </c>
      <c r="F1113" s="128">
        <f t="shared" si="230"/>
        <v>538.759728</v>
      </c>
    </row>
    <row r="1114" spans="1:14" x14ac:dyDescent="0.3">
      <c r="A1114" s="127">
        <v>21</v>
      </c>
      <c r="B1114" s="90" t="s">
        <v>331</v>
      </c>
      <c r="C1114" s="90">
        <f t="shared" si="224"/>
        <v>359.17315200000002</v>
      </c>
      <c r="D1114" s="91">
        <f t="shared" si="229"/>
        <v>431.0077824</v>
      </c>
      <c r="E1114" s="90">
        <v>0</v>
      </c>
      <c r="F1114" s="128">
        <f t="shared" si="230"/>
        <v>538.759728</v>
      </c>
    </row>
    <row r="1115" spans="1:14" ht="15.6" x14ac:dyDescent="0.3">
      <c r="A1115" s="127">
        <v>22</v>
      </c>
      <c r="B1115" s="90" t="s">
        <v>331</v>
      </c>
      <c r="C1115" s="90">
        <f t="shared" si="224"/>
        <v>359.17315200000002</v>
      </c>
      <c r="D1115" s="91">
        <f t="shared" si="229"/>
        <v>431.0077824</v>
      </c>
      <c r="E1115" s="90">
        <v>0</v>
      </c>
      <c r="F1115" s="128">
        <f t="shared" si="230"/>
        <v>538.759728</v>
      </c>
      <c r="K1115" s="40"/>
    </row>
    <row r="1116" spans="1:14" ht="15.6" x14ac:dyDescent="0.3">
      <c r="A1116" s="127">
        <v>23</v>
      </c>
      <c r="B1116" s="90" t="s">
        <v>331</v>
      </c>
      <c r="C1116" s="90">
        <f t="shared" si="224"/>
        <v>359.17315200000002</v>
      </c>
      <c r="D1116" s="91">
        <f t="shared" si="229"/>
        <v>431.0077824</v>
      </c>
      <c r="E1116" s="90">
        <v>0</v>
      </c>
      <c r="F1116" s="128">
        <f t="shared" si="230"/>
        <v>538.759728</v>
      </c>
      <c r="K1116" s="39"/>
    </row>
    <row r="1117" spans="1:14" x14ac:dyDescent="0.3">
      <c r="A1117" s="127">
        <v>24</v>
      </c>
      <c r="B1117" s="90" t="s">
        <v>331</v>
      </c>
      <c r="C1117" s="90">
        <f t="shared" si="224"/>
        <v>359.17315200000002</v>
      </c>
      <c r="D1117" s="91">
        <f t="shared" si="229"/>
        <v>431.0077824</v>
      </c>
      <c r="E1117" s="90">
        <v>0</v>
      </c>
      <c r="F1117" s="128">
        <f t="shared" si="230"/>
        <v>538.759728</v>
      </c>
    </row>
    <row r="1118" spans="1:14" x14ac:dyDescent="0.3">
      <c r="A1118" s="127">
        <v>25</v>
      </c>
      <c r="B1118" s="90" t="s">
        <v>331</v>
      </c>
      <c r="C1118" s="90">
        <f t="shared" si="224"/>
        <v>359.17315200000002</v>
      </c>
      <c r="D1118" s="91">
        <f t="shared" si="229"/>
        <v>431.0077824</v>
      </c>
      <c r="E1118" s="90">
        <v>0</v>
      </c>
      <c r="F1118" s="128">
        <f t="shared" si="230"/>
        <v>538.759728</v>
      </c>
    </row>
    <row r="1119" spans="1:14" ht="15.6" x14ac:dyDescent="0.3">
      <c r="A1119" s="127">
        <v>26</v>
      </c>
      <c r="B1119" s="90" t="s">
        <v>331</v>
      </c>
      <c r="C1119" s="90">
        <f t="shared" si="224"/>
        <v>359.17315200000002</v>
      </c>
      <c r="D1119" s="91">
        <f t="shared" si="229"/>
        <v>431.0077824</v>
      </c>
      <c r="E1119" s="90">
        <v>0</v>
      </c>
      <c r="F1119" s="128">
        <f t="shared" si="230"/>
        <v>538.759728</v>
      </c>
      <c r="K1119" s="40"/>
    </row>
    <row r="1120" spans="1:14" ht="15.6" x14ac:dyDescent="0.3">
      <c r="A1120" s="127">
        <v>27</v>
      </c>
      <c r="B1120" s="90" t="s">
        <v>331</v>
      </c>
      <c r="C1120" s="90">
        <f t="shared" si="224"/>
        <v>359.17315200000002</v>
      </c>
      <c r="D1120" s="91">
        <f t="shared" si="229"/>
        <v>431.0077824</v>
      </c>
      <c r="E1120" s="90">
        <v>0</v>
      </c>
      <c r="F1120" s="128">
        <f t="shared" si="230"/>
        <v>538.759728</v>
      </c>
      <c r="K1120" s="39"/>
    </row>
    <row r="1121" spans="1:14" ht="15.6" x14ac:dyDescent="0.3">
      <c r="A1121" s="127">
        <v>28</v>
      </c>
      <c r="B1121" s="90" t="s">
        <v>331</v>
      </c>
      <c r="C1121" s="90">
        <f t="shared" si="224"/>
        <v>359.17315200000002</v>
      </c>
      <c r="D1121" s="91">
        <f t="shared" si="229"/>
        <v>431.0077824</v>
      </c>
      <c r="E1121" s="90">
        <v>0</v>
      </c>
      <c r="F1121" s="128">
        <f t="shared" si="230"/>
        <v>538.759728</v>
      </c>
      <c r="K1121" s="39"/>
    </row>
    <row r="1122" spans="1:14" ht="15.6" x14ac:dyDescent="0.3">
      <c r="A1122" s="127">
        <v>29</v>
      </c>
      <c r="B1122" s="90" t="s">
        <v>331</v>
      </c>
      <c r="C1122" s="90">
        <f t="shared" si="224"/>
        <v>359.17315200000002</v>
      </c>
      <c r="D1122" s="91">
        <f t="shared" si="229"/>
        <v>431.0077824</v>
      </c>
      <c r="E1122" s="90">
        <v>0</v>
      </c>
      <c r="F1122" s="128">
        <f t="shared" si="230"/>
        <v>538.759728</v>
      </c>
      <c r="K1122" s="40"/>
    </row>
    <row r="1123" spans="1:14" ht="15.6" x14ac:dyDescent="0.3">
      <c r="A1123" s="127">
        <v>30</v>
      </c>
      <c r="B1123" s="90" t="s">
        <v>331</v>
      </c>
      <c r="C1123" s="90">
        <f t="shared" si="224"/>
        <v>359.17315200000002</v>
      </c>
      <c r="D1123" s="91">
        <f t="shared" si="229"/>
        <v>431.0077824</v>
      </c>
      <c r="E1123" s="90">
        <v>0</v>
      </c>
      <c r="F1123" s="128">
        <f t="shared" si="230"/>
        <v>538.759728</v>
      </c>
      <c r="K1123" s="39"/>
    </row>
    <row r="1124" spans="1:14" s="39" customFormat="1" ht="15.6" x14ac:dyDescent="0.3">
      <c r="A1124" s="127">
        <v>31</v>
      </c>
      <c r="B1124" s="90" t="s">
        <v>331</v>
      </c>
      <c r="C1124" s="90">
        <f t="shared" si="224"/>
        <v>359.17315200000002</v>
      </c>
      <c r="D1124" s="91">
        <f t="shared" si="229"/>
        <v>431.0077824</v>
      </c>
      <c r="E1124" s="90">
        <v>0</v>
      </c>
      <c r="F1124" s="128">
        <f t="shared" si="230"/>
        <v>538.759728</v>
      </c>
      <c r="G1124" s="157"/>
      <c r="H1124" s="157"/>
      <c r="I1124" s="40"/>
      <c r="J1124" s="54"/>
      <c r="K1124"/>
      <c r="L1124" s="170"/>
      <c r="M1124" s="170"/>
      <c r="N1124" s="40"/>
    </row>
    <row r="1125" spans="1:14" x14ac:dyDescent="0.3">
      <c r="A1125" s="127">
        <v>32</v>
      </c>
      <c r="B1125" s="90" t="s">
        <v>331</v>
      </c>
      <c r="C1125" s="90">
        <f t="shared" si="224"/>
        <v>359.17315200000002</v>
      </c>
      <c r="D1125" s="91">
        <f t="shared" si="229"/>
        <v>431.0077824</v>
      </c>
      <c r="E1125" s="90">
        <v>0</v>
      </c>
      <c r="F1125" s="128">
        <f t="shared" si="230"/>
        <v>538.759728</v>
      </c>
    </row>
    <row r="1126" spans="1:14" x14ac:dyDescent="0.3">
      <c r="A1126" s="127">
        <v>33</v>
      </c>
      <c r="B1126" s="90" t="s">
        <v>331</v>
      </c>
      <c r="C1126" s="90">
        <f t="shared" si="224"/>
        <v>359.17315200000002</v>
      </c>
      <c r="D1126" s="91">
        <f t="shared" si="229"/>
        <v>431.0077824</v>
      </c>
      <c r="E1126" s="90">
        <v>0</v>
      </c>
      <c r="F1126" s="128">
        <f t="shared" si="230"/>
        <v>538.759728</v>
      </c>
    </row>
    <row r="1127" spans="1:14" ht="15.6" x14ac:dyDescent="0.3">
      <c r="A1127" s="127">
        <v>34</v>
      </c>
      <c r="B1127" s="90" t="s">
        <v>331</v>
      </c>
      <c r="C1127" s="90">
        <f t="shared" si="224"/>
        <v>359.17315200000002</v>
      </c>
      <c r="D1127" s="91">
        <f t="shared" si="229"/>
        <v>431.0077824</v>
      </c>
      <c r="E1127" s="90">
        <v>0</v>
      </c>
      <c r="F1127" s="128">
        <f t="shared" si="230"/>
        <v>538.759728</v>
      </c>
      <c r="K1127" s="40"/>
    </row>
    <row r="1128" spans="1:14" ht="15.6" x14ac:dyDescent="0.3">
      <c r="A1128" s="127">
        <v>35</v>
      </c>
      <c r="B1128" s="90" t="s">
        <v>331</v>
      </c>
      <c r="C1128" s="90">
        <f t="shared" si="224"/>
        <v>359.17315200000002</v>
      </c>
      <c r="D1128" s="91">
        <f t="shared" si="229"/>
        <v>431.0077824</v>
      </c>
      <c r="E1128" s="90">
        <v>0</v>
      </c>
      <c r="F1128" s="128">
        <f t="shared" si="230"/>
        <v>538.759728</v>
      </c>
      <c r="K1128" s="39"/>
    </row>
    <row r="1129" spans="1:14" s="39" customFormat="1" ht="15.75" customHeight="1" x14ac:dyDescent="0.3">
      <c r="A1129" s="127">
        <v>36</v>
      </c>
      <c r="B1129" s="90" t="s">
        <v>331</v>
      </c>
      <c r="C1129" s="90">
        <f t="shared" si="224"/>
        <v>359.17315200000002</v>
      </c>
      <c r="D1129" s="91">
        <f>C1129*1.2</f>
        <v>431.0077824</v>
      </c>
      <c r="E1129" s="90">
        <v>0</v>
      </c>
      <c r="F1129" s="128">
        <f>C1129*(($F$469)+1)+(IF(E1129&lt;101,E1129,IF(E1129&lt;201,E1129/2,IF(E1129&lt;=301,E1129/3,E1129/4))))</f>
        <v>538.759728</v>
      </c>
      <c r="G1129" s="43"/>
      <c r="H1129" s="43"/>
      <c r="K1129"/>
    </row>
    <row r="1130" spans="1:14" s="39" customFormat="1" ht="15.6" x14ac:dyDescent="0.3">
      <c r="A1130" s="127">
        <v>37</v>
      </c>
      <c r="B1130" s="90" t="s">
        <v>331</v>
      </c>
      <c r="C1130" s="90">
        <f t="shared" si="224"/>
        <v>359.17315200000002</v>
      </c>
      <c r="D1130" s="91">
        <f t="shared" ref="D1130:D1134" si="231">C1130*1.2</f>
        <v>431.0077824</v>
      </c>
      <c r="E1130" s="90">
        <v>0</v>
      </c>
      <c r="F1130" s="128">
        <f t="shared" ref="F1130:F1134" si="232">C1130*(($F$469)+1)+(IF(E1130&lt;101,E1130,IF(E1130&lt;201,E1130/2,IF(E1130&lt;=301,E1130/3,E1130/4))))</f>
        <v>538.759728</v>
      </c>
      <c r="G1130" s="157"/>
      <c r="H1130" s="157"/>
      <c r="I1130" s="40"/>
      <c r="J1130" s="54"/>
      <c r="K1130"/>
      <c r="L1130" s="170"/>
      <c r="M1130" s="170"/>
      <c r="N1130" s="40"/>
    </row>
    <row r="1131" spans="1:14" x14ac:dyDescent="0.3">
      <c r="A1131" s="127">
        <v>38</v>
      </c>
      <c r="B1131" s="90" t="s">
        <v>331</v>
      </c>
      <c r="C1131" s="90">
        <f t="shared" si="224"/>
        <v>359.17315200000002</v>
      </c>
      <c r="D1131" s="91">
        <f t="shared" si="231"/>
        <v>431.0077824</v>
      </c>
      <c r="E1131" s="90">
        <v>0</v>
      </c>
      <c r="F1131" s="128">
        <f t="shared" si="232"/>
        <v>538.759728</v>
      </c>
    </row>
    <row r="1132" spans="1:14" x14ac:dyDescent="0.3">
      <c r="A1132" s="127">
        <v>39</v>
      </c>
      <c r="B1132" s="90" t="s">
        <v>331</v>
      </c>
      <c r="C1132" s="90">
        <f t="shared" si="224"/>
        <v>359.17315200000002</v>
      </c>
      <c r="D1132" s="91">
        <f t="shared" si="231"/>
        <v>431.0077824</v>
      </c>
      <c r="E1132" s="90">
        <v>0</v>
      </c>
      <c r="F1132" s="128">
        <f t="shared" si="232"/>
        <v>538.759728</v>
      </c>
    </row>
    <row r="1133" spans="1:14" ht="15.6" x14ac:dyDescent="0.3">
      <c r="A1133" s="127">
        <v>40</v>
      </c>
      <c r="B1133" s="90" t="s">
        <v>331</v>
      </c>
      <c r="C1133" s="90">
        <f t="shared" si="224"/>
        <v>359.17315200000002</v>
      </c>
      <c r="D1133" s="91">
        <f t="shared" si="231"/>
        <v>431.0077824</v>
      </c>
      <c r="E1133" s="90">
        <v>0</v>
      </c>
      <c r="F1133" s="128">
        <f t="shared" si="232"/>
        <v>538.759728</v>
      </c>
      <c r="K1133" s="40"/>
    </row>
    <row r="1134" spans="1:14" ht="15.6" x14ac:dyDescent="0.3">
      <c r="A1134" s="127">
        <v>41</v>
      </c>
      <c r="B1134" s="90" t="s">
        <v>331</v>
      </c>
      <c r="C1134" s="90">
        <f t="shared" si="224"/>
        <v>359.17315200000002</v>
      </c>
      <c r="D1134" s="91">
        <f t="shared" si="231"/>
        <v>431.0077824</v>
      </c>
      <c r="E1134" s="90">
        <v>0</v>
      </c>
      <c r="F1134" s="128">
        <f t="shared" si="232"/>
        <v>538.759728</v>
      </c>
      <c r="K1134" s="39"/>
    </row>
    <row r="1135" spans="1:14" s="39" customFormat="1" ht="15.75" customHeight="1" x14ac:dyDescent="0.3">
      <c r="A1135" s="151" t="s">
        <v>334</v>
      </c>
      <c r="B1135" s="152"/>
      <c r="C1135" s="152"/>
      <c r="D1135" s="152"/>
      <c r="E1135" s="152"/>
      <c r="F1135" s="153"/>
      <c r="G1135" s="43"/>
      <c r="H1135" s="43"/>
      <c r="K1135" s="40"/>
    </row>
    <row r="1136" spans="1:14" s="39" customFormat="1" ht="15.75" customHeight="1" x14ac:dyDescent="0.3">
      <c r="A1136" s="127">
        <v>1</v>
      </c>
      <c r="B1136" s="90" t="s">
        <v>331</v>
      </c>
      <c r="C1136" s="90">
        <f t="shared" ref="C1136:C1143" si="233">(23.69+1.8*(1.5+1.2)+0.6*1.68+3.16*0.75+1.2*1.2)*10.764</f>
        <v>359.17315200000002</v>
      </c>
      <c r="D1136" s="91">
        <f>C1136*1.2</f>
        <v>431.0077824</v>
      </c>
      <c r="E1136" s="90">
        <v>0</v>
      </c>
      <c r="F1136" s="128">
        <f>C1136*(($F$469)+1)+(IF(E1136&lt;101,E1136,IF(E1136&lt;201,E1136/2,IF(E1136&lt;=301,E1136/3,E1136/4))))</f>
        <v>538.759728</v>
      </c>
      <c r="G1136" s="43"/>
      <c r="H1136" s="43"/>
      <c r="K1136"/>
    </row>
    <row r="1137" spans="1:14" s="39" customFormat="1" ht="15.6" x14ac:dyDescent="0.3">
      <c r="A1137" s="127">
        <v>2</v>
      </c>
      <c r="B1137" s="90" t="s">
        <v>331</v>
      </c>
      <c r="C1137" s="90">
        <f t="shared" si="233"/>
        <v>359.17315200000002</v>
      </c>
      <c r="D1137" s="91">
        <f t="shared" ref="D1137:D1141" si="234">C1137*1.2</f>
        <v>431.0077824</v>
      </c>
      <c r="E1137" s="90">
        <v>0</v>
      </c>
      <c r="F1137" s="128">
        <f t="shared" ref="F1137:F1141" si="235">C1137*(($F$469)+1)+(IF(E1137&lt;101,E1137,IF(E1137&lt;201,E1137/2,IF(E1137&lt;=301,E1137/3,E1137/4))))</f>
        <v>538.759728</v>
      </c>
      <c r="G1137" s="157"/>
      <c r="H1137" s="157"/>
      <c r="I1137" s="40"/>
      <c r="J1137" s="54"/>
      <c r="K1137"/>
      <c r="L1137" s="170"/>
      <c r="M1137" s="170"/>
      <c r="N1137" s="40"/>
    </row>
    <row r="1138" spans="1:14" x14ac:dyDescent="0.3">
      <c r="A1138" s="127">
        <v>3</v>
      </c>
      <c r="B1138" s="90" t="s">
        <v>331</v>
      </c>
      <c r="C1138" s="90">
        <f t="shared" si="233"/>
        <v>359.17315200000002</v>
      </c>
      <c r="D1138" s="91">
        <f t="shared" si="234"/>
        <v>431.0077824</v>
      </c>
      <c r="E1138" s="90">
        <v>0</v>
      </c>
      <c r="F1138" s="128">
        <f t="shared" si="235"/>
        <v>538.759728</v>
      </c>
    </row>
    <row r="1139" spans="1:14" x14ac:dyDescent="0.3">
      <c r="A1139" s="127">
        <v>4</v>
      </c>
      <c r="B1139" s="90" t="s">
        <v>331</v>
      </c>
      <c r="C1139" s="90">
        <f t="shared" si="233"/>
        <v>359.17315200000002</v>
      </c>
      <c r="D1139" s="91">
        <f t="shared" si="234"/>
        <v>431.0077824</v>
      </c>
      <c r="E1139" s="90">
        <v>0</v>
      </c>
      <c r="F1139" s="128">
        <f t="shared" si="235"/>
        <v>538.759728</v>
      </c>
    </row>
    <row r="1140" spans="1:14" ht="15.6" x14ac:dyDescent="0.3">
      <c r="A1140" s="127">
        <v>5</v>
      </c>
      <c r="B1140" s="90" t="s">
        <v>331</v>
      </c>
      <c r="C1140" s="90">
        <f t="shared" si="233"/>
        <v>359.17315200000002</v>
      </c>
      <c r="D1140" s="91">
        <f t="shared" si="234"/>
        <v>431.0077824</v>
      </c>
      <c r="E1140" s="90">
        <v>0</v>
      </c>
      <c r="F1140" s="128">
        <f t="shared" si="235"/>
        <v>538.759728</v>
      </c>
      <c r="K1140" s="40"/>
    </row>
    <row r="1141" spans="1:14" ht="15.6" x14ac:dyDescent="0.3">
      <c r="A1141" s="127">
        <v>6</v>
      </c>
      <c r="B1141" s="90" t="s">
        <v>331</v>
      </c>
      <c r="C1141" s="90">
        <f t="shared" si="233"/>
        <v>359.17315200000002</v>
      </c>
      <c r="D1141" s="91">
        <f t="shared" si="234"/>
        <v>431.0077824</v>
      </c>
      <c r="E1141" s="90">
        <v>0</v>
      </c>
      <c r="F1141" s="128">
        <f t="shared" si="235"/>
        <v>538.759728</v>
      </c>
      <c r="K1141" s="39"/>
    </row>
    <row r="1142" spans="1:14" s="39" customFormat="1" ht="15.75" customHeight="1" x14ac:dyDescent="0.3">
      <c r="A1142" s="127">
        <v>7</v>
      </c>
      <c r="B1142" s="90" t="s">
        <v>331</v>
      </c>
      <c r="C1142" s="90">
        <f t="shared" si="233"/>
        <v>359.17315200000002</v>
      </c>
      <c r="D1142" s="91">
        <f>C1142*1.2</f>
        <v>431.0077824</v>
      </c>
      <c r="E1142" s="90">
        <v>0</v>
      </c>
      <c r="F1142" s="128">
        <f>C1142*(($F$469)+1)+(IF(E1142&lt;101,E1142,IF(E1142&lt;201,E1142/2,IF(E1142&lt;=301,E1142/3,E1142/4))))</f>
        <v>538.759728</v>
      </c>
      <c r="G1142" s="43"/>
      <c r="H1142" s="43"/>
      <c r="K1142"/>
    </row>
    <row r="1143" spans="1:14" s="39" customFormat="1" ht="15.6" x14ac:dyDescent="0.3">
      <c r="A1143" s="127">
        <v>8</v>
      </c>
      <c r="B1143" s="90" t="s">
        <v>331</v>
      </c>
      <c r="C1143" s="90">
        <f t="shared" si="233"/>
        <v>359.17315200000002</v>
      </c>
      <c r="D1143" s="91">
        <f t="shared" ref="D1143:D1152" si="236">C1143*1.2</f>
        <v>431.0077824</v>
      </c>
      <c r="E1143" s="90">
        <v>0</v>
      </c>
      <c r="F1143" s="128">
        <f t="shared" ref="F1143:F1152" si="237">C1143*(($F$469)+1)+(IF(E1143&lt;101,E1143,IF(E1143&lt;201,E1143/2,IF(E1143&lt;=301,E1143/3,E1143/4))))</f>
        <v>538.759728</v>
      </c>
      <c r="G1143" s="157"/>
      <c r="H1143" s="157"/>
      <c r="I1143" s="40"/>
      <c r="J1143" s="54"/>
      <c r="K1143"/>
      <c r="L1143" s="170"/>
      <c r="M1143" s="170"/>
      <c r="N1143" s="40"/>
    </row>
    <row r="1144" spans="1:14" x14ac:dyDescent="0.3">
      <c r="A1144" s="127">
        <v>9</v>
      </c>
      <c r="B1144" s="171" t="s">
        <v>335</v>
      </c>
      <c r="C1144" s="172"/>
      <c r="D1144" s="172"/>
      <c r="E1144" s="173"/>
      <c r="F1144" s="128">
        <f t="shared" si="237"/>
        <v>0</v>
      </c>
    </row>
    <row r="1145" spans="1:14" x14ac:dyDescent="0.3">
      <c r="A1145" s="127">
        <v>10</v>
      </c>
      <c r="B1145" s="90" t="s">
        <v>331</v>
      </c>
      <c r="C1145" s="90">
        <f t="shared" ref="C1145:C1156" si="238">(23.69+1.8*(1.5+1.2)+0.6*1.68+3.16*0.75+1.2*1.2)*10.764</f>
        <v>359.17315200000002</v>
      </c>
      <c r="D1145" s="91">
        <f t="shared" si="236"/>
        <v>431.0077824</v>
      </c>
      <c r="E1145" s="90">
        <v>0</v>
      </c>
      <c r="F1145" s="128">
        <f t="shared" si="237"/>
        <v>538.759728</v>
      </c>
    </row>
    <row r="1146" spans="1:14" ht="15.6" x14ac:dyDescent="0.3">
      <c r="A1146" s="127">
        <v>11</v>
      </c>
      <c r="B1146" s="90" t="s">
        <v>331</v>
      </c>
      <c r="C1146" s="90">
        <f t="shared" si="238"/>
        <v>359.17315200000002</v>
      </c>
      <c r="D1146" s="91">
        <f t="shared" si="236"/>
        <v>431.0077824</v>
      </c>
      <c r="E1146" s="90">
        <v>0</v>
      </c>
      <c r="F1146" s="128">
        <f t="shared" si="237"/>
        <v>538.759728</v>
      </c>
      <c r="K1146" s="40"/>
    </row>
    <row r="1147" spans="1:14" ht="15.6" x14ac:dyDescent="0.3">
      <c r="A1147" s="127">
        <v>12</v>
      </c>
      <c r="B1147" s="90" t="s">
        <v>331</v>
      </c>
      <c r="C1147" s="90">
        <f t="shared" si="238"/>
        <v>359.17315200000002</v>
      </c>
      <c r="D1147" s="91">
        <f t="shared" si="236"/>
        <v>431.0077824</v>
      </c>
      <c r="E1147" s="90">
        <v>0</v>
      </c>
      <c r="F1147" s="128">
        <f t="shared" si="237"/>
        <v>538.759728</v>
      </c>
      <c r="K1147" s="39"/>
    </row>
    <row r="1148" spans="1:14" s="39" customFormat="1" ht="15.6" x14ac:dyDescent="0.3">
      <c r="A1148" s="127">
        <v>13</v>
      </c>
      <c r="B1148" s="90" t="s">
        <v>331</v>
      </c>
      <c r="C1148" s="90">
        <f t="shared" si="238"/>
        <v>359.17315200000002</v>
      </c>
      <c r="D1148" s="91">
        <f t="shared" si="236"/>
        <v>431.0077824</v>
      </c>
      <c r="E1148" s="90">
        <v>0</v>
      </c>
      <c r="F1148" s="128">
        <f t="shared" si="237"/>
        <v>538.759728</v>
      </c>
      <c r="G1148" s="157"/>
      <c r="H1148" s="157"/>
      <c r="I1148" s="40"/>
      <c r="J1148" s="54"/>
      <c r="K1148"/>
      <c r="L1148" s="170"/>
      <c r="M1148" s="170"/>
      <c r="N1148" s="40"/>
    </row>
    <row r="1149" spans="1:14" x14ac:dyDescent="0.3">
      <c r="A1149" s="127">
        <v>14</v>
      </c>
      <c r="B1149" s="90" t="s">
        <v>331</v>
      </c>
      <c r="C1149" s="90">
        <f t="shared" si="238"/>
        <v>359.17315200000002</v>
      </c>
      <c r="D1149" s="91">
        <f t="shared" si="236"/>
        <v>431.0077824</v>
      </c>
      <c r="E1149" s="90">
        <v>0</v>
      </c>
      <c r="F1149" s="128">
        <f t="shared" si="237"/>
        <v>538.759728</v>
      </c>
    </row>
    <row r="1150" spans="1:14" x14ac:dyDescent="0.3">
      <c r="A1150" s="127">
        <v>15</v>
      </c>
      <c r="B1150" s="90" t="s">
        <v>331</v>
      </c>
      <c r="C1150" s="90">
        <f t="shared" si="238"/>
        <v>359.17315200000002</v>
      </c>
      <c r="D1150" s="91">
        <f t="shared" si="236"/>
        <v>431.0077824</v>
      </c>
      <c r="E1150" s="90">
        <v>0</v>
      </c>
      <c r="F1150" s="128">
        <f t="shared" si="237"/>
        <v>538.759728</v>
      </c>
    </row>
    <row r="1151" spans="1:14" ht="15.6" x14ac:dyDescent="0.3">
      <c r="A1151" s="127">
        <v>16</v>
      </c>
      <c r="B1151" s="90" t="s">
        <v>331</v>
      </c>
      <c r="C1151" s="90">
        <f t="shared" si="238"/>
        <v>359.17315200000002</v>
      </c>
      <c r="D1151" s="91">
        <f t="shared" si="236"/>
        <v>431.0077824</v>
      </c>
      <c r="E1151" s="90">
        <v>0</v>
      </c>
      <c r="F1151" s="128">
        <f t="shared" si="237"/>
        <v>538.759728</v>
      </c>
      <c r="K1151" s="40"/>
    </row>
    <row r="1152" spans="1:14" ht="15.6" x14ac:dyDescent="0.3">
      <c r="A1152" s="127">
        <v>17</v>
      </c>
      <c r="B1152" s="90" t="s">
        <v>331</v>
      </c>
      <c r="C1152" s="90">
        <f t="shared" si="238"/>
        <v>359.17315200000002</v>
      </c>
      <c r="D1152" s="91">
        <f t="shared" si="236"/>
        <v>431.0077824</v>
      </c>
      <c r="E1152" s="90">
        <v>0</v>
      </c>
      <c r="F1152" s="128">
        <f t="shared" si="237"/>
        <v>538.759728</v>
      </c>
      <c r="K1152" s="39"/>
    </row>
    <row r="1153" spans="1:14" s="39" customFormat="1" ht="15.75" customHeight="1" x14ac:dyDescent="0.3">
      <c r="A1153" s="127">
        <v>18</v>
      </c>
      <c r="B1153" s="90" t="s">
        <v>331</v>
      </c>
      <c r="C1153" s="90">
        <f t="shared" si="238"/>
        <v>359.17315200000002</v>
      </c>
      <c r="D1153" s="91">
        <f>C1153*1.2</f>
        <v>431.0077824</v>
      </c>
      <c r="E1153" s="90">
        <v>0</v>
      </c>
      <c r="F1153" s="128">
        <f>C1153*(($F$469)+1)+(IF(E1153&lt;101,E1153,IF(E1153&lt;201,E1153/2,IF(E1153&lt;=301,E1153/3,E1153/4))))</f>
        <v>538.759728</v>
      </c>
      <c r="G1153" s="43"/>
      <c r="H1153" s="43"/>
      <c r="K1153"/>
    </row>
    <row r="1154" spans="1:14" s="39" customFormat="1" ht="15.6" x14ac:dyDescent="0.3">
      <c r="A1154" s="127">
        <v>19</v>
      </c>
      <c r="B1154" s="90" t="s">
        <v>331</v>
      </c>
      <c r="C1154" s="90">
        <f t="shared" si="238"/>
        <v>359.17315200000002</v>
      </c>
      <c r="D1154" s="91">
        <f t="shared" ref="D1154:D1170" si="239">C1154*1.2</f>
        <v>431.0077824</v>
      </c>
      <c r="E1154" s="90">
        <v>0</v>
      </c>
      <c r="F1154" s="128">
        <f t="shared" ref="F1154:F1170" si="240">C1154*(($F$469)+1)+(IF(E1154&lt;101,E1154,IF(E1154&lt;201,E1154/2,IF(E1154&lt;=301,E1154/3,E1154/4))))</f>
        <v>538.759728</v>
      </c>
      <c r="G1154" s="157"/>
      <c r="H1154" s="157"/>
      <c r="I1154" s="40"/>
      <c r="J1154" s="54"/>
      <c r="K1154"/>
      <c r="L1154" s="170"/>
      <c r="M1154" s="170"/>
      <c r="N1154" s="40"/>
    </row>
    <row r="1155" spans="1:14" x14ac:dyDescent="0.3">
      <c r="A1155" s="127">
        <v>20</v>
      </c>
      <c r="B1155" s="90" t="s">
        <v>331</v>
      </c>
      <c r="C1155" s="90">
        <f t="shared" si="238"/>
        <v>359.17315200000002</v>
      </c>
      <c r="D1155" s="91">
        <f t="shared" si="239"/>
        <v>431.0077824</v>
      </c>
      <c r="E1155" s="90">
        <v>0</v>
      </c>
      <c r="F1155" s="128">
        <f t="shared" si="240"/>
        <v>538.759728</v>
      </c>
    </row>
    <row r="1156" spans="1:14" x14ac:dyDescent="0.3">
      <c r="A1156" s="127">
        <v>21</v>
      </c>
      <c r="B1156" s="90" t="s">
        <v>331</v>
      </c>
      <c r="C1156" s="90">
        <f t="shared" si="238"/>
        <v>359.17315200000002</v>
      </c>
      <c r="D1156" s="91">
        <f t="shared" si="239"/>
        <v>431.0077824</v>
      </c>
      <c r="E1156" s="90">
        <v>0</v>
      </c>
      <c r="F1156" s="128">
        <f t="shared" si="240"/>
        <v>538.759728</v>
      </c>
    </row>
    <row r="1157" spans="1:14" ht="15.6" x14ac:dyDescent="0.3">
      <c r="A1157" s="127">
        <v>22</v>
      </c>
      <c r="B1157" s="171" t="s">
        <v>335</v>
      </c>
      <c r="C1157" s="172"/>
      <c r="D1157" s="172"/>
      <c r="E1157" s="173"/>
      <c r="F1157" s="128">
        <f t="shared" si="240"/>
        <v>0</v>
      </c>
      <c r="K1157" s="40"/>
    </row>
    <row r="1158" spans="1:14" ht="15.6" x14ac:dyDescent="0.3">
      <c r="A1158" s="127">
        <v>23</v>
      </c>
      <c r="B1158" s="90" t="s">
        <v>331</v>
      </c>
      <c r="C1158" s="90">
        <f t="shared" ref="C1158:C1163" si="241">(23.69+1.8*(1.5+1.2)+0.6*1.68+3.16*0.75+1.2*1.2)*10.764</f>
        <v>359.17315200000002</v>
      </c>
      <c r="D1158" s="91">
        <f t="shared" si="239"/>
        <v>431.0077824</v>
      </c>
      <c r="E1158" s="90">
        <v>0</v>
      </c>
      <c r="F1158" s="128">
        <f t="shared" si="240"/>
        <v>538.759728</v>
      </c>
      <c r="K1158" s="39"/>
    </row>
    <row r="1159" spans="1:14" x14ac:dyDescent="0.3">
      <c r="A1159" s="127">
        <v>24</v>
      </c>
      <c r="B1159" s="90" t="s">
        <v>331</v>
      </c>
      <c r="C1159" s="90">
        <f t="shared" si="241"/>
        <v>359.17315200000002</v>
      </c>
      <c r="D1159" s="91">
        <f t="shared" si="239"/>
        <v>431.0077824</v>
      </c>
      <c r="E1159" s="90">
        <v>0</v>
      </c>
      <c r="F1159" s="128">
        <f t="shared" si="240"/>
        <v>538.759728</v>
      </c>
    </row>
    <row r="1160" spans="1:14" x14ac:dyDescent="0.3">
      <c r="A1160" s="127">
        <v>25</v>
      </c>
      <c r="B1160" s="90" t="s">
        <v>331</v>
      </c>
      <c r="C1160" s="90">
        <f t="shared" si="241"/>
        <v>359.17315200000002</v>
      </c>
      <c r="D1160" s="91">
        <f t="shared" si="239"/>
        <v>431.0077824</v>
      </c>
      <c r="E1160" s="90">
        <v>0</v>
      </c>
      <c r="F1160" s="128">
        <f t="shared" si="240"/>
        <v>538.759728</v>
      </c>
    </row>
    <row r="1161" spans="1:14" ht="15.6" x14ac:dyDescent="0.3">
      <c r="A1161" s="127">
        <v>26</v>
      </c>
      <c r="B1161" s="90" t="s">
        <v>331</v>
      </c>
      <c r="C1161" s="90">
        <f t="shared" si="241"/>
        <v>359.17315200000002</v>
      </c>
      <c r="D1161" s="91">
        <f t="shared" si="239"/>
        <v>431.0077824</v>
      </c>
      <c r="E1161" s="90">
        <v>0</v>
      </c>
      <c r="F1161" s="128">
        <f t="shared" si="240"/>
        <v>538.759728</v>
      </c>
      <c r="K1161" s="40"/>
    </row>
    <row r="1162" spans="1:14" ht="15.6" x14ac:dyDescent="0.3">
      <c r="A1162" s="127">
        <v>27</v>
      </c>
      <c r="B1162" s="90" t="s">
        <v>331</v>
      </c>
      <c r="C1162" s="90">
        <f t="shared" si="241"/>
        <v>359.17315200000002</v>
      </c>
      <c r="D1162" s="91">
        <f t="shared" si="239"/>
        <v>431.0077824</v>
      </c>
      <c r="E1162" s="90">
        <v>0</v>
      </c>
      <c r="F1162" s="128">
        <f t="shared" si="240"/>
        <v>538.759728</v>
      </c>
      <c r="K1162" s="39"/>
    </row>
    <row r="1163" spans="1:14" ht="15.6" x14ac:dyDescent="0.3">
      <c r="A1163" s="127">
        <v>28</v>
      </c>
      <c r="B1163" s="90" t="s">
        <v>331</v>
      </c>
      <c r="C1163" s="90">
        <f t="shared" si="241"/>
        <v>359.17315200000002</v>
      </c>
      <c r="D1163" s="91">
        <f t="shared" si="239"/>
        <v>431.0077824</v>
      </c>
      <c r="E1163" s="90">
        <v>0</v>
      </c>
      <c r="F1163" s="128">
        <f t="shared" si="240"/>
        <v>538.759728</v>
      </c>
      <c r="K1163" s="39"/>
    </row>
    <row r="1164" spans="1:14" ht="15.6" x14ac:dyDescent="0.3">
      <c r="A1164" s="127">
        <v>29</v>
      </c>
      <c r="B1164" s="171" t="s">
        <v>335</v>
      </c>
      <c r="C1164" s="172"/>
      <c r="D1164" s="172"/>
      <c r="E1164" s="173"/>
      <c r="F1164" s="128">
        <f t="shared" si="240"/>
        <v>0</v>
      </c>
      <c r="K1164" s="40"/>
    </row>
    <row r="1165" spans="1:14" ht="15.6" x14ac:dyDescent="0.3">
      <c r="A1165" s="127">
        <v>30</v>
      </c>
      <c r="B1165" s="90" t="s">
        <v>331</v>
      </c>
      <c r="C1165" s="90">
        <f t="shared" ref="C1165:C1172" si="242">(23.69+1.8*(1.5+1.2)+0.6*1.68+3.16*0.75+1.2*1.2)*10.764</f>
        <v>359.17315200000002</v>
      </c>
      <c r="D1165" s="91">
        <f t="shared" si="239"/>
        <v>431.0077824</v>
      </c>
      <c r="E1165" s="90">
        <v>0</v>
      </c>
      <c r="F1165" s="128">
        <f t="shared" si="240"/>
        <v>538.759728</v>
      </c>
      <c r="K1165" s="39"/>
    </row>
    <row r="1166" spans="1:14" s="39" customFormat="1" ht="15.6" x14ac:dyDescent="0.3">
      <c r="A1166" s="127">
        <v>31</v>
      </c>
      <c r="B1166" s="90" t="s">
        <v>331</v>
      </c>
      <c r="C1166" s="90">
        <f t="shared" si="242"/>
        <v>359.17315200000002</v>
      </c>
      <c r="D1166" s="91">
        <f t="shared" si="239"/>
        <v>431.0077824</v>
      </c>
      <c r="E1166" s="90">
        <v>0</v>
      </c>
      <c r="F1166" s="128">
        <f t="shared" si="240"/>
        <v>538.759728</v>
      </c>
      <c r="G1166" s="157"/>
      <c r="H1166" s="157"/>
      <c r="I1166" s="40"/>
      <c r="J1166" s="54"/>
      <c r="K1166"/>
      <c r="L1166" s="170"/>
      <c r="M1166" s="170"/>
      <c r="N1166" s="40"/>
    </row>
    <row r="1167" spans="1:14" x14ac:dyDescent="0.3">
      <c r="A1167" s="127">
        <v>32</v>
      </c>
      <c r="B1167" s="90" t="s">
        <v>331</v>
      </c>
      <c r="C1167" s="90">
        <f t="shared" si="242"/>
        <v>359.17315200000002</v>
      </c>
      <c r="D1167" s="91">
        <f t="shared" si="239"/>
        <v>431.0077824</v>
      </c>
      <c r="E1167" s="90">
        <v>0</v>
      </c>
      <c r="F1167" s="128">
        <f t="shared" si="240"/>
        <v>538.759728</v>
      </c>
    </row>
    <row r="1168" spans="1:14" x14ac:dyDescent="0.3">
      <c r="A1168" s="127">
        <v>33</v>
      </c>
      <c r="B1168" s="90" t="s">
        <v>331</v>
      </c>
      <c r="C1168" s="90">
        <f t="shared" si="242"/>
        <v>359.17315200000002</v>
      </c>
      <c r="D1168" s="91">
        <f t="shared" si="239"/>
        <v>431.0077824</v>
      </c>
      <c r="E1168" s="90">
        <v>0</v>
      </c>
      <c r="F1168" s="128">
        <f t="shared" si="240"/>
        <v>538.759728</v>
      </c>
    </row>
    <row r="1169" spans="1:14" ht="15.6" x14ac:dyDescent="0.3">
      <c r="A1169" s="127">
        <v>34</v>
      </c>
      <c r="B1169" s="90" t="s">
        <v>331</v>
      </c>
      <c r="C1169" s="90">
        <f t="shared" si="242"/>
        <v>359.17315200000002</v>
      </c>
      <c r="D1169" s="91">
        <f t="shared" si="239"/>
        <v>431.0077824</v>
      </c>
      <c r="E1169" s="90">
        <v>0</v>
      </c>
      <c r="F1169" s="128">
        <f t="shared" si="240"/>
        <v>538.759728</v>
      </c>
      <c r="K1169" s="40"/>
    </row>
    <row r="1170" spans="1:14" ht="15.6" x14ac:dyDescent="0.3">
      <c r="A1170" s="127">
        <v>35</v>
      </c>
      <c r="B1170" s="90" t="s">
        <v>331</v>
      </c>
      <c r="C1170" s="90">
        <f t="shared" si="242"/>
        <v>359.17315200000002</v>
      </c>
      <c r="D1170" s="91">
        <f t="shared" si="239"/>
        <v>431.0077824</v>
      </c>
      <c r="E1170" s="90">
        <v>0</v>
      </c>
      <c r="F1170" s="128">
        <f t="shared" si="240"/>
        <v>538.759728</v>
      </c>
      <c r="K1170" s="39"/>
    </row>
    <row r="1171" spans="1:14" s="39" customFormat="1" ht="15.75" customHeight="1" x14ac:dyDescent="0.3">
      <c r="A1171" s="127">
        <v>36</v>
      </c>
      <c r="B1171" s="90" t="s">
        <v>331</v>
      </c>
      <c r="C1171" s="90">
        <f t="shared" si="242"/>
        <v>359.17315200000002</v>
      </c>
      <c r="D1171" s="91">
        <f>C1171*1.2</f>
        <v>431.0077824</v>
      </c>
      <c r="E1171" s="90">
        <v>0</v>
      </c>
      <c r="F1171" s="128">
        <f>C1171*(($F$469)+1)+(IF(E1171&lt;101,E1171,IF(E1171&lt;201,E1171/2,IF(E1171&lt;=301,E1171/3,E1171/4))))</f>
        <v>538.759728</v>
      </c>
      <c r="G1171" s="43"/>
      <c r="H1171" s="43"/>
      <c r="K1171"/>
    </row>
    <row r="1172" spans="1:14" s="39" customFormat="1" ht="15.6" x14ac:dyDescent="0.3">
      <c r="A1172" s="127">
        <v>37</v>
      </c>
      <c r="B1172" s="90" t="s">
        <v>331</v>
      </c>
      <c r="C1172" s="90">
        <f t="shared" si="242"/>
        <v>359.17315200000002</v>
      </c>
      <c r="D1172" s="91">
        <f t="shared" ref="D1172:D1176" si="243">C1172*1.2</f>
        <v>431.0077824</v>
      </c>
      <c r="E1172" s="90">
        <v>0</v>
      </c>
      <c r="F1172" s="128">
        <f t="shared" ref="F1172:F1176" si="244">C1172*(($F$469)+1)+(IF(E1172&lt;101,E1172,IF(E1172&lt;201,E1172/2,IF(E1172&lt;=301,E1172/3,E1172/4))))</f>
        <v>538.759728</v>
      </c>
      <c r="G1172" s="157"/>
      <c r="H1172" s="157"/>
      <c r="I1172" s="40"/>
      <c r="J1172" s="54"/>
      <c r="K1172"/>
      <c r="L1172" s="170"/>
      <c r="M1172" s="170"/>
      <c r="N1172" s="40"/>
    </row>
    <row r="1173" spans="1:14" x14ac:dyDescent="0.3">
      <c r="A1173" s="127">
        <v>38</v>
      </c>
      <c r="B1173" s="171" t="s">
        <v>335</v>
      </c>
      <c r="C1173" s="172"/>
      <c r="D1173" s="172"/>
      <c r="E1173" s="173"/>
      <c r="F1173" s="128">
        <f t="shared" si="244"/>
        <v>0</v>
      </c>
    </row>
    <row r="1174" spans="1:14" x14ac:dyDescent="0.3">
      <c r="A1174" s="127">
        <v>39</v>
      </c>
      <c r="B1174" s="90" t="s">
        <v>331</v>
      </c>
      <c r="C1174" s="90">
        <f>(23.69+1.8*(1.5+1.2)+0.6*1.68+3.16*0.75+1.2*1.2)*10.764</f>
        <v>359.17315200000002</v>
      </c>
      <c r="D1174" s="91">
        <f t="shared" si="243"/>
        <v>431.0077824</v>
      </c>
      <c r="E1174" s="90">
        <v>0</v>
      </c>
      <c r="F1174" s="128">
        <f t="shared" si="244"/>
        <v>538.759728</v>
      </c>
    </row>
    <row r="1175" spans="1:14" ht="15.6" x14ac:dyDescent="0.3">
      <c r="A1175" s="127">
        <v>40</v>
      </c>
      <c r="B1175" s="90" t="s">
        <v>331</v>
      </c>
      <c r="C1175" s="90">
        <f>(23.69+1.8*(1.5+1.2)+0.6*1.68+3.16*0.75+1.2*1.2)*10.764</f>
        <v>359.17315200000002</v>
      </c>
      <c r="D1175" s="91">
        <f t="shared" si="243"/>
        <v>431.0077824</v>
      </c>
      <c r="E1175" s="90">
        <v>0</v>
      </c>
      <c r="F1175" s="128">
        <f t="shared" si="244"/>
        <v>538.759728</v>
      </c>
      <c r="K1175" s="40"/>
    </row>
    <row r="1176" spans="1:14" ht="15.6" x14ac:dyDescent="0.3">
      <c r="A1176" s="127">
        <v>41</v>
      </c>
      <c r="B1176" s="90" t="s">
        <v>331</v>
      </c>
      <c r="C1176" s="90">
        <f>(23.69+1.8*(1.5+1.2)+0.6*1.68+3.16*0.75+1.2*1.2)*10.764</f>
        <v>359.17315200000002</v>
      </c>
      <c r="D1176" s="91">
        <f t="shared" si="243"/>
        <v>431.0077824</v>
      </c>
      <c r="E1176" s="90">
        <v>0</v>
      </c>
      <c r="F1176" s="128">
        <f t="shared" si="244"/>
        <v>538.759728</v>
      </c>
      <c r="K1176" s="39"/>
    </row>
    <row r="1177" spans="1:14" s="37" customFormat="1" ht="15.6" x14ac:dyDescent="0.3">
      <c r="A1177" s="151" t="s">
        <v>327</v>
      </c>
      <c r="B1177" s="152"/>
      <c r="C1177" s="152"/>
      <c r="D1177" s="152"/>
      <c r="E1177" s="152"/>
      <c r="F1177" s="153"/>
      <c r="G1177" s="158"/>
      <c r="H1177" s="158"/>
      <c r="I1177" s="158"/>
      <c r="J1177" s="158"/>
      <c r="K1177" s="158"/>
    </row>
    <row r="1178" spans="1:14" s="39" customFormat="1" ht="15.75" customHeight="1" x14ac:dyDescent="0.3">
      <c r="A1178" s="151" t="s">
        <v>332</v>
      </c>
      <c r="B1178" s="152"/>
      <c r="C1178" s="152"/>
      <c r="D1178" s="152"/>
      <c r="E1178" s="152"/>
      <c r="F1178" s="153"/>
      <c r="G1178" s="43"/>
      <c r="H1178" s="43"/>
      <c r="K1178" s="40"/>
    </row>
    <row r="1179" spans="1:14" s="39" customFormat="1" ht="15.75" customHeight="1" x14ac:dyDescent="0.3">
      <c r="A1179" s="127">
        <v>1</v>
      </c>
      <c r="B1179" s="90" t="s">
        <v>331</v>
      </c>
      <c r="C1179" s="90">
        <f>(23.69+1.5*1.8+1.2*1.8+3.18*0.75+0.6*1.67)*10.764</f>
        <v>343.76986799999997</v>
      </c>
      <c r="D1179" s="91">
        <f>C1179*1.2</f>
        <v>412.52384159999997</v>
      </c>
      <c r="E1179" s="90">
        <f>(5*1.2)*10.764</f>
        <v>64.584000000000003</v>
      </c>
      <c r="F1179" s="128">
        <f>C1179*(($F$469)+1)+(IF(E1179&lt;101,E1179,IF(E1179&lt;201,E1179/2,IF(E1179&lt;=301,E1179/3,E1179/4))))</f>
        <v>580.23880200000008</v>
      </c>
      <c r="G1179" s="43"/>
      <c r="H1179" s="43"/>
      <c r="K1179"/>
    </row>
    <row r="1180" spans="1:14" s="39" customFormat="1" ht="15.6" x14ac:dyDescent="0.3">
      <c r="A1180" s="127">
        <v>2</v>
      </c>
      <c r="B1180" s="90" t="s">
        <v>331</v>
      </c>
      <c r="C1180" s="90">
        <f>(23.69+1.5*1.8+1.2*1.2+0.6*1.67+0.75*3.16)*10.764</f>
        <v>335.85832799999997</v>
      </c>
      <c r="D1180" s="91">
        <f t="shared" ref="D1180:D1184" si="245">C1180*1.2</f>
        <v>403.02999359999995</v>
      </c>
      <c r="E1180" s="90">
        <f>(3.5*1.8)*10.764</f>
        <v>67.813199999999995</v>
      </c>
      <c r="F1180" s="128">
        <f t="shared" ref="F1180:F1184" si="246">C1180*(($F$469)+1)+(IF(E1180&lt;101,E1180,IF(E1180&lt;201,E1180/2,IF(E1180&lt;=301,E1180/3,E1180/4))))</f>
        <v>571.60069199999998</v>
      </c>
      <c r="G1180" s="157"/>
      <c r="H1180" s="157"/>
      <c r="I1180" s="40"/>
      <c r="J1180" s="54"/>
      <c r="K1180"/>
      <c r="L1180" s="170"/>
      <c r="M1180" s="170"/>
      <c r="N1180" s="40"/>
    </row>
    <row r="1181" spans="1:14" x14ac:dyDescent="0.3">
      <c r="A1181" s="127">
        <v>3</v>
      </c>
      <c r="B1181" s="90" t="s">
        <v>331</v>
      </c>
      <c r="C1181" s="90">
        <f>(23.69+1.5*1.8+0.6*1.67+0.75*3.16)*10.764</f>
        <v>320.35816799999998</v>
      </c>
      <c r="D1181" s="91">
        <f t="shared" si="245"/>
        <v>384.42980159999996</v>
      </c>
      <c r="E1181" s="90">
        <f>(3.5*1.8+5*1.2+1.4*2.7)*10.764</f>
        <v>173.08512000000002</v>
      </c>
      <c r="F1181" s="128">
        <f t="shared" si="246"/>
        <v>567.07981199999995</v>
      </c>
    </row>
    <row r="1182" spans="1:14" x14ac:dyDescent="0.3">
      <c r="A1182" s="127">
        <v>4</v>
      </c>
      <c r="B1182" s="90" t="s">
        <v>331</v>
      </c>
      <c r="C1182" s="90">
        <f>(23.69+1.5*1.8+1.2*1.8+3.18*0.75+0.6*1.67)*10.764</f>
        <v>343.76986799999997</v>
      </c>
      <c r="D1182" s="91">
        <f t="shared" si="245"/>
        <v>412.52384159999997</v>
      </c>
      <c r="E1182" s="90">
        <f>(5*1.2)*10.764</f>
        <v>64.584000000000003</v>
      </c>
      <c r="F1182" s="128">
        <f t="shared" si="246"/>
        <v>580.23880200000008</v>
      </c>
    </row>
    <row r="1183" spans="1:14" ht="15.6" x14ac:dyDescent="0.3">
      <c r="A1183" s="127">
        <v>5</v>
      </c>
      <c r="B1183" s="90" t="s">
        <v>331</v>
      </c>
      <c r="C1183" s="90">
        <f>(23.69+1.5*1.8+1.2*1.8+3.18*0.75+0.6*1.67)*10.764</f>
        <v>343.76986799999997</v>
      </c>
      <c r="D1183" s="91">
        <f t="shared" si="245"/>
        <v>412.52384159999997</v>
      </c>
      <c r="E1183" s="90">
        <f>(5*1.2)*10.764</f>
        <v>64.584000000000003</v>
      </c>
      <c r="F1183" s="128">
        <f t="shared" si="246"/>
        <v>580.23880200000008</v>
      </c>
      <c r="K1183" s="40"/>
    </row>
    <row r="1184" spans="1:14" ht="15.6" x14ac:dyDescent="0.3">
      <c r="A1184" s="127">
        <v>6</v>
      </c>
      <c r="B1184" s="90" t="s">
        <v>331</v>
      </c>
      <c r="C1184" s="90">
        <f>(23.69+1.5*1.8+0.6*1.67+1.2*1.2)*10.764</f>
        <v>310.34764799999999</v>
      </c>
      <c r="D1184" s="91">
        <f t="shared" si="245"/>
        <v>372.4171776</v>
      </c>
      <c r="E1184" s="90">
        <f>(1.2*5+1.8*2.7)*10.764</f>
        <v>116.89703999999999</v>
      </c>
      <c r="F1184" s="128">
        <f t="shared" si="246"/>
        <v>523.96999200000005</v>
      </c>
      <c r="K1184" s="39"/>
    </row>
    <row r="1185" spans="1:14" s="39" customFormat="1" ht="15.75" customHeight="1" x14ac:dyDescent="0.3">
      <c r="A1185" s="127">
        <v>7</v>
      </c>
      <c r="B1185" s="90" t="s">
        <v>331</v>
      </c>
      <c r="C1185" s="90">
        <f>(23.69+1.5*1.8+0.6*1.67)*10.764</f>
        <v>294.847488</v>
      </c>
      <c r="D1185" s="91">
        <f>C1185*1.2</f>
        <v>353.81698560000001</v>
      </c>
      <c r="E1185" s="90">
        <f>(6.4*1.2+2.7*1.8+4.5*1.2)*10.764</f>
        <v>193.10615999999996</v>
      </c>
      <c r="F1185" s="128">
        <f>C1185*(($F$469)+1)+(IF(E1185&lt;101,E1185,IF(E1185&lt;201,E1185/2,IF(E1185&lt;=301,E1185/3,E1185/4))))</f>
        <v>538.82431199999996</v>
      </c>
      <c r="G1185" s="43"/>
      <c r="H1185" s="43"/>
      <c r="K1185"/>
    </row>
    <row r="1186" spans="1:14" s="39" customFormat="1" ht="15.6" x14ac:dyDescent="0.3">
      <c r="A1186" s="127">
        <v>8</v>
      </c>
      <c r="B1186" s="90" t="s">
        <v>331</v>
      </c>
      <c r="C1186" s="90">
        <f>(23.69+1.5*1.8+0.6*1.67+3.16*0.75)*10.764</f>
        <v>320.35816799999998</v>
      </c>
      <c r="D1186" s="91">
        <f t="shared" ref="D1186:D1195" si="247">C1186*1.2</f>
        <v>384.42980159999996</v>
      </c>
      <c r="E1186" s="90">
        <f>(1.2*5+1.8*3.5+0.6*1)*10.764</f>
        <v>138.85559999999998</v>
      </c>
      <c r="F1186" s="128">
        <f t="shared" ref="F1186:F1195" si="248">C1186*(($F$469)+1)+(IF(E1186&lt;101,E1186,IF(E1186&lt;201,E1186/2,IF(E1186&lt;=301,E1186/3,E1186/4))))</f>
        <v>549.96505200000001</v>
      </c>
      <c r="G1186" s="157"/>
      <c r="H1186" s="157"/>
      <c r="I1186" s="40"/>
      <c r="J1186" s="54"/>
      <c r="K1186"/>
      <c r="L1186" s="170"/>
      <c r="M1186" s="170"/>
      <c r="N1186" s="40"/>
    </row>
    <row r="1187" spans="1:14" x14ac:dyDescent="0.3">
      <c r="A1187" s="127">
        <v>9</v>
      </c>
      <c r="B1187" s="90" t="s">
        <v>331</v>
      </c>
      <c r="C1187" s="90">
        <f>(23.69+1.5*1.8+0.6*1.67)*10.764</f>
        <v>294.847488</v>
      </c>
      <c r="D1187" s="91">
        <f t="shared" si="247"/>
        <v>353.81698560000001</v>
      </c>
      <c r="E1187" s="90">
        <f>(6.4*1.2+2.7*1.8+4.5*1.2)*10.764</f>
        <v>193.10615999999996</v>
      </c>
      <c r="F1187" s="128">
        <f t="shared" si="248"/>
        <v>538.82431199999996</v>
      </c>
    </row>
    <row r="1188" spans="1:14" x14ac:dyDescent="0.3">
      <c r="A1188" s="127">
        <v>10</v>
      </c>
      <c r="B1188" s="90" t="s">
        <v>331</v>
      </c>
      <c r="C1188" s="90">
        <f>(23.69+1.5*1.8+0.6*1.67)*10.764</f>
        <v>294.847488</v>
      </c>
      <c r="D1188" s="91">
        <f t="shared" si="247"/>
        <v>353.81698560000001</v>
      </c>
      <c r="E1188" s="90">
        <f>(6.4*1.2+2.7*1.8+4.5*1.2)*10.764</f>
        <v>193.10615999999996</v>
      </c>
      <c r="F1188" s="128">
        <f t="shared" si="248"/>
        <v>538.82431199999996</v>
      </c>
    </row>
    <row r="1189" spans="1:14" ht="15.6" x14ac:dyDescent="0.3">
      <c r="A1189" s="127">
        <v>11</v>
      </c>
      <c r="B1189" s="90" t="s">
        <v>331</v>
      </c>
      <c r="C1189" s="90">
        <f>(23.69+1.5*1.8+0.6*1.67+0.6*2.24)*10.764</f>
        <v>309.31430399999999</v>
      </c>
      <c r="D1189" s="91">
        <f t="shared" si="247"/>
        <v>371.17716479999996</v>
      </c>
      <c r="E1189" s="90">
        <f>(6.4*1.2+4.5*1.5)*10.764</f>
        <v>155.32451999999998</v>
      </c>
      <c r="F1189" s="128">
        <f t="shared" si="248"/>
        <v>541.63371599999994</v>
      </c>
      <c r="K1189" s="40"/>
    </row>
    <row r="1190" spans="1:14" ht="15.6" x14ac:dyDescent="0.3">
      <c r="A1190" s="127">
        <v>12</v>
      </c>
      <c r="B1190" s="90" t="s">
        <v>331</v>
      </c>
      <c r="C1190" s="90">
        <f>(23.69+1.5*1.8+3.16*0.75+1.2*1.2+0.6*1.67)*10.764</f>
        <v>335.85832799999997</v>
      </c>
      <c r="D1190" s="91">
        <f t="shared" si="247"/>
        <v>403.02999359999995</v>
      </c>
      <c r="E1190" s="90">
        <f>(3.5*1.8)*10.764</f>
        <v>67.813199999999995</v>
      </c>
      <c r="F1190" s="128">
        <f t="shared" si="248"/>
        <v>571.60069199999998</v>
      </c>
      <c r="K1190" s="39"/>
    </row>
    <row r="1191" spans="1:14" s="39" customFormat="1" ht="15.6" x14ac:dyDescent="0.3">
      <c r="A1191" s="127">
        <v>13</v>
      </c>
      <c r="B1191" s="90" t="s">
        <v>331</v>
      </c>
      <c r="C1191" s="90">
        <f>(23.69+1.5*1.8+0.6*1.67)*10.764</f>
        <v>294.847488</v>
      </c>
      <c r="D1191" s="91">
        <f t="shared" si="247"/>
        <v>353.81698560000001</v>
      </c>
      <c r="E1191" s="90">
        <f>(1.8*2.5+4.5*1.2+4.2*1.2)*10.764</f>
        <v>160.81415999999996</v>
      </c>
      <c r="F1191" s="128">
        <f t="shared" si="248"/>
        <v>522.67831200000001</v>
      </c>
      <c r="G1191" s="157"/>
      <c r="H1191" s="157"/>
      <c r="I1191" s="40"/>
      <c r="J1191" s="54"/>
      <c r="K1191"/>
      <c r="L1191" s="170"/>
      <c r="M1191" s="170"/>
      <c r="N1191" s="40"/>
    </row>
    <row r="1192" spans="1:14" x14ac:dyDescent="0.3">
      <c r="A1192" s="127">
        <v>14</v>
      </c>
      <c r="B1192" s="90" t="s">
        <v>331</v>
      </c>
      <c r="C1192" s="90">
        <f>(23.69+1.5*1.8+0.6*1.67)*10.764</f>
        <v>294.847488</v>
      </c>
      <c r="D1192" s="91">
        <f t="shared" si="247"/>
        <v>353.81698560000001</v>
      </c>
      <c r="E1192" s="90">
        <f>(1.8*2.5+4.5*1.2+4.2*1.2)*10.764</f>
        <v>160.81415999999996</v>
      </c>
      <c r="F1192" s="128">
        <f t="shared" si="248"/>
        <v>522.67831200000001</v>
      </c>
    </row>
    <row r="1193" spans="1:14" x14ac:dyDescent="0.3">
      <c r="A1193" s="127">
        <v>15</v>
      </c>
      <c r="B1193" s="90" t="s">
        <v>331</v>
      </c>
      <c r="C1193" s="90">
        <f>(23.69+1.5*1.8+3.16*0.75+1.2*1.2+0.6*1.67)*10.764</f>
        <v>335.85832799999997</v>
      </c>
      <c r="D1193" s="91">
        <f t="shared" si="247"/>
        <v>403.02999359999995</v>
      </c>
      <c r="E1193" s="90">
        <f>(3.5*1.8)*10.764</f>
        <v>67.813199999999995</v>
      </c>
      <c r="F1193" s="128">
        <f t="shared" si="248"/>
        <v>571.60069199999998</v>
      </c>
    </row>
    <row r="1194" spans="1:14" ht="15.6" x14ac:dyDescent="0.3">
      <c r="A1194" s="127">
        <v>16</v>
      </c>
      <c r="B1194" s="90" t="s">
        <v>331</v>
      </c>
      <c r="C1194" s="90">
        <f>(23.69+1.5*1.8+0.6*1.67+0.6*2.24)*10.764</f>
        <v>309.31430399999999</v>
      </c>
      <c r="D1194" s="91">
        <f t="shared" si="247"/>
        <v>371.17716479999996</v>
      </c>
      <c r="E1194" s="90">
        <f>(6.4*1.2+4.5*1.5)*10.764</f>
        <v>155.32451999999998</v>
      </c>
      <c r="F1194" s="128">
        <f t="shared" si="248"/>
        <v>541.63371599999994</v>
      </c>
      <c r="K1194" s="40"/>
    </row>
    <row r="1195" spans="1:14" ht="15.6" x14ac:dyDescent="0.3">
      <c r="A1195" s="127">
        <v>17</v>
      </c>
      <c r="B1195" s="90" t="s">
        <v>331</v>
      </c>
      <c r="C1195" s="90">
        <f>(23.69+1.5*1.8+0.6*1.67)*10.764</f>
        <v>294.847488</v>
      </c>
      <c r="D1195" s="91">
        <f t="shared" si="247"/>
        <v>353.81698560000001</v>
      </c>
      <c r="E1195" s="90">
        <f>(6.4*1.2+2.7*1.8+4.5*1.2)*10.764</f>
        <v>193.10615999999996</v>
      </c>
      <c r="F1195" s="128">
        <f t="shared" si="248"/>
        <v>538.82431199999996</v>
      </c>
      <c r="K1195" s="39"/>
    </row>
    <row r="1196" spans="1:14" s="39" customFormat="1" ht="15.75" customHeight="1" x14ac:dyDescent="0.3">
      <c r="A1196" s="127">
        <v>18</v>
      </c>
      <c r="B1196" s="90" t="s">
        <v>331</v>
      </c>
      <c r="C1196" s="90">
        <f>(23.69+1.5*1.8+0.6*1.67)*10.764</f>
        <v>294.847488</v>
      </c>
      <c r="D1196" s="91">
        <f>C1196*1.2</f>
        <v>353.81698560000001</v>
      </c>
      <c r="E1196" s="90">
        <f>(6.4*1.2+2.7*1.8+4.5*1.2)*10.764</f>
        <v>193.10615999999996</v>
      </c>
      <c r="F1196" s="128">
        <f>C1196*(($F$469)+1)+(IF(E1196&lt;101,E1196,IF(E1196&lt;201,E1196/2,IF(E1196&lt;=301,E1196/3,E1196/4))))</f>
        <v>538.82431199999996</v>
      </c>
      <c r="G1196" s="43"/>
      <c r="H1196" s="43"/>
      <c r="K1196"/>
    </row>
    <row r="1197" spans="1:14" s="39" customFormat="1" ht="15.6" x14ac:dyDescent="0.3">
      <c r="A1197" s="127">
        <v>19</v>
      </c>
      <c r="B1197" s="90" t="s">
        <v>331</v>
      </c>
      <c r="C1197" s="90">
        <f>(23.69+1.5*1.8+0.6*1.67+3.16*0.75)*10.764</f>
        <v>320.35816799999998</v>
      </c>
      <c r="D1197" s="91">
        <f t="shared" ref="D1197:D1206" si="249">C1197*1.2</f>
        <v>384.42980159999996</v>
      </c>
      <c r="E1197" s="90">
        <f>(1.2*5+1.8*3.5+0.6*1)*10.764</f>
        <v>138.85559999999998</v>
      </c>
      <c r="F1197" s="128">
        <f t="shared" ref="F1197:F1206" si="250">C1197*(($F$469)+1)+(IF(E1197&lt;101,E1197,IF(E1197&lt;201,E1197/2,IF(E1197&lt;=301,E1197/3,E1197/4))))</f>
        <v>549.96505200000001</v>
      </c>
      <c r="G1197" s="157"/>
      <c r="H1197" s="157"/>
      <c r="I1197" s="40"/>
      <c r="J1197" s="54"/>
      <c r="K1197"/>
      <c r="L1197" s="170"/>
      <c r="M1197" s="170"/>
      <c r="N1197" s="40"/>
    </row>
    <row r="1198" spans="1:14" x14ac:dyDescent="0.3">
      <c r="A1198" s="127">
        <v>20</v>
      </c>
      <c r="B1198" s="90" t="s">
        <v>331</v>
      </c>
      <c r="C1198" s="90">
        <f>(23.69+1.5*1.8+0.6*1.67)*10.764</f>
        <v>294.847488</v>
      </c>
      <c r="D1198" s="91">
        <f t="shared" si="249"/>
        <v>353.81698560000001</v>
      </c>
      <c r="E1198" s="90">
        <f>(6.4*1.2+2.7*1.8+4.5*1.2)*10.764</f>
        <v>193.10615999999996</v>
      </c>
      <c r="F1198" s="128">
        <f t="shared" si="250"/>
        <v>538.82431199999996</v>
      </c>
    </row>
    <row r="1199" spans="1:14" x14ac:dyDescent="0.3">
      <c r="A1199" s="127">
        <v>21</v>
      </c>
      <c r="B1199" s="90" t="s">
        <v>331</v>
      </c>
      <c r="C1199" s="90">
        <f>(23.69+1.5*1.8+0.6*1.67+1.2*1.2)*10.764</f>
        <v>310.34764799999999</v>
      </c>
      <c r="D1199" s="91">
        <f t="shared" si="249"/>
        <v>372.4171776</v>
      </c>
      <c r="E1199" s="90">
        <f>(1.2*5+1.8*2.7)*10.764</f>
        <v>116.89703999999999</v>
      </c>
      <c r="F1199" s="128">
        <f t="shared" si="250"/>
        <v>523.96999200000005</v>
      </c>
    </row>
    <row r="1200" spans="1:14" ht="15.6" x14ac:dyDescent="0.3">
      <c r="A1200" s="127">
        <v>22</v>
      </c>
      <c r="B1200" s="90" t="s">
        <v>331</v>
      </c>
      <c r="C1200" s="90">
        <f>(23.69+1.5*1.8+0.6*1.67+1.2*1.2)*10.764</f>
        <v>310.34764799999999</v>
      </c>
      <c r="D1200" s="91">
        <f t="shared" si="249"/>
        <v>372.4171776</v>
      </c>
      <c r="E1200" s="90">
        <f>(1.2*5+1.8*2.7)*10.764</f>
        <v>116.89703999999999</v>
      </c>
      <c r="F1200" s="128">
        <f t="shared" si="250"/>
        <v>523.96999200000005</v>
      </c>
      <c r="K1200" s="40"/>
    </row>
    <row r="1201" spans="1:14" ht="15.6" x14ac:dyDescent="0.3">
      <c r="A1201" s="127">
        <v>23</v>
      </c>
      <c r="B1201" s="90" t="s">
        <v>331</v>
      </c>
      <c r="C1201" s="90">
        <f>(23.69+1.5*1.8+0.6*1.67)*10.764</f>
        <v>294.847488</v>
      </c>
      <c r="D1201" s="91">
        <f t="shared" si="249"/>
        <v>353.81698560000001</v>
      </c>
      <c r="E1201" s="90">
        <f>(6.4*1.2+2.7*1.8+4.5*1.2)*10.764</f>
        <v>193.10615999999996</v>
      </c>
      <c r="F1201" s="128">
        <f t="shared" si="250"/>
        <v>538.82431199999996</v>
      </c>
      <c r="K1201" s="39"/>
    </row>
    <row r="1202" spans="1:14" x14ac:dyDescent="0.3">
      <c r="A1202" s="127">
        <v>24</v>
      </c>
      <c r="B1202" s="90" t="s">
        <v>331</v>
      </c>
      <c r="C1202" s="90">
        <f>(23.69+1.5*1.8+0.6*1.68+3.16*0.75)*10.764</f>
        <v>320.422752</v>
      </c>
      <c r="D1202" s="91">
        <f t="shared" si="249"/>
        <v>384.50730240000001</v>
      </c>
      <c r="E1202" s="90">
        <f>(3.5*1.8+1.5*3.5+1.5*1.2+2.8*1.2)*10.764</f>
        <v>179.86644000000001</v>
      </c>
      <c r="F1202" s="128">
        <f t="shared" si="250"/>
        <v>570.56734800000004</v>
      </c>
    </row>
    <row r="1203" spans="1:14" x14ac:dyDescent="0.3">
      <c r="A1203" s="127">
        <v>25</v>
      </c>
      <c r="B1203" s="90" t="s">
        <v>331</v>
      </c>
      <c r="C1203" s="90">
        <f>(23.69+1.5*1.8+0.6*1.68+3.16*0.75)*10.764</f>
        <v>320.422752</v>
      </c>
      <c r="D1203" s="91">
        <f t="shared" si="249"/>
        <v>384.50730240000001</v>
      </c>
      <c r="E1203" s="90">
        <f>(3.5*1.8+5*1.2)*10.764</f>
        <v>132.3972</v>
      </c>
      <c r="F1203" s="128">
        <f t="shared" si="250"/>
        <v>546.83272800000009</v>
      </c>
    </row>
    <row r="1204" spans="1:14" ht="15.6" x14ac:dyDescent="0.3">
      <c r="A1204" s="127">
        <v>26</v>
      </c>
      <c r="B1204" s="90" t="s">
        <v>331</v>
      </c>
      <c r="C1204" s="90">
        <f>(23.69+1.5*1.8+0.6*1.67)*10.764</f>
        <v>294.847488</v>
      </c>
      <c r="D1204" s="91">
        <f t="shared" si="249"/>
        <v>353.81698560000001</v>
      </c>
      <c r="E1204" s="90">
        <f>(6.4*1.2+2.7*1.8+4.5*1.2)*10.764</f>
        <v>193.10615999999996</v>
      </c>
      <c r="F1204" s="128">
        <f t="shared" si="250"/>
        <v>538.82431199999996</v>
      </c>
      <c r="K1204" s="40"/>
    </row>
    <row r="1205" spans="1:14" ht="15.6" x14ac:dyDescent="0.3">
      <c r="A1205" s="127">
        <v>27</v>
      </c>
      <c r="B1205" s="90" t="s">
        <v>331</v>
      </c>
      <c r="C1205" s="90">
        <f>(23.69+1.5*1.8+0.6*1.67+1.2*1.2)*10.764</f>
        <v>310.34764799999999</v>
      </c>
      <c r="D1205" s="91">
        <f t="shared" si="249"/>
        <v>372.4171776</v>
      </c>
      <c r="E1205" s="90">
        <f>(1.2*5+1.8*2.7)*10.764</f>
        <v>116.89703999999999</v>
      </c>
      <c r="F1205" s="128">
        <f t="shared" si="250"/>
        <v>523.96999200000005</v>
      </c>
      <c r="K1205" s="39"/>
    </row>
    <row r="1206" spans="1:14" ht="15.6" x14ac:dyDescent="0.3">
      <c r="A1206" s="127">
        <v>28</v>
      </c>
      <c r="B1206" s="90" t="s">
        <v>331</v>
      </c>
      <c r="C1206" s="90">
        <f>(23.69+1.8*(1.5+1.2)+0.6*1.68+3.16*0.75)*10.764</f>
        <v>343.67299199999997</v>
      </c>
      <c r="D1206" s="91">
        <f t="shared" si="249"/>
        <v>412.40759039999995</v>
      </c>
      <c r="E1206" s="90">
        <f>(5*1.2)*10.764</f>
        <v>64.584000000000003</v>
      </c>
      <c r="F1206" s="128">
        <f t="shared" si="250"/>
        <v>580.09348799999998</v>
      </c>
      <c r="K1206" s="39"/>
    </row>
    <row r="1207" spans="1:14" s="39" customFormat="1" ht="15.75" customHeight="1" x14ac:dyDescent="0.3">
      <c r="A1207" s="151" t="s">
        <v>333</v>
      </c>
      <c r="B1207" s="152"/>
      <c r="C1207" s="152"/>
      <c r="D1207" s="152"/>
      <c r="E1207" s="152"/>
      <c r="F1207" s="153"/>
      <c r="G1207" s="43"/>
      <c r="H1207" s="43"/>
      <c r="K1207" s="40"/>
    </row>
    <row r="1208" spans="1:14" s="39" customFormat="1" ht="15.75" customHeight="1" x14ac:dyDescent="0.3">
      <c r="A1208" s="127">
        <v>1</v>
      </c>
      <c r="B1208" s="90" t="s">
        <v>331</v>
      </c>
      <c r="C1208" s="90">
        <f t="shared" ref="C1208:C1235" si="251">(23.69+1.8*(1.5+1.2)+0.6*1.68+3.16*0.75+1.2*1.2)*10.764</f>
        <v>359.17315200000002</v>
      </c>
      <c r="D1208" s="91">
        <f>C1208*1.2</f>
        <v>431.0077824</v>
      </c>
      <c r="E1208" s="90">
        <v>0</v>
      </c>
      <c r="F1208" s="128">
        <f>C1208*(($F$469)+1)+(IF(E1208&lt;101,E1208,IF(E1208&lt;201,E1208/2,IF(E1208&lt;=301,E1208/3,E1208/4))))</f>
        <v>538.759728</v>
      </c>
      <c r="G1208" s="43"/>
      <c r="H1208" s="43"/>
      <c r="K1208"/>
    </row>
    <row r="1209" spans="1:14" s="39" customFormat="1" ht="15.6" x14ac:dyDescent="0.3">
      <c r="A1209" s="127">
        <v>2</v>
      </c>
      <c r="B1209" s="90" t="s">
        <v>331</v>
      </c>
      <c r="C1209" s="90">
        <f t="shared" si="251"/>
        <v>359.17315200000002</v>
      </c>
      <c r="D1209" s="91">
        <f t="shared" ref="D1209:D1213" si="252">C1209*1.2</f>
        <v>431.0077824</v>
      </c>
      <c r="E1209" s="90">
        <v>0</v>
      </c>
      <c r="F1209" s="128">
        <f t="shared" ref="F1209:F1213" si="253">C1209*(($F$469)+1)+(IF(E1209&lt;101,E1209,IF(E1209&lt;201,E1209/2,IF(E1209&lt;=301,E1209/3,E1209/4))))</f>
        <v>538.759728</v>
      </c>
      <c r="G1209" s="157"/>
      <c r="H1209" s="157"/>
      <c r="I1209" s="40"/>
      <c r="J1209" s="54"/>
      <c r="K1209"/>
      <c r="L1209" s="170"/>
      <c r="M1209" s="170"/>
      <c r="N1209" s="40"/>
    </row>
    <row r="1210" spans="1:14" x14ac:dyDescent="0.3">
      <c r="A1210" s="127">
        <v>3</v>
      </c>
      <c r="B1210" s="90" t="s">
        <v>331</v>
      </c>
      <c r="C1210" s="90">
        <f t="shared" si="251"/>
        <v>359.17315200000002</v>
      </c>
      <c r="D1210" s="91">
        <f t="shared" si="252"/>
        <v>431.0077824</v>
      </c>
      <c r="E1210" s="90">
        <v>0</v>
      </c>
      <c r="F1210" s="128">
        <f t="shared" si="253"/>
        <v>538.759728</v>
      </c>
    </row>
    <row r="1211" spans="1:14" x14ac:dyDescent="0.3">
      <c r="A1211" s="127">
        <v>4</v>
      </c>
      <c r="B1211" s="90" t="s">
        <v>331</v>
      </c>
      <c r="C1211" s="90">
        <f t="shared" si="251"/>
        <v>359.17315200000002</v>
      </c>
      <c r="D1211" s="91">
        <f t="shared" si="252"/>
        <v>431.0077824</v>
      </c>
      <c r="E1211" s="90">
        <v>0</v>
      </c>
      <c r="F1211" s="128">
        <f t="shared" si="253"/>
        <v>538.759728</v>
      </c>
    </row>
    <row r="1212" spans="1:14" ht="15.6" x14ac:dyDescent="0.3">
      <c r="A1212" s="127">
        <v>5</v>
      </c>
      <c r="B1212" s="90" t="s">
        <v>331</v>
      </c>
      <c r="C1212" s="90">
        <f t="shared" si="251"/>
        <v>359.17315200000002</v>
      </c>
      <c r="D1212" s="91">
        <f t="shared" si="252"/>
        <v>431.0077824</v>
      </c>
      <c r="E1212" s="90">
        <v>0</v>
      </c>
      <c r="F1212" s="128">
        <f t="shared" si="253"/>
        <v>538.759728</v>
      </c>
      <c r="K1212" s="40"/>
    </row>
    <row r="1213" spans="1:14" ht="15.6" x14ac:dyDescent="0.3">
      <c r="A1213" s="127">
        <v>6</v>
      </c>
      <c r="B1213" s="90" t="s">
        <v>331</v>
      </c>
      <c r="C1213" s="90">
        <f t="shared" si="251"/>
        <v>359.17315200000002</v>
      </c>
      <c r="D1213" s="91">
        <f t="shared" si="252"/>
        <v>431.0077824</v>
      </c>
      <c r="E1213" s="90">
        <v>0</v>
      </c>
      <c r="F1213" s="128">
        <f t="shared" si="253"/>
        <v>538.759728</v>
      </c>
      <c r="K1213" s="39"/>
    </row>
    <row r="1214" spans="1:14" s="39" customFormat="1" ht="15.75" customHeight="1" x14ac:dyDescent="0.3">
      <c r="A1214" s="127">
        <v>7</v>
      </c>
      <c r="B1214" s="90" t="s">
        <v>331</v>
      </c>
      <c r="C1214" s="90">
        <f t="shared" si="251"/>
        <v>359.17315200000002</v>
      </c>
      <c r="D1214" s="91">
        <f>C1214*1.2</f>
        <v>431.0077824</v>
      </c>
      <c r="E1214" s="90">
        <v>0</v>
      </c>
      <c r="F1214" s="128">
        <f>C1214*(($F$469)+1)+(IF(E1214&lt;101,E1214,IF(E1214&lt;201,E1214/2,IF(E1214&lt;=301,E1214/3,E1214/4))))</f>
        <v>538.759728</v>
      </c>
      <c r="G1214" s="43"/>
      <c r="H1214" s="43"/>
      <c r="K1214"/>
    </row>
    <row r="1215" spans="1:14" s="39" customFormat="1" ht="15.6" x14ac:dyDescent="0.3">
      <c r="A1215" s="127">
        <v>8</v>
      </c>
      <c r="B1215" s="90" t="s">
        <v>331</v>
      </c>
      <c r="C1215" s="90">
        <f t="shared" si="251"/>
        <v>359.17315200000002</v>
      </c>
      <c r="D1215" s="91">
        <f t="shared" ref="D1215:D1224" si="254">C1215*1.2</f>
        <v>431.0077824</v>
      </c>
      <c r="E1215" s="90">
        <v>0</v>
      </c>
      <c r="F1215" s="128">
        <f t="shared" ref="F1215:F1224" si="255">C1215*(($F$469)+1)+(IF(E1215&lt;101,E1215,IF(E1215&lt;201,E1215/2,IF(E1215&lt;=301,E1215/3,E1215/4))))</f>
        <v>538.759728</v>
      </c>
      <c r="G1215" s="157"/>
      <c r="H1215" s="157"/>
      <c r="I1215" s="40"/>
      <c r="J1215" s="54"/>
      <c r="K1215"/>
      <c r="L1215" s="170"/>
      <c r="M1215" s="170"/>
      <c r="N1215" s="40"/>
    </row>
    <row r="1216" spans="1:14" x14ac:dyDescent="0.3">
      <c r="A1216" s="127">
        <v>9</v>
      </c>
      <c r="B1216" s="90" t="s">
        <v>331</v>
      </c>
      <c r="C1216" s="90">
        <f t="shared" si="251"/>
        <v>359.17315200000002</v>
      </c>
      <c r="D1216" s="91">
        <f t="shared" si="254"/>
        <v>431.0077824</v>
      </c>
      <c r="E1216" s="90">
        <v>0</v>
      </c>
      <c r="F1216" s="128">
        <f t="shared" si="255"/>
        <v>538.759728</v>
      </c>
    </row>
    <row r="1217" spans="1:14" x14ac:dyDescent="0.3">
      <c r="A1217" s="127">
        <v>10</v>
      </c>
      <c r="B1217" s="90" t="s">
        <v>331</v>
      </c>
      <c r="C1217" s="90">
        <f t="shared" si="251"/>
        <v>359.17315200000002</v>
      </c>
      <c r="D1217" s="91">
        <f t="shared" si="254"/>
        <v>431.0077824</v>
      </c>
      <c r="E1217" s="90">
        <v>0</v>
      </c>
      <c r="F1217" s="128">
        <f t="shared" si="255"/>
        <v>538.759728</v>
      </c>
    </row>
    <row r="1218" spans="1:14" ht="15.6" x14ac:dyDescent="0.3">
      <c r="A1218" s="127">
        <v>11</v>
      </c>
      <c r="B1218" s="90" t="s">
        <v>331</v>
      </c>
      <c r="C1218" s="90">
        <f t="shared" si="251"/>
        <v>359.17315200000002</v>
      </c>
      <c r="D1218" s="91">
        <f t="shared" si="254"/>
        <v>431.0077824</v>
      </c>
      <c r="E1218" s="90">
        <v>0</v>
      </c>
      <c r="F1218" s="128">
        <f t="shared" si="255"/>
        <v>538.759728</v>
      </c>
      <c r="K1218" s="40"/>
    </row>
    <row r="1219" spans="1:14" ht="15.6" x14ac:dyDescent="0.3">
      <c r="A1219" s="127">
        <v>12</v>
      </c>
      <c r="B1219" s="90" t="s">
        <v>331</v>
      </c>
      <c r="C1219" s="90">
        <f t="shared" si="251"/>
        <v>359.17315200000002</v>
      </c>
      <c r="D1219" s="91">
        <f t="shared" si="254"/>
        <v>431.0077824</v>
      </c>
      <c r="E1219" s="90">
        <v>0</v>
      </c>
      <c r="F1219" s="128">
        <f t="shared" si="255"/>
        <v>538.759728</v>
      </c>
      <c r="K1219" s="39"/>
    </row>
    <row r="1220" spans="1:14" s="39" customFormat="1" ht="15.6" x14ac:dyDescent="0.3">
      <c r="A1220" s="127">
        <v>13</v>
      </c>
      <c r="B1220" s="90" t="s">
        <v>331</v>
      </c>
      <c r="C1220" s="90">
        <f t="shared" si="251"/>
        <v>359.17315200000002</v>
      </c>
      <c r="D1220" s="91">
        <f t="shared" si="254"/>
        <v>431.0077824</v>
      </c>
      <c r="E1220" s="90">
        <v>0</v>
      </c>
      <c r="F1220" s="128">
        <f t="shared" si="255"/>
        <v>538.759728</v>
      </c>
      <c r="G1220" s="157"/>
      <c r="H1220" s="157"/>
      <c r="I1220" s="40"/>
      <c r="J1220" s="54"/>
      <c r="K1220"/>
      <c r="L1220" s="170"/>
      <c r="M1220" s="170"/>
      <c r="N1220" s="40"/>
    </row>
    <row r="1221" spans="1:14" x14ac:dyDescent="0.3">
      <c r="A1221" s="127">
        <v>14</v>
      </c>
      <c r="B1221" s="90" t="s">
        <v>331</v>
      </c>
      <c r="C1221" s="90">
        <f t="shared" si="251"/>
        <v>359.17315200000002</v>
      </c>
      <c r="D1221" s="91">
        <f t="shared" si="254"/>
        <v>431.0077824</v>
      </c>
      <c r="E1221" s="90">
        <v>0</v>
      </c>
      <c r="F1221" s="128">
        <f t="shared" si="255"/>
        <v>538.759728</v>
      </c>
    </row>
    <row r="1222" spans="1:14" x14ac:dyDescent="0.3">
      <c r="A1222" s="127">
        <v>15</v>
      </c>
      <c r="B1222" s="90" t="s">
        <v>331</v>
      </c>
      <c r="C1222" s="90">
        <f t="shared" si="251"/>
        <v>359.17315200000002</v>
      </c>
      <c r="D1222" s="91">
        <f t="shared" si="254"/>
        <v>431.0077824</v>
      </c>
      <c r="E1222" s="90">
        <v>0</v>
      </c>
      <c r="F1222" s="128">
        <f t="shared" si="255"/>
        <v>538.759728</v>
      </c>
    </row>
    <row r="1223" spans="1:14" ht="15.6" x14ac:dyDescent="0.3">
      <c r="A1223" s="127">
        <v>16</v>
      </c>
      <c r="B1223" s="90" t="s">
        <v>331</v>
      </c>
      <c r="C1223" s="90">
        <f t="shared" si="251"/>
        <v>359.17315200000002</v>
      </c>
      <c r="D1223" s="91">
        <f t="shared" si="254"/>
        <v>431.0077824</v>
      </c>
      <c r="E1223" s="90">
        <v>0</v>
      </c>
      <c r="F1223" s="128">
        <f t="shared" si="255"/>
        <v>538.759728</v>
      </c>
      <c r="K1223" s="40"/>
    </row>
    <row r="1224" spans="1:14" ht="15.6" x14ac:dyDescent="0.3">
      <c r="A1224" s="127">
        <v>17</v>
      </c>
      <c r="B1224" s="90" t="s">
        <v>331</v>
      </c>
      <c r="C1224" s="90">
        <f t="shared" si="251"/>
        <v>359.17315200000002</v>
      </c>
      <c r="D1224" s="91">
        <f t="shared" si="254"/>
        <v>431.0077824</v>
      </c>
      <c r="E1224" s="90">
        <v>0</v>
      </c>
      <c r="F1224" s="128">
        <f t="shared" si="255"/>
        <v>538.759728</v>
      </c>
      <c r="K1224" s="39"/>
    </row>
    <row r="1225" spans="1:14" s="39" customFormat="1" ht="15.75" customHeight="1" x14ac:dyDescent="0.3">
      <c r="A1225" s="127">
        <v>18</v>
      </c>
      <c r="B1225" s="90" t="s">
        <v>331</v>
      </c>
      <c r="C1225" s="90">
        <f t="shared" si="251"/>
        <v>359.17315200000002</v>
      </c>
      <c r="D1225" s="91">
        <f>C1225*1.2</f>
        <v>431.0077824</v>
      </c>
      <c r="E1225" s="90">
        <v>0</v>
      </c>
      <c r="F1225" s="128">
        <f>C1225*(($F$469)+1)+(IF(E1225&lt;101,E1225,IF(E1225&lt;201,E1225/2,IF(E1225&lt;=301,E1225/3,E1225/4))))</f>
        <v>538.759728</v>
      </c>
      <c r="G1225" s="43"/>
      <c r="H1225" s="43"/>
      <c r="K1225"/>
    </row>
    <row r="1226" spans="1:14" s="39" customFormat="1" ht="15.6" x14ac:dyDescent="0.3">
      <c r="A1226" s="127">
        <v>19</v>
      </c>
      <c r="B1226" s="90" t="s">
        <v>331</v>
      </c>
      <c r="C1226" s="90">
        <f t="shared" si="251"/>
        <v>359.17315200000002</v>
      </c>
      <c r="D1226" s="91">
        <f t="shared" ref="D1226:D1235" si="256">C1226*1.2</f>
        <v>431.0077824</v>
      </c>
      <c r="E1226" s="90">
        <v>0</v>
      </c>
      <c r="F1226" s="128">
        <f t="shared" ref="F1226:F1235" si="257">C1226*(($F$469)+1)+(IF(E1226&lt;101,E1226,IF(E1226&lt;201,E1226/2,IF(E1226&lt;=301,E1226/3,E1226/4))))</f>
        <v>538.759728</v>
      </c>
      <c r="G1226" s="157"/>
      <c r="H1226" s="157"/>
      <c r="I1226" s="40"/>
      <c r="J1226" s="54"/>
      <c r="K1226"/>
      <c r="L1226" s="170"/>
      <c r="M1226" s="170"/>
      <c r="N1226" s="40"/>
    </row>
    <row r="1227" spans="1:14" x14ac:dyDescent="0.3">
      <c r="A1227" s="127">
        <v>20</v>
      </c>
      <c r="B1227" s="90" t="s">
        <v>331</v>
      </c>
      <c r="C1227" s="90">
        <f t="shared" si="251"/>
        <v>359.17315200000002</v>
      </c>
      <c r="D1227" s="91">
        <f t="shared" si="256"/>
        <v>431.0077824</v>
      </c>
      <c r="E1227" s="90">
        <v>0</v>
      </c>
      <c r="F1227" s="128">
        <f t="shared" si="257"/>
        <v>538.759728</v>
      </c>
    </row>
    <row r="1228" spans="1:14" x14ac:dyDescent="0.3">
      <c r="A1228" s="127">
        <v>21</v>
      </c>
      <c r="B1228" s="90" t="s">
        <v>331</v>
      </c>
      <c r="C1228" s="90">
        <f t="shared" si="251"/>
        <v>359.17315200000002</v>
      </c>
      <c r="D1228" s="91">
        <f t="shared" si="256"/>
        <v>431.0077824</v>
      </c>
      <c r="E1228" s="90">
        <v>0</v>
      </c>
      <c r="F1228" s="128">
        <f t="shared" si="257"/>
        <v>538.759728</v>
      </c>
    </row>
    <row r="1229" spans="1:14" ht="15.6" x14ac:dyDescent="0.3">
      <c r="A1229" s="127">
        <v>22</v>
      </c>
      <c r="B1229" s="90" t="s">
        <v>331</v>
      </c>
      <c r="C1229" s="90">
        <f t="shared" si="251"/>
        <v>359.17315200000002</v>
      </c>
      <c r="D1229" s="91">
        <f t="shared" si="256"/>
        <v>431.0077824</v>
      </c>
      <c r="E1229" s="90">
        <v>0</v>
      </c>
      <c r="F1229" s="128">
        <f t="shared" si="257"/>
        <v>538.759728</v>
      </c>
      <c r="K1229" s="40"/>
    </row>
    <row r="1230" spans="1:14" ht="15.6" x14ac:dyDescent="0.3">
      <c r="A1230" s="127">
        <v>23</v>
      </c>
      <c r="B1230" s="90" t="s">
        <v>331</v>
      </c>
      <c r="C1230" s="90">
        <f t="shared" si="251"/>
        <v>359.17315200000002</v>
      </c>
      <c r="D1230" s="91">
        <f t="shared" si="256"/>
        <v>431.0077824</v>
      </c>
      <c r="E1230" s="90">
        <v>0</v>
      </c>
      <c r="F1230" s="128">
        <f t="shared" si="257"/>
        <v>538.759728</v>
      </c>
      <c r="K1230" s="39"/>
    </row>
    <row r="1231" spans="1:14" x14ac:dyDescent="0.3">
      <c r="A1231" s="127">
        <v>24</v>
      </c>
      <c r="B1231" s="90" t="s">
        <v>331</v>
      </c>
      <c r="C1231" s="90">
        <f t="shared" si="251"/>
        <v>359.17315200000002</v>
      </c>
      <c r="D1231" s="91">
        <f t="shared" si="256"/>
        <v>431.0077824</v>
      </c>
      <c r="E1231" s="90">
        <v>0</v>
      </c>
      <c r="F1231" s="128">
        <f t="shared" si="257"/>
        <v>538.759728</v>
      </c>
    </row>
    <row r="1232" spans="1:14" x14ac:dyDescent="0.3">
      <c r="A1232" s="127">
        <v>25</v>
      </c>
      <c r="B1232" s="90" t="s">
        <v>331</v>
      </c>
      <c r="C1232" s="90">
        <f t="shared" si="251"/>
        <v>359.17315200000002</v>
      </c>
      <c r="D1232" s="91">
        <f t="shared" si="256"/>
        <v>431.0077824</v>
      </c>
      <c r="E1232" s="90">
        <v>0</v>
      </c>
      <c r="F1232" s="128">
        <f t="shared" si="257"/>
        <v>538.759728</v>
      </c>
    </row>
    <row r="1233" spans="1:14" ht="15.6" x14ac:dyDescent="0.3">
      <c r="A1233" s="127">
        <v>26</v>
      </c>
      <c r="B1233" s="90" t="s">
        <v>331</v>
      </c>
      <c r="C1233" s="90">
        <f t="shared" si="251"/>
        <v>359.17315200000002</v>
      </c>
      <c r="D1233" s="91">
        <f t="shared" si="256"/>
        <v>431.0077824</v>
      </c>
      <c r="E1233" s="90">
        <v>0</v>
      </c>
      <c r="F1233" s="128">
        <f t="shared" si="257"/>
        <v>538.759728</v>
      </c>
      <c r="K1233" s="40"/>
    </row>
    <row r="1234" spans="1:14" ht="15.6" x14ac:dyDescent="0.3">
      <c r="A1234" s="127">
        <v>27</v>
      </c>
      <c r="B1234" s="90" t="s">
        <v>331</v>
      </c>
      <c r="C1234" s="90">
        <f t="shared" si="251"/>
        <v>359.17315200000002</v>
      </c>
      <c r="D1234" s="91">
        <f t="shared" si="256"/>
        <v>431.0077824</v>
      </c>
      <c r="E1234" s="90">
        <v>0</v>
      </c>
      <c r="F1234" s="128">
        <f t="shared" si="257"/>
        <v>538.759728</v>
      </c>
      <c r="K1234" s="39"/>
    </row>
    <row r="1235" spans="1:14" ht="15.6" x14ac:dyDescent="0.3">
      <c r="A1235" s="127">
        <v>28</v>
      </c>
      <c r="B1235" s="90" t="s">
        <v>331</v>
      </c>
      <c r="C1235" s="90">
        <f t="shared" si="251"/>
        <v>359.17315200000002</v>
      </c>
      <c r="D1235" s="91">
        <f t="shared" si="256"/>
        <v>431.0077824</v>
      </c>
      <c r="E1235" s="90">
        <v>0</v>
      </c>
      <c r="F1235" s="128">
        <f t="shared" si="257"/>
        <v>538.759728</v>
      </c>
      <c r="K1235" s="39"/>
    </row>
    <row r="1236" spans="1:14" s="39" customFormat="1" ht="15.75" customHeight="1" x14ac:dyDescent="0.3">
      <c r="A1236" s="151" t="s">
        <v>334</v>
      </c>
      <c r="B1236" s="152"/>
      <c r="C1236" s="152"/>
      <c r="D1236" s="152"/>
      <c r="E1236" s="152"/>
      <c r="F1236" s="153"/>
      <c r="G1236" s="43"/>
      <c r="H1236" s="43"/>
      <c r="K1236" s="40"/>
    </row>
    <row r="1237" spans="1:14" s="39" customFormat="1" ht="15.75" customHeight="1" x14ac:dyDescent="0.3">
      <c r="A1237" s="127">
        <v>1</v>
      </c>
      <c r="B1237" s="90" t="s">
        <v>331</v>
      </c>
      <c r="C1237" s="90">
        <f t="shared" ref="C1237:C1248" si="258">(23.69+1.8*(1.5+1.2)+0.6*1.68+3.16*0.75+1.2*1.2)*10.764</f>
        <v>359.17315200000002</v>
      </c>
      <c r="D1237" s="91">
        <f>C1237*1.2</f>
        <v>431.0077824</v>
      </c>
      <c r="E1237" s="90">
        <v>0</v>
      </c>
      <c r="F1237" s="128">
        <f>C1237*(($F$469)+1)+(IF(E1237&lt;101,E1237,IF(E1237&lt;201,E1237/2,IF(E1237&lt;=301,E1237/3,E1237/4))))</f>
        <v>538.759728</v>
      </c>
      <c r="G1237" s="43"/>
      <c r="H1237" s="43"/>
      <c r="K1237"/>
    </row>
    <row r="1238" spans="1:14" s="39" customFormat="1" ht="15.6" x14ac:dyDescent="0.3">
      <c r="A1238" s="127">
        <v>2</v>
      </c>
      <c r="B1238" s="90" t="s">
        <v>331</v>
      </c>
      <c r="C1238" s="90">
        <f t="shared" si="258"/>
        <v>359.17315200000002</v>
      </c>
      <c r="D1238" s="91">
        <f t="shared" ref="D1238:D1242" si="259">C1238*1.2</f>
        <v>431.0077824</v>
      </c>
      <c r="E1238" s="90">
        <v>0</v>
      </c>
      <c r="F1238" s="128">
        <f t="shared" ref="F1238:F1242" si="260">C1238*(($F$469)+1)+(IF(E1238&lt;101,E1238,IF(E1238&lt;201,E1238/2,IF(E1238&lt;=301,E1238/3,E1238/4))))</f>
        <v>538.759728</v>
      </c>
      <c r="G1238" s="157"/>
      <c r="H1238" s="157"/>
      <c r="I1238" s="40"/>
      <c r="J1238" s="54"/>
      <c r="K1238"/>
      <c r="L1238" s="170"/>
      <c r="M1238" s="170"/>
      <c r="N1238" s="40"/>
    </row>
    <row r="1239" spans="1:14" x14ac:dyDescent="0.3">
      <c r="A1239" s="127">
        <v>3</v>
      </c>
      <c r="B1239" s="90" t="s">
        <v>331</v>
      </c>
      <c r="C1239" s="90">
        <f t="shared" si="258"/>
        <v>359.17315200000002</v>
      </c>
      <c r="D1239" s="91">
        <f t="shared" si="259"/>
        <v>431.0077824</v>
      </c>
      <c r="E1239" s="90">
        <v>0</v>
      </c>
      <c r="F1239" s="128">
        <f t="shared" si="260"/>
        <v>538.759728</v>
      </c>
    </row>
    <row r="1240" spans="1:14" x14ac:dyDescent="0.3">
      <c r="A1240" s="127">
        <v>4</v>
      </c>
      <c r="B1240" s="90" t="s">
        <v>331</v>
      </c>
      <c r="C1240" s="90">
        <f t="shared" si="258"/>
        <v>359.17315200000002</v>
      </c>
      <c r="D1240" s="91">
        <f t="shared" si="259"/>
        <v>431.0077824</v>
      </c>
      <c r="E1240" s="90">
        <v>0</v>
      </c>
      <c r="F1240" s="128">
        <f t="shared" si="260"/>
        <v>538.759728</v>
      </c>
    </row>
    <row r="1241" spans="1:14" ht="15.6" x14ac:dyDescent="0.3">
      <c r="A1241" s="127">
        <v>5</v>
      </c>
      <c r="B1241" s="90" t="s">
        <v>331</v>
      </c>
      <c r="C1241" s="90">
        <f t="shared" si="258"/>
        <v>359.17315200000002</v>
      </c>
      <c r="D1241" s="91">
        <f t="shared" si="259"/>
        <v>431.0077824</v>
      </c>
      <c r="E1241" s="90">
        <v>0</v>
      </c>
      <c r="F1241" s="128">
        <f t="shared" si="260"/>
        <v>538.759728</v>
      </c>
      <c r="K1241" s="40"/>
    </row>
    <row r="1242" spans="1:14" ht="15.6" x14ac:dyDescent="0.3">
      <c r="A1242" s="127">
        <v>6</v>
      </c>
      <c r="B1242" s="90" t="s">
        <v>331</v>
      </c>
      <c r="C1242" s="90">
        <f t="shared" si="258"/>
        <v>359.17315200000002</v>
      </c>
      <c r="D1242" s="91">
        <f t="shared" si="259"/>
        <v>431.0077824</v>
      </c>
      <c r="E1242" s="90">
        <v>0</v>
      </c>
      <c r="F1242" s="128">
        <f t="shared" si="260"/>
        <v>538.759728</v>
      </c>
      <c r="K1242" s="39"/>
    </row>
    <row r="1243" spans="1:14" s="39" customFormat="1" ht="15.75" customHeight="1" x14ac:dyDescent="0.3">
      <c r="A1243" s="127">
        <v>7</v>
      </c>
      <c r="B1243" s="90" t="s">
        <v>331</v>
      </c>
      <c r="C1243" s="90">
        <f t="shared" si="258"/>
        <v>359.17315200000002</v>
      </c>
      <c r="D1243" s="91">
        <f>C1243*1.2</f>
        <v>431.0077824</v>
      </c>
      <c r="E1243" s="90">
        <v>0</v>
      </c>
      <c r="F1243" s="128">
        <f>C1243*(($F$469)+1)+(IF(E1243&lt;101,E1243,IF(E1243&lt;201,E1243/2,IF(E1243&lt;=301,E1243/3,E1243/4))))</f>
        <v>538.759728</v>
      </c>
      <c r="G1243" s="43"/>
      <c r="H1243" s="43"/>
      <c r="K1243"/>
    </row>
    <row r="1244" spans="1:14" s="39" customFormat="1" ht="15.6" x14ac:dyDescent="0.3">
      <c r="A1244" s="127">
        <v>8</v>
      </c>
      <c r="B1244" s="90" t="s">
        <v>331</v>
      </c>
      <c r="C1244" s="90">
        <f t="shared" si="258"/>
        <v>359.17315200000002</v>
      </c>
      <c r="D1244" s="91">
        <f t="shared" ref="D1244:D1253" si="261">C1244*1.2</f>
        <v>431.0077824</v>
      </c>
      <c r="E1244" s="90">
        <v>0</v>
      </c>
      <c r="F1244" s="128">
        <f t="shared" ref="F1244:F1253" si="262">C1244*(($F$469)+1)+(IF(E1244&lt;101,E1244,IF(E1244&lt;201,E1244/2,IF(E1244&lt;=301,E1244/3,E1244/4))))</f>
        <v>538.759728</v>
      </c>
      <c r="G1244" s="157"/>
      <c r="H1244" s="157"/>
      <c r="I1244" s="40"/>
      <c r="J1244" s="54"/>
      <c r="K1244"/>
      <c r="L1244" s="170"/>
      <c r="M1244" s="170"/>
      <c r="N1244" s="40"/>
    </row>
    <row r="1245" spans="1:14" x14ac:dyDescent="0.3">
      <c r="A1245" s="127">
        <v>9</v>
      </c>
      <c r="B1245" s="90" t="s">
        <v>331</v>
      </c>
      <c r="C1245" s="90">
        <f t="shared" si="258"/>
        <v>359.17315200000002</v>
      </c>
      <c r="D1245" s="91">
        <f t="shared" si="261"/>
        <v>431.0077824</v>
      </c>
      <c r="E1245" s="90">
        <v>0</v>
      </c>
      <c r="F1245" s="128">
        <f t="shared" si="262"/>
        <v>538.759728</v>
      </c>
    </row>
    <row r="1246" spans="1:14" x14ac:dyDescent="0.3">
      <c r="A1246" s="127">
        <v>10</v>
      </c>
      <c r="B1246" s="90" t="s">
        <v>331</v>
      </c>
      <c r="C1246" s="90">
        <f t="shared" si="258"/>
        <v>359.17315200000002</v>
      </c>
      <c r="D1246" s="91">
        <f t="shared" si="261"/>
        <v>431.0077824</v>
      </c>
      <c r="E1246" s="90">
        <v>0</v>
      </c>
      <c r="F1246" s="128">
        <f t="shared" si="262"/>
        <v>538.759728</v>
      </c>
    </row>
    <row r="1247" spans="1:14" ht="15.6" x14ac:dyDescent="0.3">
      <c r="A1247" s="127">
        <v>11</v>
      </c>
      <c r="B1247" s="90" t="s">
        <v>331</v>
      </c>
      <c r="C1247" s="90">
        <f t="shared" si="258"/>
        <v>359.17315200000002</v>
      </c>
      <c r="D1247" s="91">
        <f t="shared" si="261"/>
        <v>431.0077824</v>
      </c>
      <c r="E1247" s="90">
        <v>0</v>
      </c>
      <c r="F1247" s="128">
        <f t="shared" si="262"/>
        <v>538.759728</v>
      </c>
      <c r="K1247" s="40"/>
    </row>
    <row r="1248" spans="1:14" ht="15.6" x14ac:dyDescent="0.3">
      <c r="A1248" s="127">
        <v>12</v>
      </c>
      <c r="B1248" s="90" t="s">
        <v>331</v>
      </c>
      <c r="C1248" s="90">
        <f t="shared" si="258"/>
        <v>359.17315200000002</v>
      </c>
      <c r="D1248" s="91">
        <f t="shared" si="261"/>
        <v>431.0077824</v>
      </c>
      <c r="E1248" s="90">
        <v>0</v>
      </c>
      <c r="F1248" s="128">
        <f t="shared" si="262"/>
        <v>538.759728</v>
      </c>
      <c r="K1248" s="39"/>
    </row>
    <row r="1249" spans="1:14" s="39" customFormat="1" ht="15.6" x14ac:dyDescent="0.3">
      <c r="A1249" s="127">
        <v>13</v>
      </c>
      <c r="B1249" s="159" t="s">
        <v>335</v>
      </c>
      <c r="C1249" s="160"/>
      <c r="D1249" s="160"/>
      <c r="E1249" s="161"/>
      <c r="F1249" s="128">
        <f t="shared" si="262"/>
        <v>0</v>
      </c>
      <c r="G1249" s="157"/>
      <c r="H1249" s="157"/>
      <c r="I1249" s="40"/>
      <c r="J1249" s="54"/>
      <c r="K1249"/>
      <c r="L1249" s="170"/>
      <c r="M1249" s="170"/>
      <c r="N1249" s="40"/>
    </row>
    <row r="1250" spans="1:14" x14ac:dyDescent="0.3">
      <c r="A1250" s="127">
        <v>14</v>
      </c>
      <c r="B1250" s="162"/>
      <c r="C1250" s="163"/>
      <c r="D1250" s="163"/>
      <c r="E1250" s="164"/>
      <c r="F1250" s="128">
        <f t="shared" si="262"/>
        <v>0</v>
      </c>
    </row>
    <row r="1251" spans="1:14" x14ac:dyDescent="0.3">
      <c r="A1251" s="127">
        <v>15</v>
      </c>
      <c r="B1251" s="165"/>
      <c r="C1251" s="166"/>
      <c r="D1251" s="166"/>
      <c r="E1251" s="167"/>
      <c r="F1251" s="128">
        <f t="shared" si="262"/>
        <v>0</v>
      </c>
    </row>
    <row r="1252" spans="1:14" ht="15.6" x14ac:dyDescent="0.3">
      <c r="A1252" s="127">
        <v>16</v>
      </c>
      <c r="B1252" s="90" t="s">
        <v>331</v>
      </c>
      <c r="C1252" s="90">
        <f t="shared" ref="C1252:C1264" si="263">(23.69+1.8*(1.5+1.2)+0.6*1.68+3.16*0.75+1.2*1.2)*10.764</f>
        <v>359.17315200000002</v>
      </c>
      <c r="D1252" s="91">
        <f t="shared" si="261"/>
        <v>431.0077824</v>
      </c>
      <c r="E1252" s="90">
        <v>0</v>
      </c>
      <c r="F1252" s="128">
        <f t="shared" si="262"/>
        <v>538.759728</v>
      </c>
      <c r="K1252" s="40"/>
    </row>
    <row r="1253" spans="1:14" ht="15.6" x14ac:dyDescent="0.3">
      <c r="A1253" s="127">
        <v>17</v>
      </c>
      <c r="B1253" s="90" t="s">
        <v>331</v>
      </c>
      <c r="C1253" s="90">
        <f t="shared" si="263"/>
        <v>359.17315200000002</v>
      </c>
      <c r="D1253" s="91">
        <f t="shared" si="261"/>
        <v>431.0077824</v>
      </c>
      <c r="E1253" s="90">
        <v>0</v>
      </c>
      <c r="F1253" s="128">
        <f t="shared" si="262"/>
        <v>538.759728</v>
      </c>
      <c r="K1253" s="39"/>
    </row>
    <row r="1254" spans="1:14" s="39" customFormat="1" ht="15.75" customHeight="1" x14ac:dyDescent="0.3">
      <c r="A1254" s="127">
        <v>18</v>
      </c>
      <c r="B1254" s="90" t="s">
        <v>331</v>
      </c>
      <c r="C1254" s="90">
        <f t="shared" si="263"/>
        <v>359.17315200000002</v>
      </c>
      <c r="D1254" s="91">
        <f>C1254*1.2</f>
        <v>431.0077824</v>
      </c>
      <c r="E1254" s="90">
        <v>0</v>
      </c>
      <c r="F1254" s="128">
        <f>C1254*(($F$469)+1)+(IF(E1254&lt;101,E1254,IF(E1254&lt;201,E1254/2,IF(E1254&lt;=301,E1254/3,E1254/4))))</f>
        <v>538.759728</v>
      </c>
      <c r="G1254" s="43"/>
      <c r="H1254" s="43"/>
      <c r="K1254"/>
    </row>
    <row r="1255" spans="1:14" s="39" customFormat="1" ht="15.6" x14ac:dyDescent="0.3">
      <c r="A1255" s="127">
        <v>19</v>
      </c>
      <c r="B1255" s="90" t="s">
        <v>331</v>
      </c>
      <c r="C1255" s="90">
        <f t="shared" si="263"/>
        <v>359.17315200000002</v>
      </c>
      <c r="D1255" s="91">
        <f t="shared" ref="D1255:D1264" si="264">C1255*1.2</f>
        <v>431.0077824</v>
      </c>
      <c r="E1255" s="90">
        <v>0</v>
      </c>
      <c r="F1255" s="128">
        <f t="shared" ref="F1255:F1264" si="265">C1255*(($F$469)+1)+(IF(E1255&lt;101,E1255,IF(E1255&lt;201,E1255/2,IF(E1255&lt;=301,E1255/3,E1255/4))))</f>
        <v>538.759728</v>
      </c>
      <c r="G1255" s="157"/>
      <c r="H1255" s="157"/>
      <c r="I1255" s="40"/>
      <c r="J1255" s="54"/>
      <c r="K1255"/>
      <c r="L1255" s="170"/>
      <c r="M1255" s="170"/>
      <c r="N1255" s="40"/>
    </row>
    <row r="1256" spans="1:14" x14ac:dyDescent="0.3">
      <c r="A1256" s="127">
        <v>20</v>
      </c>
      <c r="B1256" s="90" t="s">
        <v>331</v>
      </c>
      <c r="C1256" s="90">
        <f t="shared" si="263"/>
        <v>359.17315200000002</v>
      </c>
      <c r="D1256" s="91">
        <f t="shared" si="264"/>
        <v>431.0077824</v>
      </c>
      <c r="E1256" s="90">
        <v>0</v>
      </c>
      <c r="F1256" s="128">
        <f t="shared" si="265"/>
        <v>538.759728</v>
      </c>
    </row>
    <row r="1257" spans="1:14" x14ac:dyDescent="0.3">
      <c r="A1257" s="127">
        <v>21</v>
      </c>
      <c r="B1257" s="90" t="s">
        <v>331</v>
      </c>
      <c r="C1257" s="90">
        <f t="shared" si="263"/>
        <v>359.17315200000002</v>
      </c>
      <c r="D1257" s="91">
        <f t="shared" si="264"/>
        <v>431.0077824</v>
      </c>
      <c r="E1257" s="90">
        <v>0</v>
      </c>
      <c r="F1257" s="128">
        <f t="shared" si="265"/>
        <v>538.759728</v>
      </c>
    </row>
    <row r="1258" spans="1:14" ht="15.6" x14ac:dyDescent="0.3">
      <c r="A1258" s="127">
        <v>22</v>
      </c>
      <c r="B1258" s="90" t="s">
        <v>331</v>
      </c>
      <c r="C1258" s="90">
        <f t="shared" si="263"/>
        <v>359.17315200000002</v>
      </c>
      <c r="D1258" s="91">
        <f t="shared" si="264"/>
        <v>431.0077824</v>
      </c>
      <c r="E1258" s="90">
        <v>0</v>
      </c>
      <c r="F1258" s="128">
        <f t="shared" si="265"/>
        <v>538.759728</v>
      </c>
      <c r="K1258" s="40"/>
    </row>
    <row r="1259" spans="1:14" ht="15.6" x14ac:dyDescent="0.3">
      <c r="A1259" s="127">
        <v>23</v>
      </c>
      <c r="B1259" s="90" t="s">
        <v>331</v>
      </c>
      <c r="C1259" s="90">
        <f t="shared" si="263"/>
        <v>359.17315200000002</v>
      </c>
      <c r="D1259" s="91">
        <f t="shared" si="264"/>
        <v>431.0077824</v>
      </c>
      <c r="E1259" s="90">
        <v>0</v>
      </c>
      <c r="F1259" s="128">
        <f t="shared" si="265"/>
        <v>538.759728</v>
      </c>
      <c r="K1259" s="39"/>
    </row>
    <row r="1260" spans="1:14" x14ac:dyDescent="0.3">
      <c r="A1260" s="127">
        <v>24</v>
      </c>
      <c r="B1260" s="90" t="s">
        <v>331</v>
      </c>
      <c r="C1260" s="90">
        <f t="shared" si="263"/>
        <v>359.17315200000002</v>
      </c>
      <c r="D1260" s="91">
        <f t="shared" si="264"/>
        <v>431.0077824</v>
      </c>
      <c r="E1260" s="90">
        <v>0</v>
      </c>
      <c r="F1260" s="128">
        <f t="shared" si="265"/>
        <v>538.759728</v>
      </c>
    </row>
    <row r="1261" spans="1:14" x14ac:dyDescent="0.3">
      <c r="A1261" s="127">
        <v>25</v>
      </c>
      <c r="B1261" s="90" t="s">
        <v>331</v>
      </c>
      <c r="C1261" s="90">
        <f t="shared" si="263"/>
        <v>359.17315200000002</v>
      </c>
      <c r="D1261" s="91">
        <f t="shared" si="264"/>
        <v>431.0077824</v>
      </c>
      <c r="E1261" s="90">
        <v>0</v>
      </c>
      <c r="F1261" s="128">
        <f t="shared" si="265"/>
        <v>538.759728</v>
      </c>
    </row>
    <row r="1262" spans="1:14" ht="15.6" x14ac:dyDescent="0.3">
      <c r="A1262" s="127">
        <v>26</v>
      </c>
      <c r="B1262" s="90" t="s">
        <v>331</v>
      </c>
      <c r="C1262" s="90">
        <f t="shared" si="263"/>
        <v>359.17315200000002</v>
      </c>
      <c r="D1262" s="91">
        <f t="shared" si="264"/>
        <v>431.0077824</v>
      </c>
      <c r="E1262" s="90">
        <v>0</v>
      </c>
      <c r="F1262" s="128">
        <f t="shared" si="265"/>
        <v>538.759728</v>
      </c>
      <c r="K1262" s="40"/>
    </row>
    <row r="1263" spans="1:14" ht="15.6" x14ac:dyDescent="0.3">
      <c r="A1263" s="127">
        <v>27</v>
      </c>
      <c r="B1263" s="90" t="s">
        <v>331</v>
      </c>
      <c r="C1263" s="90">
        <f t="shared" si="263"/>
        <v>359.17315200000002</v>
      </c>
      <c r="D1263" s="91">
        <f t="shared" si="264"/>
        <v>431.0077824</v>
      </c>
      <c r="E1263" s="90">
        <v>0</v>
      </c>
      <c r="F1263" s="128">
        <f t="shared" si="265"/>
        <v>538.759728</v>
      </c>
      <c r="K1263" s="39"/>
    </row>
    <row r="1264" spans="1:14" ht="15.6" x14ac:dyDescent="0.3">
      <c r="A1264" s="127">
        <v>28</v>
      </c>
      <c r="B1264" s="90" t="s">
        <v>331</v>
      </c>
      <c r="C1264" s="90">
        <f t="shared" si="263"/>
        <v>359.17315200000002</v>
      </c>
      <c r="D1264" s="91">
        <f t="shared" si="264"/>
        <v>431.0077824</v>
      </c>
      <c r="E1264" s="90">
        <v>0</v>
      </c>
      <c r="F1264" s="128">
        <f t="shared" si="265"/>
        <v>538.759728</v>
      </c>
      <c r="K1264" s="39"/>
    </row>
    <row r="1265" spans="1:14" s="37" customFormat="1" ht="15.6" x14ac:dyDescent="0.3">
      <c r="A1265" s="151" t="s">
        <v>329</v>
      </c>
      <c r="B1265" s="152"/>
      <c r="C1265" s="152"/>
      <c r="D1265" s="152"/>
      <c r="E1265" s="152"/>
      <c r="F1265" s="153"/>
      <c r="G1265" s="158"/>
      <c r="H1265" s="158"/>
      <c r="I1265" s="158"/>
      <c r="J1265" s="158"/>
      <c r="K1265" s="158"/>
    </row>
    <row r="1266" spans="1:14" s="39" customFormat="1" ht="15.75" customHeight="1" x14ac:dyDescent="0.3">
      <c r="A1266" s="151" t="s">
        <v>332</v>
      </c>
      <c r="B1266" s="152"/>
      <c r="C1266" s="152"/>
      <c r="D1266" s="152"/>
      <c r="E1266" s="152"/>
      <c r="F1266" s="153"/>
      <c r="G1266" s="43"/>
      <c r="H1266" s="43"/>
      <c r="K1266" s="40"/>
    </row>
    <row r="1267" spans="1:14" s="39" customFormat="1" ht="15.75" customHeight="1" x14ac:dyDescent="0.3">
      <c r="A1267" s="127">
        <v>1</v>
      </c>
      <c r="B1267" s="90" t="s">
        <v>331</v>
      </c>
      <c r="C1267" s="90">
        <f>(27.66+3.16*0.75+1.2*1.8)*10.764</f>
        <v>346.49315999999993</v>
      </c>
      <c r="D1267" s="91">
        <f>C1267*1.2</f>
        <v>415.79179199999993</v>
      </c>
      <c r="E1267" s="90">
        <f>(5*1.2)*10.764</f>
        <v>64.584000000000003</v>
      </c>
      <c r="F1267" s="128">
        <f>C1267*(($F$469)+1)+(IF(E1267&lt;101,E1267,IF(E1267&lt;201,E1267/2,IF(E1267&lt;=301,E1267/3,E1267/4))))</f>
        <v>584.32373999999982</v>
      </c>
      <c r="G1267" s="43"/>
      <c r="H1267" s="43"/>
      <c r="K1267"/>
    </row>
    <row r="1268" spans="1:14" s="39" customFormat="1" ht="15.6" x14ac:dyDescent="0.3">
      <c r="A1268" s="127">
        <v>2</v>
      </c>
      <c r="B1268" s="90" t="s">
        <v>331</v>
      </c>
      <c r="C1268" s="90">
        <f>(27.66+3.16*0.75+1.2*1.2)*10.764</f>
        <v>338.74308000000002</v>
      </c>
      <c r="D1268" s="91">
        <f t="shared" ref="D1268:D1272" si="266">C1268*1.2</f>
        <v>406.49169599999999</v>
      </c>
      <c r="E1268" s="90">
        <f>(3.5*1.8)*10.764</f>
        <v>67.813199999999995</v>
      </c>
      <c r="F1268" s="128">
        <f t="shared" ref="F1268:F1272" si="267">C1268*(($F$469)+1)+(IF(E1268&lt;101,E1268,IF(E1268&lt;201,E1268/2,IF(E1268&lt;=301,E1268/3,E1268/4))))</f>
        <v>575.92782000000011</v>
      </c>
      <c r="G1268" s="157"/>
      <c r="H1268" s="157"/>
      <c r="I1268" s="40"/>
      <c r="J1268" s="54"/>
      <c r="K1268"/>
      <c r="L1268" s="170"/>
      <c r="M1268" s="170"/>
      <c r="N1268" s="40"/>
    </row>
    <row r="1269" spans="1:14" x14ac:dyDescent="0.3">
      <c r="A1269" s="127">
        <v>3</v>
      </c>
      <c r="B1269" s="90" t="s">
        <v>331</v>
      </c>
      <c r="C1269" s="90">
        <f>(27.66+3.16*0.75+1.2*1.2)*10.764</f>
        <v>338.74308000000002</v>
      </c>
      <c r="D1269" s="91">
        <f t="shared" si="266"/>
        <v>406.49169599999999</v>
      </c>
      <c r="E1269" s="90">
        <f>(3.5*1.8+3.7*2.9)*10.764</f>
        <v>183.31092000000001</v>
      </c>
      <c r="F1269" s="128">
        <f t="shared" si="267"/>
        <v>599.77008000000001</v>
      </c>
    </row>
    <row r="1270" spans="1:14" x14ac:dyDescent="0.3">
      <c r="A1270" s="127">
        <v>4</v>
      </c>
      <c r="B1270" s="90" t="s">
        <v>331</v>
      </c>
      <c r="C1270" s="90">
        <f t="shared" ref="C1270:C1300" si="268">(27.66+3.16*0.75)*10.764</f>
        <v>323.24291999999997</v>
      </c>
      <c r="D1270" s="91">
        <f t="shared" si="266"/>
        <v>387.89150399999994</v>
      </c>
      <c r="E1270" s="90">
        <f>(3.5*1.8+5*1.2)*10.764</f>
        <v>132.3972</v>
      </c>
      <c r="F1270" s="128">
        <f t="shared" si="267"/>
        <v>551.06297999999992</v>
      </c>
    </row>
    <row r="1271" spans="1:14" ht="15.6" x14ac:dyDescent="0.3">
      <c r="A1271" s="127">
        <v>5</v>
      </c>
      <c r="B1271" s="90" t="s">
        <v>331</v>
      </c>
      <c r="C1271" s="90">
        <f>(27.66+3.16*0.75+1.2*1.2)*10.764</f>
        <v>338.74308000000002</v>
      </c>
      <c r="D1271" s="91">
        <f t="shared" si="266"/>
        <v>406.49169599999999</v>
      </c>
      <c r="E1271" s="90">
        <f>(3.5*1.8)*10.764</f>
        <v>67.813199999999995</v>
      </c>
      <c r="F1271" s="128">
        <f t="shared" si="267"/>
        <v>575.92782000000011</v>
      </c>
      <c r="K1271" s="40"/>
    </row>
    <row r="1272" spans="1:14" ht="15.6" x14ac:dyDescent="0.3">
      <c r="A1272" s="127">
        <v>6</v>
      </c>
      <c r="B1272" s="90" t="s">
        <v>331</v>
      </c>
      <c r="C1272" s="90">
        <f>(27.66+3.16*0.75+1.2*1.2)*10.764</f>
        <v>338.74308000000002</v>
      </c>
      <c r="D1272" s="91">
        <f t="shared" si="266"/>
        <v>406.49169599999999</v>
      </c>
      <c r="E1272" s="90">
        <f>(3.5*1.8)*10.764</f>
        <v>67.813199999999995</v>
      </c>
      <c r="F1272" s="128">
        <f t="shared" si="267"/>
        <v>575.92782000000011</v>
      </c>
      <c r="K1272" s="39"/>
    </row>
    <row r="1273" spans="1:14" s="39" customFormat="1" ht="15.75" customHeight="1" x14ac:dyDescent="0.3">
      <c r="A1273" s="127">
        <v>7</v>
      </c>
      <c r="B1273" s="90" t="s">
        <v>331</v>
      </c>
      <c r="C1273" s="90">
        <f t="shared" si="268"/>
        <v>323.24291999999997</v>
      </c>
      <c r="D1273" s="91">
        <f>C1273*1.2</f>
        <v>387.89150399999994</v>
      </c>
      <c r="E1273" s="90">
        <f>(3.5*1.8+5*1.2)*10.764</f>
        <v>132.3972</v>
      </c>
      <c r="F1273" s="128">
        <f>C1273*(($F$469)+1)+(IF(E1273&lt;101,E1273,IF(E1273&lt;201,E1273/2,IF(E1273&lt;=301,E1273/3,E1273/4))))</f>
        <v>551.06297999999992</v>
      </c>
      <c r="G1273" s="43"/>
      <c r="H1273" s="43"/>
      <c r="K1273"/>
    </row>
    <row r="1274" spans="1:14" s="39" customFormat="1" ht="15.6" x14ac:dyDescent="0.3">
      <c r="A1274" s="127">
        <v>8</v>
      </c>
      <c r="B1274" s="90" t="s">
        <v>331</v>
      </c>
      <c r="C1274" s="90">
        <f>(27.66+3.16*0.75+1.2*1.2)*10.764</f>
        <v>338.74308000000002</v>
      </c>
      <c r="D1274" s="91">
        <f t="shared" ref="D1274:D1283" si="269">C1274*1.2</f>
        <v>406.49169599999999</v>
      </c>
      <c r="E1274" s="90">
        <f>(3.5*1.8+3.7*3.7)*10.764</f>
        <v>215.17236</v>
      </c>
      <c r="F1274" s="128">
        <f t="shared" ref="F1274:F1283" si="270">C1274*(($F$469)+1)+(IF(E1274&lt;101,E1274,IF(E1274&lt;201,E1274/2,IF(E1274&lt;=301,E1274/3,E1274/4))))</f>
        <v>579.83874000000003</v>
      </c>
      <c r="G1274" s="157"/>
      <c r="H1274" s="157"/>
      <c r="I1274" s="40"/>
      <c r="J1274" s="54"/>
      <c r="K1274"/>
      <c r="L1274" s="170"/>
      <c r="M1274" s="170"/>
      <c r="N1274" s="40"/>
    </row>
    <row r="1275" spans="1:14" x14ac:dyDescent="0.3">
      <c r="A1275" s="127">
        <v>9</v>
      </c>
      <c r="B1275" s="90" t="s">
        <v>331</v>
      </c>
      <c r="C1275" s="90">
        <f>(27.66+3.16*0.75+1.2*1.2)*10.764</f>
        <v>338.74308000000002</v>
      </c>
      <c r="D1275" s="91">
        <f t="shared" si="269"/>
        <v>406.49169599999999</v>
      </c>
      <c r="E1275" s="90">
        <f>(3.5*1.8)*10.764</f>
        <v>67.813199999999995</v>
      </c>
      <c r="F1275" s="128">
        <f t="shared" si="270"/>
        <v>575.92782000000011</v>
      </c>
    </row>
    <row r="1276" spans="1:14" x14ac:dyDescent="0.3">
      <c r="A1276" s="127">
        <v>10</v>
      </c>
      <c r="B1276" s="90" t="s">
        <v>331</v>
      </c>
      <c r="C1276" s="90">
        <f>(27.66+3.16*0.75+1.2*1.8)*10.764</f>
        <v>346.49315999999993</v>
      </c>
      <c r="D1276" s="91">
        <f t="shared" si="269"/>
        <v>415.79179199999993</v>
      </c>
      <c r="E1276" s="90">
        <f>(5*1.2)*10.764</f>
        <v>64.584000000000003</v>
      </c>
      <c r="F1276" s="128">
        <f t="shared" si="270"/>
        <v>584.32373999999982</v>
      </c>
    </row>
    <row r="1277" spans="1:14" ht="15.6" x14ac:dyDescent="0.3">
      <c r="A1277" s="127">
        <v>11</v>
      </c>
      <c r="B1277" s="90" t="s">
        <v>331</v>
      </c>
      <c r="C1277" s="90">
        <f>(27.66+3.16*0.75+1.2*1.8)*10.764</f>
        <v>346.49315999999993</v>
      </c>
      <c r="D1277" s="91">
        <f t="shared" si="269"/>
        <v>415.79179199999993</v>
      </c>
      <c r="E1277" s="90">
        <f>(5*1.2)*10.764</f>
        <v>64.584000000000003</v>
      </c>
      <c r="F1277" s="128">
        <f t="shared" si="270"/>
        <v>584.32373999999982</v>
      </c>
      <c r="K1277" s="40"/>
    </row>
    <row r="1278" spans="1:14" ht="15.6" x14ac:dyDescent="0.3">
      <c r="A1278" s="127">
        <v>12</v>
      </c>
      <c r="B1278" s="90" t="s">
        <v>331</v>
      </c>
      <c r="C1278" s="90">
        <f>(27.66+3.16*0.75+1.2*1.2)*10.764</f>
        <v>338.74308000000002</v>
      </c>
      <c r="D1278" s="91">
        <f t="shared" si="269"/>
        <v>406.49169599999999</v>
      </c>
      <c r="E1278" s="90">
        <f>(3.5*1.8)*10.764</f>
        <v>67.813199999999995</v>
      </c>
      <c r="F1278" s="128">
        <f t="shared" si="270"/>
        <v>575.92782000000011</v>
      </c>
      <c r="K1278" s="39"/>
    </row>
    <row r="1279" spans="1:14" s="39" customFormat="1" ht="15.6" x14ac:dyDescent="0.3">
      <c r="A1279" s="127">
        <v>13</v>
      </c>
      <c r="B1279" s="90" t="s">
        <v>331</v>
      </c>
      <c r="C1279" s="90">
        <f t="shared" si="268"/>
        <v>323.24291999999997</v>
      </c>
      <c r="D1279" s="91">
        <f t="shared" si="269"/>
        <v>387.89150399999994</v>
      </c>
      <c r="E1279" s="90">
        <f t="shared" ref="E1279:E1286" si="271">(3.5*1.8+5*1.2)*10.764</f>
        <v>132.3972</v>
      </c>
      <c r="F1279" s="128">
        <f t="shared" si="270"/>
        <v>551.06297999999992</v>
      </c>
      <c r="G1279" s="157"/>
      <c r="H1279" s="157"/>
      <c r="I1279" s="40"/>
      <c r="J1279" s="54"/>
      <c r="K1279"/>
      <c r="L1279" s="170"/>
      <c r="M1279" s="170"/>
      <c r="N1279" s="40"/>
    </row>
    <row r="1280" spans="1:14" x14ac:dyDescent="0.3">
      <c r="A1280" s="127">
        <v>14</v>
      </c>
      <c r="B1280" s="90" t="s">
        <v>331</v>
      </c>
      <c r="C1280" s="90">
        <f t="shared" si="268"/>
        <v>323.24291999999997</v>
      </c>
      <c r="D1280" s="91">
        <f t="shared" si="269"/>
        <v>387.89150399999994</v>
      </c>
      <c r="E1280" s="90">
        <f t="shared" si="271"/>
        <v>132.3972</v>
      </c>
      <c r="F1280" s="128">
        <f t="shared" si="270"/>
        <v>551.06297999999992</v>
      </c>
    </row>
    <row r="1281" spans="1:14" x14ac:dyDescent="0.3">
      <c r="A1281" s="127">
        <v>15</v>
      </c>
      <c r="B1281" s="90" t="s">
        <v>331</v>
      </c>
      <c r="C1281" s="90">
        <f t="shared" si="268"/>
        <v>323.24291999999997</v>
      </c>
      <c r="D1281" s="91">
        <f t="shared" si="269"/>
        <v>387.89150399999994</v>
      </c>
      <c r="E1281" s="90">
        <f t="shared" si="271"/>
        <v>132.3972</v>
      </c>
      <c r="F1281" s="128">
        <f t="shared" si="270"/>
        <v>551.06297999999992</v>
      </c>
    </row>
    <row r="1282" spans="1:14" ht="15.6" x14ac:dyDescent="0.3">
      <c r="A1282" s="127">
        <v>16</v>
      </c>
      <c r="B1282" s="90" t="s">
        <v>331</v>
      </c>
      <c r="C1282" s="90">
        <f t="shared" si="268"/>
        <v>323.24291999999997</v>
      </c>
      <c r="D1282" s="91">
        <f t="shared" si="269"/>
        <v>387.89150399999994</v>
      </c>
      <c r="E1282" s="90">
        <f t="shared" si="271"/>
        <v>132.3972</v>
      </c>
      <c r="F1282" s="128">
        <f t="shared" si="270"/>
        <v>551.06297999999992</v>
      </c>
      <c r="K1282" s="40"/>
    </row>
    <row r="1283" spans="1:14" ht="15.6" x14ac:dyDescent="0.3">
      <c r="A1283" s="127">
        <v>17</v>
      </c>
      <c r="B1283" s="90" t="s">
        <v>331</v>
      </c>
      <c r="C1283" s="90">
        <f t="shared" si="268"/>
        <v>323.24291999999997</v>
      </c>
      <c r="D1283" s="91">
        <f t="shared" si="269"/>
        <v>387.89150399999994</v>
      </c>
      <c r="E1283" s="90">
        <f t="shared" si="271"/>
        <v>132.3972</v>
      </c>
      <c r="F1283" s="128">
        <f t="shared" si="270"/>
        <v>551.06297999999992</v>
      </c>
      <c r="K1283" s="39"/>
    </row>
    <row r="1284" spans="1:14" s="39" customFormat="1" ht="15.75" customHeight="1" x14ac:dyDescent="0.3">
      <c r="A1284" s="127">
        <v>18</v>
      </c>
      <c r="B1284" s="90" t="s">
        <v>331</v>
      </c>
      <c r="C1284" s="90">
        <f t="shared" si="268"/>
        <v>323.24291999999997</v>
      </c>
      <c r="D1284" s="91">
        <f>C1284*1.2</f>
        <v>387.89150399999994</v>
      </c>
      <c r="E1284" s="90">
        <f t="shared" si="271"/>
        <v>132.3972</v>
      </c>
      <c r="F1284" s="128">
        <f>C1284*(($F$469)+1)+(IF(E1284&lt;101,E1284,IF(E1284&lt;201,E1284/2,IF(E1284&lt;=301,E1284/3,E1284/4))))</f>
        <v>551.06297999999992</v>
      </c>
      <c r="G1284" s="43"/>
      <c r="H1284" s="43"/>
      <c r="K1284"/>
    </row>
    <row r="1285" spans="1:14" s="39" customFormat="1" ht="15.6" x14ac:dyDescent="0.3">
      <c r="A1285" s="127">
        <v>19</v>
      </c>
      <c r="B1285" s="90" t="s">
        <v>331</v>
      </c>
      <c r="C1285" s="90">
        <f t="shared" si="268"/>
        <v>323.24291999999997</v>
      </c>
      <c r="D1285" s="91">
        <f t="shared" ref="D1285:D1294" si="272">C1285*1.2</f>
        <v>387.89150399999994</v>
      </c>
      <c r="E1285" s="90">
        <f t="shared" si="271"/>
        <v>132.3972</v>
      </c>
      <c r="F1285" s="128">
        <f t="shared" ref="F1285:F1294" si="273">C1285*(($F$469)+1)+(IF(E1285&lt;101,E1285,IF(E1285&lt;201,E1285/2,IF(E1285&lt;=301,E1285/3,E1285/4))))</f>
        <v>551.06297999999992</v>
      </c>
      <c r="G1285" s="157"/>
      <c r="H1285" s="157"/>
      <c r="I1285" s="40"/>
      <c r="J1285" s="54"/>
      <c r="K1285"/>
      <c r="L1285" s="170"/>
      <c r="M1285" s="170"/>
      <c r="N1285" s="40"/>
    </row>
    <row r="1286" spans="1:14" x14ac:dyDescent="0.3">
      <c r="A1286" s="127">
        <v>20</v>
      </c>
      <c r="B1286" s="90" t="s">
        <v>331</v>
      </c>
      <c r="C1286" s="90">
        <f t="shared" si="268"/>
        <v>323.24291999999997</v>
      </c>
      <c r="D1286" s="91">
        <f t="shared" si="272"/>
        <v>387.89150399999994</v>
      </c>
      <c r="E1286" s="90">
        <f t="shared" si="271"/>
        <v>132.3972</v>
      </c>
      <c r="F1286" s="128">
        <f t="shared" si="273"/>
        <v>551.06297999999992</v>
      </c>
    </row>
    <row r="1287" spans="1:14" x14ac:dyDescent="0.3">
      <c r="A1287" s="127">
        <v>21</v>
      </c>
      <c r="B1287" s="90" t="s">
        <v>331</v>
      </c>
      <c r="C1287" s="90">
        <f>(27.66+3.16*0.75+1.2*1.2)*10.764</f>
        <v>338.74308000000002</v>
      </c>
      <c r="D1287" s="91">
        <f t="shared" si="272"/>
        <v>406.49169599999999</v>
      </c>
      <c r="E1287" s="90">
        <f>(3.5*1.8)*10.764</f>
        <v>67.813199999999995</v>
      </c>
      <c r="F1287" s="128">
        <f t="shared" si="273"/>
        <v>575.92782000000011</v>
      </c>
    </row>
    <row r="1288" spans="1:14" ht="15.6" x14ac:dyDescent="0.3">
      <c r="A1288" s="127">
        <v>22</v>
      </c>
      <c r="B1288" s="90" t="s">
        <v>331</v>
      </c>
      <c r="C1288" s="90">
        <f>(27.66+3.16*0.75+1.2*1.8)*10.764</f>
        <v>346.49315999999993</v>
      </c>
      <c r="D1288" s="91">
        <f t="shared" si="272"/>
        <v>415.79179199999993</v>
      </c>
      <c r="E1288" s="90">
        <f>(5*1.2)*10.764</f>
        <v>64.584000000000003</v>
      </c>
      <c r="F1288" s="128">
        <f t="shared" si="273"/>
        <v>584.32373999999982</v>
      </c>
      <c r="K1288" s="40"/>
    </row>
    <row r="1289" spans="1:14" ht="15.6" x14ac:dyDescent="0.3">
      <c r="A1289" s="127">
        <v>23</v>
      </c>
      <c r="B1289" s="90" t="s">
        <v>331</v>
      </c>
      <c r="C1289" s="90">
        <f>(27.66+3.16*0.75+1.2*1.2)*10.764</f>
        <v>338.74308000000002</v>
      </c>
      <c r="D1289" s="91">
        <f t="shared" si="272"/>
        <v>406.49169599999999</v>
      </c>
      <c r="E1289" s="90">
        <f>(4.95*1.2+2.7*1.8+2.33*3.7)*10.764</f>
        <v>209.04764399999999</v>
      </c>
      <c r="F1289" s="128">
        <f t="shared" si="273"/>
        <v>577.79716800000006</v>
      </c>
      <c r="K1289" s="39"/>
    </row>
    <row r="1290" spans="1:14" x14ac:dyDescent="0.3">
      <c r="A1290" s="127">
        <v>24</v>
      </c>
      <c r="B1290" s="90" t="s">
        <v>331</v>
      </c>
      <c r="C1290" s="90">
        <f t="shared" si="268"/>
        <v>323.24291999999997</v>
      </c>
      <c r="D1290" s="91">
        <f t="shared" si="272"/>
        <v>387.89150399999994</v>
      </c>
      <c r="E1290" s="90">
        <f>(6.18*1.2+2.7*1.8+4.2*1.2)*10.764</f>
        <v>186.38942399999999</v>
      </c>
      <c r="F1290" s="128">
        <f t="shared" si="273"/>
        <v>578.05909199999996</v>
      </c>
    </row>
    <row r="1291" spans="1:14" x14ac:dyDescent="0.3">
      <c r="A1291" s="127">
        <v>25</v>
      </c>
      <c r="B1291" s="90" t="s">
        <v>331</v>
      </c>
      <c r="C1291" s="90">
        <f>(27.66+3.16*0.75+1.2*1.2)*10.764</f>
        <v>338.74308000000002</v>
      </c>
      <c r="D1291" s="91">
        <f t="shared" si="272"/>
        <v>406.49169599999999</v>
      </c>
      <c r="E1291" s="90">
        <f>(3.5*1.8)*10.764</f>
        <v>67.813199999999995</v>
      </c>
      <c r="F1291" s="128">
        <f t="shared" si="273"/>
        <v>575.92782000000011</v>
      </c>
    </row>
    <row r="1292" spans="1:14" ht="15.6" x14ac:dyDescent="0.3">
      <c r="A1292" s="127">
        <v>26</v>
      </c>
      <c r="B1292" s="90" t="s">
        <v>331</v>
      </c>
      <c r="C1292" s="90">
        <f t="shared" si="268"/>
        <v>323.24291999999997</v>
      </c>
      <c r="D1292" s="91">
        <f t="shared" si="272"/>
        <v>387.89150399999994</v>
      </c>
      <c r="E1292" s="90">
        <f t="shared" ref="E1292:E1293" si="274">(3.5*1.8+5*1.2)*10.764</f>
        <v>132.3972</v>
      </c>
      <c r="F1292" s="128">
        <f t="shared" si="273"/>
        <v>551.06297999999992</v>
      </c>
      <c r="K1292" s="40"/>
    </row>
    <row r="1293" spans="1:14" ht="15.6" x14ac:dyDescent="0.3">
      <c r="A1293" s="127">
        <v>27</v>
      </c>
      <c r="B1293" s="90" t="s">
        <v>331</v>
      </c>
      <c r="C1293" s="90">
        <f t="shared" si="268"/>
        <v>323.24291999999997</v>
      </c>
      <c r="D1293" s="91">
        <f t="shared" si="272"/>
        <v>387.89150399999994</v>
      </c>
      <c r="E1293" s="90">
        <f t="shared" si="274"/>
        <v>132.3972</v>
      </c>
      <c r="F1293" s="128">
        <f t="shared" si="273"/>
        <v>551.06297999999992</v>
      </c>
      <c r="K1293" s="39"/>
    </row>
    <row r="1294" spans="1:14" ht="15.6" x14ac:dyDescent="0.3">
      <c r="A1294" s="127">
        <v>28</v>
      </c>
      <c r="B1294" s="90" t="s">
        <v>331</v>
      </c>
      <c r="C1294" s="90">
        <f>(27.66+3.16*0.75+1.2*1.2)*10.764</f>
        <v>338.74308000000002</v>
      </c>
      <c r="D1294" s="91">
        <f t="shared" si="272"/>
        <v>406.49169599999999</v>
      </c>
      <c r="E1294" s="90">
        <f>(4.88*1.2+2.7*1.8)*10.764</f>
        <v>115.347024</v>
      </c>
      <c r="F1294" s="128">
        <f t="shared" si="273"/>
        <v>565.78813200000002</v>
      </c>
      <c r="K1294" s="39"/>
    </row>
    <row r="1295" spans="1:14" ht="15.6" x14ac:dyDescent="0.3">
      <c r="A1295" s="127">
        <v>29</v>
      </c>
      <c r="B1295" s="90" t="s">
        <v>331</v>
      </c>
      <c r="C1295" s="90">
        <f>(27.66+3.16*0.75+1.2*1.8)*10.764</f>
        <v>346.49315999999993</v>
      </c>
      <c r="D1295" s="91">
        <f t="shared" ref="D1295:D1301" si="275">C1295*1.2</f>
        <v>415.79179199999993</v>
      </c>
      <c r="E1295" s="90">
        <f>(1.2*5)*10.764</f>
        <v>64.584000000000003</v>
      </c>
      <c r="F1295" s="128">
        <f t="shared" ref="F1295:F1301" si="276">C1295*(($F$469)+1)+(IF(E1295&lt;101,E1295,IF(E1295&lt;201,E1295/2,IF(E1295&lt;=301,E1295/3,E1295/4))))</f>
        <v>584.32373999999982</v>
      </c>
      <c r="K1295" s="40"/>
    </row>
    <row r="1296" spans="1:14" ht="15.6" x14ac:dyDescent="0.3">
      <c r="A1296" s="127">
        <v>30</v>
      </c>
      <c r="B1296" s="90" t="s">
        <v>331</v>
      </c>
      <c r="C1296" s="90">
        <f>(27.66+3.16*0.75+1.2*1.2)*10.764</f>
        <v>338.74308000000002</v>
      </c>
      <c r="D1296" s="91">
        <f t="shared" si="275"/>
        <v>406.49169599999999</v>
      </c>
      <c r="E1296" s="90">
        <f>(4.88*1.2+2.7*1.8)*10.764</f>
        <v>115.347024</v>
      </c>
      <c r="F1296" s="128">
        <f t="shared" si="276"/>
        <v>565.78813200000002</v>
      </c>
      <c r="K1296" s="39"/>
    </row>
    <row r="1297" spans="1:14" x14ac:dyDescent="0.3">
      <c r="A1297" s="127">
        <v>31</v>
      </c>
      <c r="B1297" s="90" t="s">
        <v>331</v>
      </c>
      <c r="C1297" s="90">
        <f t="shared" si="268"/>
        <v>323.24291999999997</v>
      </c>
      <c r="D1297" s="91">
        <f t="shared" si="275"/>
        <v>387.89150399999994</v>
      </c>
      <c r="E1297" s="90">
        <f t="shared" ref="E1297" si="277">(3.5*1.8+5*1.2)*10.764</f>
        <v>132.3972</v>
      </c>
      <c r="F1297" s="128">
        <f t="shared" si="276"/>
        <v>551.06297999999992</v>
      </c>
    </row>
    <row r="1298" spans="1:14" x14ac:dyDescent="0.3">
      <c r="A1298" s="127">
        <v>32</v>
      </c>
      <c r="B1298" s="90" t="s">
        <v>331</v>
      </c>
      <c r="C1298" s="90">
        <f>(27.66+3.16*0.75+1.2*1.2)*10.764</f>
        <v>338.74308000000002</v>
      </c>
      <c r="D1298" s="91">
        <f t="shared" si="275"/>
        <v>406.49169599999999</v>
      </c>
      <c r="E1298" s="90">
        <f>(3.5*1.8)*10.764</f>
        <v>67.813199999999995</v>
      </c>
      <c r="F1298" s="128">
        <f t="shared" si="276"/>
        <v>575.92782000000011</v>
      </c>
    </row>
    <row r="1299" spans="1:14" ht="15.6" x14ac:dyDescent="0.3">
      <c r="A1299" s="127">
        <v>33</v>
      </c>
      <c r="B1299" s="90" t="s">
        <v>331</v>
      </c>
      <c r="C1299" s="90">
        <f t="shared" si="268"/>
        <v>323.24291999999997</v>
      </c>
      <c r="D1299" s="91">
        <f t="shared" si="275"/>
        <v>387.89150399999994</v>
      </c>
      <c r="E1299" s="90">
        <f>(3.5*1.8+5*1.2)*10.764</f>
        <v>132.3972</v>
      </c>
      <c r="F1299" s="128">
        <f t="shared" si="276"/>
        <v>551.06297999999992</v>
      </c>
      <c r="K1299" s="40"/>
    </row>
    <row r="1300" spans="1:14" ht="15.6" x14ac:dyDescent="0.3">
      <c r="A1300" s="127">
        <v>34</v>
      </c>
      <c r="B1300" s="90" t="s">
        <v>331</v>
      </c>
      <c r="C1300" s="90">
        <f t="shared" si="268"/>
        <v>323.24291999999997</v>
      </c>
      <c r="D1300" s="91">
        <f t="shared" si="275"/>
        <v>387.89150399999994</v>
      </c>
      <c r="E1300" s="90">
        <f>(6.18*1.2+2.7*1.8+4*1.2)*10.764</f>
        <v>183.80606399999999</v>
      </c>
      <c r="F1300" s="128">
        <f t="shared" si="276"/>
        <v>576.76741199999992</v>
      </c>
      <c r="K1300" s="39"/>
    </row>
    <row r="1301" spans="1:14" ht="15.6" x14ac:dyDescent="0.3">
      <c r="A1301" s="127">
        <v>35</v>
      </c>
      <c r="B1301" s="90" t="s">
        <v>331</v>
      </c>
      <c r="C1301" s="90">
        <f>(27.66+3.16*0.75+1.2*1.2)*10.764</f>
        <v>338.74308000000002</v>
      </c>
      <c r="D1301" s="91">
        <f t="shared" si="275"/>
        <v>406.49169599999999</v>
      </c>
      <c r="E1301" s="90">
        <f>(2.7*1.8+4.95*1.2)*10.764</f>
        <v>116.2512</v>
      </c>
      <c r="F1301" s="128">
        <f t="shared" si="276"/>
        <v>566.24022000000002</v>
      </c>
      <c r="K1301" s="39"/>
    </row>
    <row r="1302" spans="1:14" ht="15.6" x14ac:dyDescent="0.3">
      <c r="A1302" s="127">
        <v>36</v>
      </c>
      <c r="B1302" s="90" t="s">
        <v>331</v>
      </c>
      <c r="C1302" s="90">
        <f>(27.66+3.16*0.75+1.2*1.8)*10.764</f>
        <v>346.49315999999993</v>
      </c>
      <c r="D1302" s="91">
        <f t="shared" ref="D1302" si="278">C1302*1.2</f>
        <v>415.79179199999993</v>
      </c>
      <c r="E1302" s="90">
        <f>(5*1.2)*10.764</f>
        <v>64.584000000000003</v>
      </c>
      <c r="F1302" s="128">
        <f t="shared" ref="F1302" si="279">C1302*(($F$469)+1)+(IF(E1302&lt;101,E1302,IF(E1302&lt;201,E1302/2,IF(E1302&lt;=301,E1302/3,E1302/4))))</f>
        <v>584.32373999999982</v>
      </c>
      <c r="K1302" s="39"/>
    </row>
    <row r="1303" spans="1:14" s="39" customFormat="1" ht="15.75" customHeight="1" x14ac:dyDescent="0.3">
      <c r="A1303" s="151" t="s">
        <v>333</v>
      </c>
      <c r="B1303" s="152"/>
      <c r="C1303" s="152"/>
      <c r="D1303" s="152"/>
      <c r="E1303" s="152"/>
      <c r="F1303" s="153"/>
      <c r="G1303" s="43"/>
      <c r="H1303" s="43"/>
      <c r="K1303" s="40"/>
    </row>
    <row r="1304" spans="1:14" s="39" customFormat="1" ht="15.75" customHeight="1" x14ac:dyDescent="0.3">
      <c r="A1304" s="127">
        <v>1</v>
      </c>
      <c r="B1304" s="90" t="s">
        <v>331</v>
      </c>
      <c r="C1304" s="90">
        <f>(27.66+1.2*1.8+1.2*1.2+3.16*0.75)*10.764</f>
        <v>361.99331999999998</v>
      </c>
      <c r="D1304" s="91">
        <f>C1304*1.2</f>
        <v>434.39198399999998</v>
      </c>
      <c r="E1304" s="90">
        <v>0</v>
      </c>
      <c r="F1304" s="128">
        <f>C1304*(($F$469)+1)+(IF(E1304&lt;101,E1304,IF(E1304&lt;201,E1304/2,IF(E1304&lt;=301,E1304/3,E1304/4))))</f>
        <v>542.98997999999995</v>
      </c>
      <c r="G1304" s="43"/>
      <c r="H1304" s="43"/>
      <c r="K1304"/>
    </row>
    <row r="1305" spans="1:14" s="39" customFormat="1" ht="15.6" x14ac:dyDescent="0.3">
      <c r="A1305" s="127">
        <v>2</v>
      </c>
      <c r="B1305" s="90" t="s">
        <v>331</v>
      </c>
      <c r="C1305" s="90">
        <f t="shared" ref="C1305:C1339" si="280">(27.66+1.2*1.8+1.2*1.2+3.16*0.75)*10.764</f>
        <v>361.99331999999998</v>
      </c>
      <c r="D1305" s="91">
        <f t="shared" ref="D1305:D1309" si="281">C1305*1.2</f>
        <v>434.39198399999998</v>
      </c>
      <c r="E1305" s="90">
        <v>0</v>
      </c>
      <c r="F1305" s="128">
        <f t="shared" ref="F1305:F1309" si="282">C1305*(($F$469)+1)+(IF(E1305&lt;101,E1305,IF(E1305&lt;201,E1305/2,IF(E1305&lt;=301,E1305/3,E1305/4))))</f>
        <v>542.98997999999995</v>
      </c>
      <c r="G1305" s="157"/>
      <c r="H1305" s="157"/>
      <c r="I1305" s="40"/>
      <c r="J1305" s="54"/>
      <c r="K1305"/>
      <c r="L1305" s="170"/>
      <c r="M1305" s="170"/>
      <c r="N1305" s="40"/>
    </row>
    <row r="1306" spans="1:14" x14ac:dyDescent="0.3">
      <c r="A1306" s="127">
        <v>3</v>
      </c>
      <c r="B1306" s="90" t="s">
        <v>331</v>
      </c>
      <c r="C1306" s="90">
        <f t="shared" si="280"/>
        <v>361.99331999999998</v>
      </c>
      <c r="D1306" s="91">
        <f t="shared" si="281"/>
        <v>434.39198399999998</v>
      </c>
      <c r="E1306" s="90">
        <v>0</v>
      </c>
      <c r="F1306" s="128">
        <f t="shared" si="282"/>
        <v>542.98997999999995</v>
      </c>
    </row>
    <row r="1307" spans="1:14" x14ac:dyDescent="0.3">
      <c r="A1307" s="127">
        <v>4</v>
      </c>
      <c r="B1307" s="90" t="s">
        <v>331</v>
      </c>
      <c r="C1307" s="90">
        <f t="shared" si="280"/>
        <v>361.99331999999998</v>
      </c>
      <c r="D1307" s="91">
        <f t="shared" si="281"/>
        <v>434.39198399999998</v>
      </c>
      <c r="E1307" s="90">
        <v>0</v>
      </c>
      <c r="F1307" s="128">
        <f t="shared" si="282"/>
        <v>542.98997999999995</v>
      </c>
    </row>
    <row r="1308" spans="1:14" ht="15.6" x14ac:dyDescent="0.3">
      <c r="A1308" s="127">
        <v>5</v>
      </c>
      <c r="B1308" s="90" t="s">
        <v>331</v>
      </c>
      <c r="C1308" s="90">
        <f t="shared" si="280"/>
        <v>361.99331999999998</v>
      </c>
      <c r="D1308" s="91">
        <f t="shared" si="281"/>
        <v>434.39198399999998</v>
      </c>
      <c r="E1308" s="90">
        <v>0</v>
      </c>
      <c r="F1308" s="128">
        <f t="shared" si="282"/>
        <v>542.98997999999995</v>
      </c>
      <c r="K1308" s="40"/>
    </row>
    <row r="1309" spans="1:14" ht="15.6" x14ac:dyDescent="0.3">
      <c r="A1309" s="127">
        <v>6</v>
      </c>
      <c r="B1309" s="90" t="s">
        <v>331</v>
      </c>
      <c r="C1309" s="90">
        <f t="shared" si="280"/>
        <v>361.99331999999998</v>
      </c>
      <c r="D1309" s="91">
        <f t="shared" si="281"/>
        <v>434.39198399999998</v>
      </c>
      <c r="E1309" s="90">
        <v>0</v>
      </c>
      <c r="F1309" s="128">
        <f t="shared" si="282"/>
        <v>542.98997999999995</v>
      </c>
      <c r="K1309" s="39"/>
    </row>
    <row r="1310" spans="1:14" s="39" customFormat="1" ht="15.75" customHeight="1" x14ac:dyDescent="0.3">
      <c r="A1310" s="127">
        <v>7</v>
      </c>
      <c r="B1310" s="90" t="s">
        <v>331</v>
      </c>
      <c r="C1310" s="90">
        <f t="shared" si="280"/>
        <v>361.99331999999998</v>
      </c>
      <c r="D1310" s="91">
        <f>C1310*1.2</f>
        <v>434.39198399999998</v>
      </c>
      <c r="E1310" s="90">
        <v>0</v>
      </c>
      <c r="F1310" s="128">
        <f>C1310*(($F$469)+1)+(IF(E1310&lt;101,E1310,IF(E1310&lt;201,E1310/2,IF(E1310&lt;=301,E1310/3,E1310/4))))</f>
        <v>542.98997999999995</v>
      </c>
      <c r="G1310" s="43"/>
      <c r="H1310" s="43"/>
      <c r="K1310"/>
    </row>
    <row r="1311" spans="1:14" s="39" customFormat="1" ht="15.6" x14ac:dyDescent="0.3">
      <c r="A1311" s="127">
        <v>8</v>
      </c>
      <c r="B1311" s="90" t="s">
        <v>331</v>
      </c>
      <c r="C1311" s="90">
        <f t="shared" si="280"/>
        <v>361.99331999999998</v>
      </c>
      <c r="D1311" s="91">
        <f t="shared" ref="D1311:D1320" si="283">C1311*1.2</f>
        <v>434.39198399999998</v>
      </c>
      <c r="E1311" s="90">
        <v>0</v>
      </c>
      <c r="F1311" s="128">
        <f t="shared" ref="F1311:F1320" si="284">C1311*(($F$469)+1)+(IF(E1311&lt;101,E1311,IF(E1311&lt;201,E1311/2,IF(E1311&lt;=301,E1311/3,E1311/4))))</f>
        <v>542.98997999999995</v>
      </c>
      <c r="G1311" s="157"/>
      <c r="H1311" s="157"/>
      <c r="I1311" s="40"/>
      <c r="J1311" s="54"/>
      <c r="K1311"/>
      <c r="L1311" s="170"/>
      <c r="M1311" s="170"/>
      <c r="N1311" s="40"/>
    </row>
    <row r="1312" spans="1:14" x14ac:dyDescent="0.3">
      <c r="A1312" s="127">
        <v>9</v>
      </c>
      <c r="B1312" s="90" t="s">
        <v>331</v>
      </c>
      <c r="C1312" s="90">
        <f t="shared" si="280"/>
        <v>361.99331999999998</v>
      </c>
      <c r="D1312" s="91">
        <f t="shared" si="283"/>
        <v>434.39198399999998</v>
      </c>
      <c r="E1312" s="90">
        <v>0</v>
      </c>
      <c r="F1312" s="128">
        <f t="shared" si="284"/>
        <v>542.98997999999995</v>
      </c>
    </row>
    <row r="1313" spans="1:14" x14ac:dyDescent="0.3">
      <c r="A1313" s="127">
        <v>10</v>
      </c>
      <c r="B1313" s="90" t="s">
        <v>331</v>
      </c>
      <c r="C1313" s="90">
        <f t="shared" si="280"/>
        <v>361.99331999999998</v>
      </c>
      <c r="D1313" s="91">
        <f t="shared" si="283"/>
        <v>434.39198399999998</v>
      </c>
      <c r="E1313" s="90">
        <v>0</v>
      </c>
      <c r="F1313" s="128">
        <f t="shared" si="284"/>
        <v>542.98997999999995</v>
      </c>
    </row>
    <row r="1314" spans="1:14" ht="15.6" x14ac:dyDescent="0.3">
      <c r="A1314" s="127">
        <v>11</v>
      </c>
      <c r="B1314" s="90" t="s">
        <v>331</v>
      </c>
      <c r="C1314" s="90">
        <f t="shared" si="280"/>
        <v>361.99331999999998</v>
      </c>
      <c r="D1314" s="91">
        <f t="shared" si="283"/>
        <v>434.39198399999998</v>
      </c>
      <c r="E1314" s="90">
        <v>0</v>
      </c>
      <c r="F1314" s="128">
        <f t="shared" si="284"/>
        <v>542.98997999999995</v>
      </c>
      <c r="K1314" s="40"/>
    </row>
    <row r="1315" spans="1:14" ht="15.6" x14ac:dyDescent="0.3">
      <c r="A1315" s="127">
        <v>12</v>
      </c>
      <c r="B1315" s="90" t="s">
        <v>331</v>
      </c>
      <c r="C1315" s="90">
        <f t="shared" si="280"/>
        <v>361.99331999999998</v>
      </c>
      <c r="D1315" s="91">
        <f t="shared" si="283"/>
        <v>434.39198399999998</v>
      </c>
      <c r="E1315" s="90">
        <v>0</v>
      </c>
      <c r="F1315" s="128">
        <f t="shared" si="284"/>
        <v>542.98997999999995</v>
      </c>
      <c r="K1315" s="39"/>
    </row>
    <row r="1316" spans="1:14" s="39" customFormat="1" ht="15.6" x14ac:dyDescent="0.3">
      <c r="A1316" s="127">
        <v>13</v>
      </c>
      <c r="B1316" s="90" t="s">
        <v>331</v>
      </c>
      <c r="C1316" s="90">
        <f t="shared" si="280"/>
        <v>361.99331999999998</v>
      </c>
      <c r="D1316" s="91">
        <f t="shared" si="283"/>
        <v>434.39198399999998</v>
      </c>
      <c r="E1316" s="90">
        <v>0</v>
      </c>
      <c r="F1316" s="128">
        <f t="shared" si="284"/>
        <v>542.98997999999995</v>
      </c>
      <c r="G1316" s="157"/>
      <c r="H1316" s="157"/>
      <c r="I1316" s="40"/>
      <c r="J1316" s="54"/>
      <c r="K1316"/>
      <c r="L1316" s="170"/>
      <c r="M1316" s="170"/>
      <c r="N1316" s="40"/>
    </row>
    <row r="1317" spans="1:14" x14ac:dyDescent="0.3">
      <c r="A1317" s="127">
        <v>14</v>
      </c>
      <c r="B1317" s="90" t="s">
        <v>331</v>
      </c>
      <c r="C1317" s="90">
        <f t="shared" si="280"/>
        <v>361.99331999999998</v>
      </c>
      <c r="D1317" s="91">
        <f t="shared" si="283"/>
        <v>434.39198399999998</v>
      </c>
      <c r="E1317" s="90">
        <v>0</v>
      </c>
      <c r="F1317" s="128">
        <f t="shared" si="284"/>
        <v>542.98997999999995</v>
      </c>
    </row>
    <row r="1318" spans="1:14" x14ac:dyDescent="0.3">
      <c r="A1318" s="127">
        <v>15</v>
      </c>
      <c r="B1318" s="90" t="s">
        <v>331</v>
      </c>
      <c r="C1318" s="90">
        <f t="shared" si="280"/>
        <v>361.99331999999998</v>
      </c>
      <c r="D1318" s="91">
        <f t="shared" si="283"/>
        <v>434.39198399999998</v>
      </c>
      <c r="E1318" s="90">
        <v>0</v>
      </c>
      <c r="F1318" s="128">
        <f t="shared" si="284"/>
        <v>542.98997999999995</v>
      </c>
    </row>
    <row r="1319" spans="1:14" ht="15.6" x14ac:dyDescent="0.3">
      <c r="A1319" s="127">
        <v>16</v>
      </c>
      <c r="B1319" s="90" t="s">
        <v>331</v>
      </c>
      <c r="C1319" s="90">
        <f t="shared" si="280"/>
        <v>361.99331999999998</v>
      </c>
      <c r="D1319" s="91">
        <f t="shared" si="283"/>
        <v>434.39198399999998</v>
      </c>
      <c r="E1319" s="90">
        <v>0</v>
      </c>
      <c r="F1319" s="128">
        <f t="shared" si="284"/>
        <v>542.98997999999995</v>
      </c>
      <c r="K1319" s="40"/>
    </row>
    <row r="1320" spans="1:14" ht="15.6" x14ac:dyDescent="0.3">
      <c r="A1320" s="127">
        <v>17</v>
      </c>
      <c r="B1320" s="90" t="s">
        <v>331</v>
      </c>
      <c r="C1320" s="90">
        <f t="shared" si="280"/>
        <v>361.99331999999998</v>
      </c>
      <c r="D1320" s="91">
        <f t="shared" si="283"/>
        <v>434.39198399999998</v>
      </c>
      <c r="E1320" s="90">
        <v>0</v>
      </c>
      <c r="F1320" s="128">
        <f t="shared" si="284"/>
        <v>542.98997999999995</v>
      </c>
      <c r="K1320" s="39"/>
    </row>
    <row r="1321" spans="1:14" s="39" customFormat="1" ht="15.75" customHeight="1" x14ac:dyDescent="0.3">
      <c r="A1321" s="127">
        <v>18</v>
      </c>
      <c r="B1321" s="90" t="s">
        <v>331</v>
      </c>
      <c r="C1321" s="90">
        <f t="shared" si="280"/>
        <v>361.99331999999998</v>
      </c>
      <c r="D1321" s="91">
        <f>C1321*1.2</f>
        <v>434.39198399999998</v>
      </c>
      <c r="E1321" s="90">
        <v>0</v>
      </c>
      <c r="F1321" s="128">
        <f>C1321*(($F$469)+1)+(IF(E1321&lt;101,E1321,IF(E1321&lt;201,E1321/2,IF(E1321&lt;=301,E1321/3,E1321/4))))</f>
        <v>542.98997999999995</v>
      </c>
      <c r="G1321" s="43"/>
      <c r="H1321" s="43"/>
      <c r="K1321"/>
    </row>
    <row r="1322" spans="1:14" s="39" customFormat="1" ht="15.6" x14ac:dyDescent="0.3">
      <c r="A1322" s="127">
        <v>19</v>
      </c>
      <c r="B1322" s="90" t="s">
        <v>331</v>
      </c>
      <c r="C1322" s="90">
        <f t="shared" si="280"/>
        <v>361.99331999999998</v>
      </c>
      <c r="D1322" s="91">
        <f t="shared" ref="D1322:D1339" si="285">C1322*1.2</f>
        <v>434.39198399999998</v>
      </c>
      <c r="E1322" s="90">
        <v>0</v>
      </c>
      <c r="F1322" s="128">
        <f t="shared" ref="F1322:F1339" si="286">C1322*(($F$469)+1)+(IF(E1322&lt;101,E1322,IF(E1322&lt;201,E1322/2,IF(E1322&lt;=301,E1322/3,E1322/4))))</f>
        <v>542.98997999999995</v>
      </c>
      <c r="G1322" s="157"/>
      <c r="H1322" s="157"/>
      <c r="I1322" s="40"/>
      <c r="J1322" s="54"/>
      <c r="K1322"/>
      <c r="L1322" s="170"/>
      <c r="M1322" s="170"/>
      <c r="N1322" s="40"/>
    </row>
    <row r="1323" spans="1:14" x14ac:dyDescent="0.3">
      <c r="A1323" s="127">
        <v>20</v>
      </c>
      <c r="B1323" s="90" t="s">
        <v>331</v>
      </c>
      <c r="C1323" s="90">
        <f t="shared" si="280"/>
        <v>361.99331999999998</v>
      </c>
      <c r="D1323" s="91">
        <f t="shared" si="285"/>
        <v>434.39198399999998</v>
      </c>
      <c r="E1323" s="90">
        <v>0</v>
      </c>
      <c r="F1323" s="128">
        <f t="shared" si="286"/>
        <v>542.98997999999995</v>
      </c>
    </row>
    <row r="1324" spans="1:14" x14ac:dyDescent="0.3">
      <c r="A1324" s="127">
        <v>21</v>
      </c>
      <c r="B1324" s="90" t="s">
        <v>331</v>
      </c>
      <c r="C1324" s="90">
        <f t="shared" si="280"/>
        <v>361.99331999999998</v>
      </c>
      <c r="D1324" s="91">
        <f t="shared" si="285"/>
        <v>434.39198399999998</v>
      </c>
      <c r="E1324" s="90">
        <v>0</v>
      </c>
      <c r="F1324" s="128">
        <f t="shared" si="286"/>
        <v>542.98997999999995</v>
      </c>
    </row>
    <row r="1325" spans="1:14" ht="15.6" x14ac:dyDescent="0.3">
      <c r="A1325" s="127">
        <v>22</v>
      </c>
      <c r="B1325" s="90" t="s">
        <v>331</v>
      </c>
      <c r="C1325" s="90">
        <f t="shared" si="280"/>
        <v>361.99331999999998</v>
      </c>
      <c r="D1325" s="91">
        <f t="shared" si="285"/>
        <v>434.39198399999998</v>
      </c>
      <c r="E1325" s="90">
        <v>0</v>
      </c>
      <c r="F1325" s="128">
        <f t="shared" si="286"/>
        <v>542.98997999999995</v>
      </c>
      <c r="K1325" s="40"/>
    </row>
    <row r="1326" spans="1:14" ht="15.6" x14ac:dyDescent="0.3">
      <c r="A1326" s="127">
        <v>23</v>
      </c>
      <c r="B1326" s="90" t="s">
        <v>331</v>
      </c>
      <c r="C1326" s="90">
        <f t="shared" si="280"/>
        <v>361.99331999999998</v>
      </c>
      <c r="D1326" s="91">
        <f t="shared" si="285"/>
        <v>434.39198399999998</v>
      </c>
      <c r="E1326" s="90">
        <v>0</v>
      </c>
      <c r="F1326" s="128">
        <f t="shared" si="286"/>
        <v>542.98997999999995</v>
      </c>
      <c r="K1326" s="39"/>
    </row>
    <row r="1327" spans="1:14" x14ac:dyDescent="0.3">
      <c r="A1327" s="127">
        <v>24</v>
      </c>
      <c r="B1327" s="90" t="s">
        <v>331</v>
      </c>
      <c r="C1327" s="90">
        <f t="shared" si="280"/>
        <v>361.99331999999998</v>
      </c>
      <c r="D1327" s="91">
        <f t="shared" si="285"/>
        <v>434.39198399999998</v>
      </c>
      <c r="E1327" s="90">
        <v>0</v>
      </c>
      <c r="F1327" s="128">
        <f t="shared" si="286"/>
        <v>542.98997999999995</v>
      </c>
    </row>
    <row r="1328" spans="1:14" x14ac:dyDescent="0.3">
      <c r="A1328" s="127">
        <v>25</v>
      </c>
      <c r="B1328" s="90" t="s">
        <v>331</v>
      </c>
      <c r="C1328" s="90">
        <f t="shared" si="280"/>
        <v>361.99331999999998</v>
      </c>
      <c r="D1328" s="91">
        <f t="shared" si="285"/>
        <v>434.39198399999998</v>
      </c>
      <c r="E1328" s="90">
        <v>0</v>
      </c>
      <c r="F1328" s="128">
        <f t="shared" si="286"/>
        <v>542.98997999999995</v>
      </c>
    </row>
    <row r="1329" spans="1:14" ht="15.6" x14ac:dyDescent="0.3">
      <c r="A1329" s="127">
        <v>26</v>
      </c>
      <c r="B1329" s="90" t="s">
        <v>331</v>
      </c>
      <c r="C1329" s="90">
        <f t="shared" si="280"/>
        <v>361.99331999999998</v>
      </c>
      <c r="D1329" s="91">
        <f t="shared" si="285"/>
        <v>434.39198399999998</v>
      </c>
      <c r="E1329" s="90">
        <v>0</v>
      </c>
      <c r="F1329" s="128">
        <f t="shared" si="286"/>
        <v>542.98997999999995</v>
      </c>
      <c r="K1329" s="40"/>
    </row>
    <row r="1330" spans="1:14" ht="15.6" x14ac:dyDescent="0.3">
      <c r="A1330" s="127">
        <v>27</v>
      </c>
      <c r="B1330" s="90" t="s">
        <v>331</v>
      </c>
      <c r="C1330" s="90">
        <f t="shared" si="280"/>
        <v>361.99331999999998</v>
      </c>
      <c r="D1330" s="91">
        <f t="shared" si="285"/>
        <v>434.39198399999998</v>
      </c>
      <c r="E1330" s="90">
        <v>0</v>
      </c>
      <c r="F1330" s="128">
        <f t="shared" si="286"/>
        <v>542.98997999999995</v>
      </c>
      <c r="K1330" s="39"/>
    </row>
    <row r="1331" spans="1:14" ht="15.6" x14ac:dyDescent="0.3">
      <c r="A1331" s="127">
        <v>28</v>
      </c>
      <c r="B1331" s="90" t="s">
        <v>331</v>
      </c>
      <c r="C1331" s="90">
        <f t="shared" si="280"/>
        <v>361.99331999999998</v>
      </c>
      <c r="D1331" s="91">
        <f t="shared" si="285"/>
        <v>434.39198399999998</v>
      </c>
      <c r="E1331" s="90">
        <v>0</v>
      </c>
      <c r="F1331" s="128">
        <f t="shared" si="286"/>
        <v>542.98997999999995</v>
      </c>
      <c r="K1331" s="39"/>
    </row>
    <row r="1332" spans="1:14" ht="15.6" x14ac:dyDescent="0.3">
      <c r="A1332" s="127">
        <v>29</v>
      </c>
      <c r="B1332" s="90" t="s">
        <v>331</v>
      </c>
      <c r="C1332" s="90">
        <f t="shared" si="280"/>
        <v>361.99331999999998</v>
      </c>
      <c r="D1332" s="91">
        <f t="shared" si="285"/>
        <v>434.39198399999998</v>
      </c>
      <c r="E1332" s="90">
        <v>0</v>
      </c>
      <c r="F1332" s="128">
        <f t="shared" si="286"/>
        <v>542.98997999999995</v>
      </c>
      <c r="K1332" s="40"/>
    </row>
    <row r="1333" spans="1:14" ht="15.6" x14ac:dyDescent="0.3">
      <c r="A1333" s="127">
        <v>30</v>
      </c>
      <c r="B1333" s="90" t="s">
        <v>331</v>
      </c>
      <c r="C1333" s="90">
        <f t="shared" si="280"/>
        <v>361.99331999999998</v>
      </c>
      <c r="D1333" s="91">
        <f t="shared" si="285"/>
        <v>434.39198399999998</v>
      </c>
      <c r="E1333" s="90">
        <v>0</v>
      </c>
      <c r="F1333" s="128">
        <f t="shared" si="286"/>
        <v>542.98997999999995</v>
      </c>
      <c r="K1333" s="39"/>
    </row>
    <row r="1334" spans="1:14" x14ac:dyDescent="0.3">
      <c r="A1334" s="127">
        <v>31</v>
      </c>
      <c r="B1334" s="90" t="s">
        <v>331</v>
      </c>
      <c r="C1334" s="90">
        <f t="shared" si="280"/>
        <v>361.99331999999998</v>
      </c>
      <c r="D1334" s="91">
        <f t="shared" si="285"/>
        <v>434.39198399999998</v>
      </c>
      <c r="E1334" s="90">
        <v>0</v>
      </c>
      <c r="F1334" s="128">
        <f t="shared" si="286"/>
        <v>542.98997999999995</v>
      </c>
    </row>
    <row r="1335" spans="1:14" x14ac:dyDescent="0.3">
      <c r="A1335" s="127">
        <v>32</v>
      </c>
      <c r="B1335" s="90" t="s">
        <v>331</v>
      </c>
      <c r="C1335" s="90">
        <f t="shared" si="280"/>
        <v>361.99331999999998</v>
      </c>
      <c r="D1335" s="91">
        <f t="shared" si="285"/>
        <v>434.39198399999998</v>
      </c>
      <c r="E1335" s="90">
        <v>0</v>
      </c>
      <c r="F1335" s="128">
        <f t="shared" si="286"/>
        <v>542.98997999999995</v>
      </c>
    </row>
    <row r="1336" spans="1:14" ht="15.6" x14ac:dyDescent="0.3">
      <c r="A1336" s="127">
        <v>33</v>
      </c>
      <c r="B1336" s="90" t="s">
        <v>331</v>
      </c>
      <c r="C1336" s="90">
        <f t="shared" si="280"/>
        <v>361.99331999999998</v>
      </c>
      <c r="D1336" s="91">
        <f t="shared" si="285"/>
        <v>434.39198399999998</v>
      </c>
      <c r="E1336" s="90">
        <v>0</v>
      </c>
      <c r="F1336" s="128">
        <f t="shared" si="286"/>
        <v>542.98997999999995</v>
      </c>
      <c r="K1336" s="40"/>
    </row>
    <row r="1337" spans="1:14" ht="15.6" x14ac:dyDescent="0.3">
      <c r="A1337" s="127">
        <v>34</v>
      </c>
      <c r="B1337" s="90" t="s">
        <v>331</v>
      </c>
      <c r="C1337" s="90">
        <f t="shared" si="280"/>
        <v>361.99331999999998</v>
      </c>
      <c r="D1337" s="91">
        <f t="shared" si="285"/>
        <v>434.39198399999998</v>
      </c>
      <c r="E1337" s="90">
        <v>0</v>
      </c>
      <c r="F1337" s="128">
        <f t="shared" si="286"/>
        <v>542.98997999999995</v>
      </c>
      <c r="K1337" s="39"/>
    </row>
    <row r="1338" spans="1:14" ht="15.6" x14ac:dyDescent="0.3">
      <c r="A1338" s="127">
        <v>35</v>
      </c>
      <c r="B1338" s="90" t="s">
        <v>331</v>
      </c>
      <c r="C1338" s="90">
        <f t="shared" si="280"/>
        <v>361.99331999999998</v>
      </c>
      <c r="D1338" s="91">
        <f t="shared" si="285"/>
        <v>434.39198399999998</v>
      </c>
      <c r="E1338" s="90">
        <v>0</v>
      </c>
      <c r="F1338" s="128">
        <f t="shared" si="286"/>
        <v>542.98997999999995</v>
      </c>
      <c r="K1338" s="39"/>
    </row>
    <row r="1339" spans="1:14" ht="15.6" x14ac:dyDescent="0.3">
      <c r="A1339" s="127">
        <v>36</v>
      </c>
      <c r="B1339" s="90" t="s">
        <v>331</v>
      </c>
      <c r="C1339" s="90">
        <f t="shared" si="280"/>
        <v>361.99331999999998</v>
      </c>
      <c r="D1339" s="91">
        <f t="shared" si="285"/>
        <v>434.39198399999998</v>
      </c>
      <c r="E1339" s="90">
        <v>0</v>
      </c>
      <c r="F1339" s="128">
        <f t="shared" si="286"/>
        <v>542.98997999999995</v>
      </c>
      <c r="K1339" s="39"/>
    </row>
    <row r="1340" spans="1:14" s="39" customFormat="1" ht="15.75" customHeight="1" x14ac:dyDescent="0.3">
      <c r="A1340" s="151" t="s">
        <v>334</v>
      </c>
      <c r="B1340" s="152"/>
      <c r="C1340" s="152"/>
      <c r="D1340" s="152"/>
      <c r="E1340" s="152"/>
      <c r="F1340" s="153"/>
      <c r="G1340" s="43"/>
      <c r="H1340" s="43"/>
      <c r="K1340" s="40"/>
    </row>
    <row r="1341" spans="1:14" s="39" customFormat="1" ht="15.75" customHeight="1" x14ac:dyDescent="0.3">
      <c r="A1341" s="127">
        <v>1</v>
      </c>
      <c r="B1341" s="90" t="s">
        <v>331</v>
      </c>
      <c r="C1341" s="90">
        <f>(27.66+1.2*1.8+1.2*1.2+3.16*0.75)*10.764</f>
        <v>361.99331999999998</v>
      </c>
      <c r="D1341" s="91">
        <f>C1341*1.2</f>
        <v>434.39198399999998</v>
      </c>
      <c r="E1341" s="90">
        <v>0</v>
      </c>
      <c r="F1341" s="128">
        <f>C1341*(($F$469)+1)+(IF(E1341&lt;101,E1341,IF(E1341&lt;201,E1341/2,IF(E1341&lt;=301,E1341/3,E1341/4))))</f>
        <v>542.98997999999995</v>
      </c>
      <c r="G1341" s="43"/>
      <c r="H1341" s="43"/>
      <c r="K1341"/>
    </row>
    <row r="1342" spans="1:14" s="39" customFormat="1" ht="15.6" x14ac:dyDescent="0.3">
      <c r="A1342" s="127">
        <v>2</v>
      </c>
      <c r="B1342" s="90" t="s">
        <v>331</v>
      </c>
      <c r="C1342" s="90">
        <f t="shared" ref="C1342:C1344" si="287">(27.66+1.2*1.8+1.2*1.2+3.16*0.75)*10.764</f>
        <v>361.99331999999998</v>
      </c>
      <c r="D1342" s="91">
        <f t="shared" ref="D1342:D1344" si="288">C1342*1.2</f>
        <v>434.39198399999998</v>
      </c>
      <c r="E1342" s="90">
        <v>0</v>
      </c>
      <c r="F1342" s="128">
        <f t="shared" ref="F1342:F1346" si="289">C1342*(($F$469)+1)+(IF(E1342&lt;101,E1342,IF(E1342&lt;201,E1342/2,IF(E1342&lt;=301,E1342/3,E1342/4))))</f>
        <v>542.98997999999995</v>
      </c>
      <c r="G1342" s="157"/>
      <c r="H1342" s="157"/>
      <c r="I1342" s="40"/>
      <c r="J1342" s="54"/>
      <c r="K1342"/>
      <c r="L1342" s="170"/>
      <c r="M1342" s="170"/>
      <c r="N1342" s="40"/>
    </row>
    <row r="1343" spans="1:14" x14ac:dyDescent="0.3">
      <c r="A1343" s="127">
        <v>3</v>
      </c>
      <c r="B1343" s="90" t="s">
        <v>331</v>
      </c>
      <c r="C1343" s="90">
        <f t="shared" si="287"/>
        <v>361.99331999999998</v>
      </c>
      <c r="D1343" s="91">
        <f t="shared" si="288"/>
        <v>434.39198399999998</v>
      </c>
      <c r="E1343" s="90">
        <v>0</v>
      </c>
      <c r="F1343" s="128">
        <f t="shared" si="289"/>
        <v>542.98997999999995</v>
      </c>
    </row>
    <row r="1344" spans="1:14" x14ac:dyDescent="0.3">
      <c r="A1344" s="127">
        <v>4</v>
      </c>
      <c r="B1344" s="90" t="s">
        <v>331</v>
      </c>
      <c r="C1344" s="90">
        <f t="shared" si="287"/>
        <v>361.99331999999998</v>
      </c>
      <c r="D1344" s="91">
        <f t="shared" si="288"/>
        <v>434.39198399999998</v>
      </c>
      <c r="E1344" s="90">
        <v>0</v>
      </c>
      <c r="F1344" s="128">
        <f t="shared" si="289"/>
        <v>542.98997999999995</v>
      </c>
    </row>
    <row r="1345" spans="1:14" ht="15.6" x14ac:dyDescent="0.3">
      <c r="A1345" s="127">
        <v>5</v>
      </c>
      <c r="B1345" s="159" t="s">
        <v>335</v>
      </c>
      <c r="C1345" s="160"/>
      <c r="D1345" s="160"/>
      <c r="E1345" s="161"/>
      <c r="F1345" s="128">
        <f t="shared" si="289"/>
        <v>0</v>
      </c>
      <c r="K1345" s="40"/>
    </row>
    <row r="1346" spans="1:14" ht="15.6" x14ac:dyDescent="0.3">
      <c r="A1346" s="127">
        <v>6</v>
      </c>
      <c r="B1346" s="165"/>
      <c r="C1346" s="166"/>
      <c r="D1346" s="166"/>
      <c r="E1346" s="167"/>
      <c r="F1346" s="128">
        <f t="shared" si="289"/>
        <v>0</v>
      </c>
      <c r="K1346" s="39"/>
    </row>
    <row r="1347" spans="1:14" s="39" customFormat="1" ht="15.75" customHeight="1" x14ac:dyDescent="0.3">
      <c r="A1347" s="127">
        <v>7</v>
      </c>
      <c r="B1347" s="90" t="s">
        <v>331</v>
      </c>
      <c r="C1347" s="90">
        <f t="shared" ref="C1347:C1376" si="290">(27.66+1.2*1.8+1.2*1.2+3.16*0.75)*10.764</f>
        <v>361.99331999999998</v>
      </c>
      <c r="D1347" s="91">
        <f>C1347*1.2</f>
        <v>434.39198399999998</v>
      </c>
      <c r="E1347" s="90">
        <v>0</v>
      </c>
      <c r="F1347" s="128">
        <f>C1347*(($F$469)+1)+(IF(E1347&lt;101,E1347,IF(E1347&lt;201,E1347/2,IF(E1347&lt;=301,E1347/3,E1347/4))))</f>
        <v>542.98997999999995</v>
      </c>
      <c r="G1347" s="43"/>
      <c r="H1347" s="43"/>
      <c r="K1347"/>
    </row>
    <row r="1348" spans="1:14" s="39" customFormat="1" ht="15.6" x14ac:dyDescent="0.3">
      <c r="A1348" s="127">
        <v>8</v>
      </c>
      <c r="B1348" s="90" t="s">
        <v>331</v>
      </c>
      <c r="C1348" s="90">
        <f t="shared" si="290"/>
        <v>361.99331999999998</v>
      </c>
      <c r="D1348" s="91">
        <f t="shared" ref="D1348:D1357" si="291">C1348*1.2</f>
        <v>434.39198399999998</v>
      </c>
      <c r="E1348" s="90">
        <v>0</v>
      </c>
      <c r="F1348" s="128">
        <f t="shared" ref="F1348:F1357" si="292">C1348*(($F$469)+1)+(IF(E1348&lt;101,E1348,IF(E1348&lt;201,E1348/2,IF(E1348&lt;=301,E1348/3,E1348/4))))</f>
        <v>542.98997999999995</v>
      </c>
      <c r="G1348" s="157"/>
      <c r="H1348" s="157"/>
      <c r="I1348" s="40"/>
      <c r="J1348" s="54"/>
      <c r="K1348"/>
      <c r="L1348" s="170"/>
      <c r="M1348" s="170"/>
      <c r="N1348" s="40"/>
    </row>
    <row r="1349" spans="1:14" x14ac:dyDescent="0.3">
      <c r="A1349" s="127">
        <v>9</v>
      </c>
      <c r="B1349" s="90" t="s">
        <v>331</v>
      </c>
      <c r="C1349" s="90">
        <f t="shared" si="290"/>
        <v>361.99331999999998</v>
      </c>
      <c r="D1349" s="91">
        <f t="shared" si="291"/>
        <v>434.39198399999998</v>
      </c>
      <c r="E1349" s="90">
        <v>0</v>
      </c>
      <c r="F1349" s="128">
        <f t="shared" si="292"/>
        <v>542.98997999999995</v>
      </c>
    </row>
    <row r="1350" spans="1:14" x14ac:dyDescent="0.3">
      <c r="A1350" s="127">
        <v>10</v>
      </c>
      <c r="B1350" s="90" t="s">
        <v>331</v>
      </c>
      <c r="C1350" s="90">
        <f t="shared" si="290"/>
        <v>361.99331999999998</v>
      </c>
      <c r="D1350" s="91">
        <f t="shared" si="291"/>
        <v>434.39198399999998</v>
      </c>
      <c r="E1350" s="90">
        <v>0</v>
      </c>
      <c r="F1350" s="128">
        <f t="shared" si="292"/>
        <v>542.98997999999995</v>
      </c>
    </row>
    <row r="1351" spans="1:14" ht="15.6" x14ac:dyDescent="0.3">
      <c r="A1351" s="127">
        <v>11</v>
      </c>
      <c r="B1351" s="90" t="s">
        <v>331</v>
      </c>
      <c r="C1351" s="90">
        <f t="shared" si="290"/>
        <v>361.99331999999998</v>
      </c>
      <c r="D1351" s="91">
        <f t="shared" si="291"/>
        <v>434.39198399999998</v>
      </c>
      <c r="E1351" s="90">
        <v>0</v>
      </c>
      <c r="F1351" s="128">
        <f t="shared" si="292"/>
        <v>542.98997999999995</v>
      </c>
      <c r="K1351" s="40"/>
    </row>
    <row r="1352" spans="1:14" ht="15.6" x14ac:dyDescent="0.3">
      <c r="A1352" s="127">
        <v>12</v>
      </c>
      <c r="B1352" s="90" t="s">
        <v>331</v>
      </c>
      <c r="C1352" s="90">
        <f t="shared" si="290"/>
        <v>361.99331999999998</v>
      </c>
      <c r="D1352" s="91">
        <f t="shared" si="291"/>
        <v>434.39198399999998</v>
      </c>
      <c r="E1352" s="90">
        <v>0</v>
      </c>
      <c r="F1352" s="128">
        <f t="shared" si="292"/>
        <v>542.98997999999995</v>
      </c>
      <c r="K1352" s="39"/>
    </row>
    <row r="1353" spans="1:14" s="39" customFormat="1" ht="15.6" x14ac:dyDescent="0.3">
      <c r="A1353" s="127">
        <v>13</v>
      </c>
      <c r="B1353" s="90" t="s">
        <v>331</v>
      </c>
      <c r="C1353" s="90">
        <f t="shared" si="290"/>
        <v>361.99331999999998</v>
      </c>
      <c r="D1353" s="91">
        <f t="shared" si="291"/>
        <v>434.39198399999998</v>
      </c>
      <c r="E1353" s="90">
        <v>0</v>
      </c>
      <c r="F1353" s="128">
        <f t="shared" si="292"/>
        <v>542.98997999999995</v>
      </c>
      <c r="G1353" s="157"/>
      <c r="H1353" s="157"/>
      <c r="I1353" s="40"/>
      <c r="J1353" s="54"/>
      <c r="K1353"/>
      <c r="L1353" s="170"/>
      <c r="M1353" s="170"/>
      <c r="N1353" s="40"/>
    </row>
    <row r="1354" spans="1:14" x14ac:dyDescent="0.3">
      <c r="A1354" s="127">
        <v>14</v>
      </c>
      <c r="B1354" s="90" t="s">
        <v>331</v>
      </c>
      <c r="C1354" s="90">
        <f t="shared" si="290"/>
        <v>361.99331999999998</v>
      </c>
      <c r="D1354" s="91">
        <f t="shared" si="291"/>
        <v>434.39198399999998</v>
      </c>
      <c r="E1354" s="90">
        <v>0</v>
      </c>
      <c r="F1354" s="128">
        <f t="shared" si="292"/>
        <v>542.98997999999995</v>
      </c>
    </row>
    <row r="1355" spans="1:14" x14ac:dyDescent="0.3">
      <c r="A1355" s="127">
        <v>15</v>
      </c>
      <c r="B1355" s="90" t="s">
        <v>331</v>
      </c>
      <c r="C1355" s="90">
        <f t="shared" si="290"/>
        <v>361.99331999999998</v>
      </c>
      <c r="D1355" s="91">
        <f t="shared" si="291"/>
        <v>434.39198399999998</v>
      </c>
      <c r="E1355" s="90">
        <v>0</v>
      </c>
      <c r="F1355" s="128">
        <f t="shared" si="292"/>
        <v>542.98997999999995</v>
      </c>
    </row>
    <row r="1356" spans="1:14" ht="15.6" x14ac:dyDescent="0.3">
      <c r="A1356" s="127">
        <v>16</v>
      </c>
      <c r="B1356" s="90" t="s">
        <v>331</v>
      </c>
      <c r="C1356" s="90">
        <f t="shared" si="290"/>
        <v>361.99331999999998</v>
      </c>
      <c r="D1356" s="91">
        <f t="shared" si="291"/>
        <v>434.39198399999998</v>
      </c>
      <c r="E1356" s="90">
        <v>0</v>
      </c>
      <c r="F1356" s="128">
        <f t="shared" si="292"/>
        <v>542.98997999999995</v>
      </c>
      <c r="K1356" s="40"/>
    </row>
    <row r="1357" spans="1:14" ht="15.6" x14ac:dyDescent="0.3">
      <c r="A1357" s="127">
        <v>17</v>
      </c>
      <c r="B1357" s="90" t="s">
        <v>331</v>
      </c>
      <c r="C1357" s="90">
        <f t="shared" si="290"/>
        <v>361.99331999999998</v>
      </c>
      <c r="D1357" s="91">
        <f t="shared" si="291"/>
        <v>434.39198399999998</v>
      </c>
      <c r="E1357" s="90">
        <v>0</v>
      </c>
      <c r="F1357" s="128">
        <f t="shared" si="292"/>
        <v>542.98997999999995</v>
      </c>
      <c r="K1357" s="39"/>
    </row>
    <row r="1358" spans="1:14" s="39" customFormat="1" ht="15.75" customHeight="1" x14ac:dyDescent="0.3">
      <c r="A1358" s="127">
        <v>18</v>
      </c>
      <c r="B1358" s="90" t="s">
        <v>331</v>
      </c>
      <c r="C1358" s="90">
        <f t="shared" si="290"/>
        <v>361.99331999999998</v>
      </c>
      <c r="D1358" s="91">
        <f>C1358*1.2</f>
        <v>434.39198399999998</v>
      </c>
      <c r="E1358" s="90">
        <v>0</v>
      </c>
      <c r="F1358" s="128">
        <f>C1358*(($F$469)+1)+(IF(E1358&lt;101,E1358,IF(E1358&lt;201,E1358/2,IF(E1358&lt;=301,E1358/3,E1358/4))))</f>
        <v>542.98997999999995</v>
      </c>
      <c r="G1358" s="43"/>
      <c r="H1358" s="43"/>
      <c r="K1358"/>
    </row>
    <row r="1359" spans="1:14" s="39" customFormat="1" ht="15.6" x14ac:dyDescent="0.3">
      <c r="A1359" s="127">
        <v>19</v>
      </c>
      <c r="B1359" s="90" t="s">
        <v>331</v>
      </c>
      <c r="C1359" s="90">
        <f t="shared" si="290"/>
        <v>361.99331999999998</v>
      </c>
      <c r="D1359" s="91">
        <f t="shared" ref="D1359:D1376" si="293">C1359*1.2</f>
        <v>434.39198399999998</v>
      </c>
      <c r="E1359" s="90">
        <v>0</v>
      </c>
      <c r="F1359" s="128">
        <f t="shared" ref="F1359:F1376" si="294">C1359*(($F$469)+1)+(IF(E1359&lt;101,E1359,IF(E1359&lt;201,E1359/2,IF(E1359&lt;=301,E1359/3,E1359/4))))</f>
        <v>542.98997999999995</v>
      </c>
      <c r="G1359" s="157"/>
      <c r="H1359" s="157"/>
      <c r="I1359" s="40"/>
      <c r="J1359" s="54"/>
      <c r="K1359"/>
      <c r="L1359" s="170"/>
      <c r="M1359" s="170"/>
      <c r="N1359" s="40"/>
    </row>
    <row r="1360" spans="1:14" x14ac:dyDescent="0.3">
      <c r="A1360" s="127">
        <v>20</v>
      </c>
      <c r="B1360" s="90" t="s">
        <v>331</v>
      </c>
      <c r="C1360" s="90">
        <f t="shared" si="290"/>
        <v>361.99331999999998</v>
      </c>
      <c r="D1360" s="91">
        <f t="shared" si="293"/>
        <v>434.39198399999998</v>
      </c>
      <c r="E1360" s="90">
        <v>0</v>
      </c>
      <c r="F1360" s="128">
        <f t="shared" si="294"/>
        <v>542.98997999999995</v>
      </c>
    </row>
    <row r="1361" spans="1:11" x14ac:dyDescent="0.3">
      <c r="A1361" s="127">
        <v>21</v>
      </c>
      <c r="B1361" s="90" t="s">
        <v>331</v>
      </c>
      <c r="C1361" s="90">
        <f t="shared" si="290"/>
        <v>361.99331999999998</v>
      </c>
      <c r="D1361" s="91">
        <f t="shared" si="293"/>
        <v>434.39198399999998</v>
      </c>
      <c r="E1361" s="90">
        <v>0</v>
      </c>
      <c r="F1361" s="128">
        <f t="shared" si="294"/>
        <v>542.98997999999995</v>
      </c>
    </row>
    <row r="1362" spans="1:11" ht="15.6" x14ac:dyDescent="0.3">
      <c r="A1362" s="127">
        <v>22</v>
      </c>
      <c r="B1362" s="90" t="s">
        <v>331</v>
      </c>
      <c r="C1362" s="90">
        <f t="shared" si="290"/>
        <v>361.99331999999998</v>
      </c>
      <c r="D1362" s="91">
        <f t="shared" si="293"/>
        <v>434.39198399999998</v>
      </c>
      <c r="E1362" s="90">
        <v>0</v>
      </c>
      <c r="F1362" s="128">
        <f t="shared" si="294"/>
        <v>542.98997999999995</v>
      </c>
      <c r="K1362" s="40"/>
    </row>
    <row r="1363" spans="1:11" ht="15.6" x14ac:dyDescent="0.3">
      <c r="A1363" s="127">
        <v>23</v>
      </c>
      <c r="B1363" s="171" t="s">
        <v>335</v>
      </c>
      <c r="C1363" s="172"/>
      <c r="D1363" s="172"/>
      <c r="E1363" s="173"/>
      <c r="F1363" s="128">
        <f t="shared" si="294"/>
        <v>0</v>
      </c>
      <c r="K1363" s="39"/>
    </row>
    <row r="1364" spans="1:11" x14ac:dyDescent="0.3">
      <c r="A1364" s="127">
        <v>24</v>
      </c>
      <c r="B1364" s="90" t="s">
        <v>331</v>
      </c>
      <c r="C1364" s="90">
        <f t="shared" si="290"/>
        <v>361.99331999999998</v>
      </c>
      <c r="D1364" s="91">
        <f t="shared" si="293"/>
        <v>434.39198399999998</v>
      </c>
      <c r="E1364" s="90">
        <v>0</v>
      </c>
      <c r="F1364" s="128">
        <f t="shared" si="294"/>
        <v>542.98997999999995</v>
      </c>
    </row>
    <row r="1365" spans="1:11" x14ac:dyDescent="0.3">
      <c r="A1365" s="127">
        <v>25</v>
      </c>
      <c r="B1365" s="90" t="s">
        <v>331</v>
      </c>
      <c r="C1365" s="90">
        <f t="shared" si="290"/>
        <v>361.99331999999998</v>
      </c>
      <c r="D1365" s="91">
        <f t="shared" si="293"/>
        <v>434.39198399999998</v>
      </c>
      <c r="E1365" s="90">
        <v>0</v>
      </c>
      <c r="F1365" s="128">
        <f t="shared" si="294"/>
        <v>542.98997999999995</v>
      </c>
    </row>
    <row r="1366" spans="1:11" ht="15.6" x14ac:dyDescent="0.3">
      <c r="A1366" s="127">
        <v>26</v>
      </c>
      <c r="B1366" s="90" t="s">
        <v>331</v>
      </c>
      <c r="C1366" s="90">
        <f t="shared" si="290"/>
        <v>361.99331999999998</v>
      </c>
      <c r="D1366" s="91">
        <f t="shared" si="293"/>
        <v>434.39198399999998</v>
      </c>
      <c r="E1366" s="90">
        <v>0</v>
      </c>
      <c r="F1366" s="128">
        <f t="shared" si="294"/>
        <v>542.98997999999995</v>
      </c>
      <c r="K1366" s="40"/>
    </row>
    <row r="1367" spans="1:11" ht="15.6" x14ac:dyDescent="0.3">
      <c r="A1367" s="127">
        <v>27</v>
      </c>
      <c r="B1367" s="90" t="s">
        <v>331</v>
      </c>
      <c r="C1367" s="90">
        <f t="shared" si="290"/>
        <v>361.99331999999998</v>
      </c>
      <c r="D1367" s="91">
        <f t="shared" si="293"/>
        <v>434.39198399999998</v>
      </c>
      <c r="E1367" s="90">
        <v>0</v>
      </c>
      <c r="F1367" s="128">
        <f t="shared" si="294"/>
        <v>542.98997999999995</v>
      </c>
      <c r="K1367" s="39"/>
    </row>
    <row r="1368" spans="1:11" ht="15.6" x14ac:dyDescent="0.3">
      <c r="A1368" s="127">
        <v>28</v>
      </c>
      <c r="B1368" s="90" t="s">
        <v>331</v>
      </c>
      <c r="C1368" s="90">
        <f t="shared" si="290"/>
        <v>361.99331999999998</v>
      </c>
      <c r="D1368" s="91">
        <f t="shared" si="293"/>
        <v>434.39198399999998</v>
      </c>
      <c r="E1368" s="90">
        <v>0</v>
      </c>
      <c r="F1368" s="128">
        <f t="shared" si="294"/>
        <v>542.98997999999995</v>
      </c>
      <c r="K1368" s="39"/>
    </row>
    <row r="1369" spans="1:11" ht="15.6" x14ac:dyDescent="0.3">
      <c r="A1369" s="127">
        <v>29</v>
      </c>
      <c r="B1369" s="90" t="s">
        <v>331</v>
      </c>
      <c r="C1369" s="90">
        <f t="shared" si="290"/>
        <v>361.99331999999998</v>
      </c>
      <c r="D1369" s="91">
        <f t="shared" si="293"/>
        <v>434.39198399999998</v>
      </c>
      <c r="E1369" s="90">
        <v>0</v>
      </c>
      <c r="F1369" s="128">
        <f t="shared" si="294"/>
        <v>542.98997999999995</v>
      </c>
      <c r="K1369" s="40"/>
    </row>
    <row r="1370" spans="1:11" ht="15.6" x14ac:dyDescent="0.3">
      <c r="A1370" s="127">
        <v>30</v>
      </c>
      <c r="B1370" s="171" t="s">
        <v>335</v>
      </c>
      <c r="C1370" s="172"/>
      <c r="D1370" s="172"/>
      <c r="E1370" s="173"/>
      <c r="F1370" s="128">
        <f t="shared" si="294"/>
        <v>0</v>
      </c>
      <c r="K1370" s="39"/>
    </row>
    <row r="1371" spans="1:11" x14ac:dyDescent="0.3">
      <c r="A1371" s="127">
        <v>31</v>
      </c>
      <c r="B1371" s="90" t="s">
        <v>331</v>
      </c>
      <c r="C1371" s="90">
        <f t="shared" si="290"/>
        <v>361.99331999999998</v>
      </c>
      <c r="D1371" s="91">
        <f t="shared" si="293"/>
        <v>434.39198399999998</v>
      </c>
      <c r="E1371" s="90">
        <v>0</v>
      </c>
      <c r="F1371" s="128">
        <f t="shared" si="294"/>
        <v>542.98997999999995</v>
      </c>
    </row>
    <row r="1372" spans="1:11" x14ac:dyDescent="0.3">
      <c r="A1372" s="127">
        <v>32</v>
      </c>
      <c r="B1372" s="90" t="s">
        <v>331</v>
      </c>
      <c r="C1372" s="90">
        <f t="shared" si="290"/>
        <v>361.99331999999998</v>
      </c>
      <c r="D1372" s="91">
        <f t="shared" si="293"/>
        <v>434.39198399999998</v>
      </c>
      <c r="E1372" s="90">
        <v>0</v>
      </c>
      <c r="F1372" s="128">
        <f t="shared" si="294"/>
        <v>542.98997999999995</v>
      </c>
    </row>
    <row r="1373" spans="1:11" ht="15.6" x14ac:dyDescent="0.3">
      <c r="A1373" s="127">
        <v>33</v>
      </c>
      <c r="B1373" s="90" t="s">
        <v>331</v>
      </c>
      <c r="C1373" s="90">
        <f t="shared" si="290"/>
        <v>361.99331999999998</v>
      </c>
      <c r="D1373" s="91">
        <f t="shared" si="293"/>
        <v>434.39198399999998</v>
      </c>
      <c r="E1373" s="90">
        <v>0</v>
      </c>
      <c r="F1373" s="128">
        <f t="shared" si="294"/>
        <v>542.98997999999995</v>
      </c>
      <c r="K1373" s="40"/>
    </row>
    <row r="1374" spans="1:11" ht="15.6" x14ac:dyDescent="0.3">
      <c r="A1374" s="127">
        <v>34</v>
      </c>
      <c r="B1374" s="90" t="s">
        <v>331</v>
      </c>
      <c r="C1374" s="90">
        <f t="shared" si="290"/>
        <v>361.99331999999998</v>
      </c>
      <c r="D1374" s="91">
        <f t="shared" si="293"/>
        <v>434.39198399999998</v>
      </c>
      <c r="E1374" s="90">
        <v>0</v>
      </c>
      <c r="F1374" s="128">
        <f t="shared" si="294"/>
        <v>542.98997999999995</v>
      </c>
      <c r="K1374" s="39"/>
    </row>
    <row r="1375" spans="1:11" ht="15.6" x14ac:dyDescent="0.3">
      <c r="A1375" s="127">
        <v>35</v>
      </c>
      <c r="B1375" s="90" t="s">
        <v>331</v>
      </c>
      <c r="C1375" s="90">
        <f t="shared" si="290"/>
        <v>361.99331999999998</v>
      </c>
      <c r="D1375" s="91">
        <f t="shared" si="293"/>
        <v>434.39198399999998</v>
      </c>
      <c r="E1375" s="90">
        <v>0</v>
      </c>
      <c r="F1375" s="128">
        <f t="shared" si="294"/>
        <v>542.98997999999995</v>
      </c>
      <c r="K1375" s="39"/>
    </row>
    <row r="1376" spans="1:11" ht="15.6" x14ac:dyDescent="0.3">
      <c r="A1376" s="127">
        <v>36</v>
      </c>
      <c r="B1376" s="90" t="s">
        <v>331</v>
      </c>
      <c r="C1376" s="90">
        <f t="shared" si="290"/>
        <v>361.99331999999998</v>
      </c>
      <c r="D1376" s="91">
        <f t="shared" si="293"/>
        <v>434.39198399999998</v>
      </c>
      <c r="E1376" s="90">
        <v>0</v>
      </c>
      <c r="F1376" s="128">
        <f t="shared" si="294"/>
        <v>542.98997999999995</v>
      </c>
      <c r="K1376" s="39"/>
    </row>
    <row r="1377" spans="1:14" s="37" customFormat="1" ht="15.6" x14ac:dyDescent="0.3">
      <c r="A1377" s="151" t="s">
        <v>336</v>
      </c>
      <c r="B1377" s="152"/>
      <c r="C1377" s="152"/>
      <c r="D1377" s="152"/>
      <c r="E1377" s="152"/>
      <c r="F1377" s="153"/>
      <c r="G1377" s="158"/>
      <c r="H1377" s="158"/>
      <c r="I1377" s="158"/>
      <c r="J1377" s="158"/>
      <c r="K1377" s="158"/>
    </row>
    <row r="1378" spans="1:14" s="39" customFormat="1" ht="15.75" customHeight="1" x14ac:dyDescent="0.3">
      <c r="A1378" s="151" t="s">
        <v>332</v>
      </c>
      <c r="B1378" s="152"/>
      <c r="C1378" s="152"/>
      <c r="D1378" s="152"/>
      <c r="E1378" s="152"/>
      <c r="F1378" s="153"/>
      <c r="G1378" s="43"/>
      <c r="H1378" s="43"/>
      <c r="K1378" s="40"/>
    </row>
    <row r="1379" spans="1:14" s="39" customFormat="1" ht="15.75" customHeight="1" x14ac:dyDescent="0.3">
      <c r="A1379" s="127">
        <v>1</v>
      </c>
      <c r="B1379" s="90" t="s">
        <v>331</v>
      </c>
      <c r="C1379" s="90">
        <f>(23.07+1.8*(1.5+1.2)+3.2*0.75+0.6*1.68)*10.764</f>
        <v>337.32223199999993</v>
      </c>
      <c r="D1379" s="91">
        <f>C1379*1.2</f>
        <v>404.78667839999991</v>
      </c>
      <c r="E1379" s="90">
        <f>(5*1.2)*10.764</f>
        <v>64.584000000000003</v>
      </c>
      <c r="F1379" s="128">
        <f>C1379*(($F$469)+1)+(IF(E1379&lt;101,E1379,IF(E1379&lt;201,E1379/2,IF(E1379&lt;=301,E1379/3,E1379/4))))</f>
        <v>570.56734799999981</v>
      </c>
      <c r="G1379" s="43"/>
      <c r="H1379" s="43"/>
      <c r="K1379"/>
    </row>
    <row r="1380" spans="1:14" s="39" customFormat="1" ht="15.6" x14ac:dyDescent="0.3">
      <c r="A1380" s="127">
        <v>2</v>
      </c>
      <c r="B1380" s="90" t="s">
        <v>331</v>
      </c>
      <c r="C1380" s="90">
        <f>(23.07+1.5*1.8+3.2*0.75+0.6*1.68+1.2*1.2)*10.764</f>
        <v>329.57215200000002</v>
      </c>
      <c r="D1380" s="91">
        <f t="shared" ref="D1380:D1384" si="295">C1380*1.2</f>
        <v>395.48658240000003</v>
      </c>
      <c r="E1380" s="90">
        <f>(3.5*1.8)*10.764</f>
        <v>67.813199999999995</v>
      </c>
      <c r="F1380" s="128">
        <f t="shared" ref="F1380:F1384" si="296">C1380*(($F$469)+1)+(IF(E1380&lt;101,E1380,IF(E1380&lt;201,E1380/2,IF(E1380&lt;=301,E1380/3,E1380/4))))</f>
        <v>562.17142800000011</v>
      </c>
      <c r="G1380" s="157"/>
      <c r="H1380" s="157"/>
      <c r="I1380" s="40"/>
      <c r="J1380" s="54"/>
      <c r="K1380"/>
      <c r="L1380" s="170"/>
      <c r="M1380" s="170"/>
      <c r="N1380" s="40"/>
    </row>
    <row r="1381" spans="1:14" x14ac:dyDescent="0.3">
      <c r="A1381" s="127">
        <v>3</v>
      </c>
      <c r="B1381" s="90" t="s">
        <v>331</v>
      </c>
      <c r="C1381" s="90">
        <f>(23.07+1.5*1.8+3.2*0.75+0.6*1.68+1.2*1.2)*10.764</f>
        <v>329.57215200000002</v>
      </c>
      <c r="D1381" s="91">
        <f t="shared" si="295"/>
        <v>395.48658240000003</v>
      </c>
      <c r="E1381" s="90">
        <f>(3.5*1.8)*10.764</f>
        <v>67.813199999999995</v>
      </c>
      <c r="F1381" s="128">
        <f t="shared" si="296"/>
        <v>562.17142800000011</v>
      </c>
    </row>
    <row r="1382" spans="1:14" x14ac:dyDescent="0.3">
      <c r="A1382" s="127">
        <v>4</v>
      </c>
      <c r="B1382" s="90" t="s">
        <v>331</v>
      </c>
      <c r="C1382" s="90">
        <f>(23.07+1.5*1.8+3.2*0.75+0.6*1.8)*10.764</f>
        <v>314.84699999999998</v>
      </c>
      <c r="D1382" s="91">
        <f t="shared" si="295"/>
        <v>377.81639999999999</v>
      </c>
      <c r="E1382" s="90">
        <f>(5*1.2+3.5*1.8)*10.764</f>
        <v>132.3972</v>
      </c>
      <c r="F1382" s="128">
        <f t="shared" si="296"/>
        <v>538.46910000000003</v>
      </c>
    </row>
    <row r="1383" spans="1:14" ht="15.6" x14ac:dyDescent="0.3">
      <c r="A1383" s="127">
        <v>5</v>
      </c>
      <c r="B1383" s="90" t="s">
        <v>331</v>
      </c>
      <c r="C1383" s="90">
        <f>(23.07+1.8*(1.5)+1.2*1.2+3*0.75+0.6*1.68)*10.764</f>
        <v>327.95755199999996</v>
      </c>
      <c r="D1383" s="91">
        <f t="shared" si="295"/>
        <v>393.54906239999997</v>
      </c>
      <c r="E1383" s="90">
        <f>(3.5*1.8+2.5*3.5)*10.764</f>
        <v>161.9982</v>
      </c>
      <c r="F1383" s="128">
        <f t="shared" si="296"/>
        <v>572.935428</v>
      </c>
      <c r="K1383" s="40"/>
    </row>
    <row r="1384" spans="1:14" ht="15.6" x14ac:dyDescent="0.3">
      <c r="A1384" s="127">
        <v>6</v>
      </c>
      <c r="B1384" s="90" t="s">
        <v>331</v>
      </c>
      <c r="C1384" s="90">
        <f>(23.07+1.8*(1.5)+1.2*1.2+3*0.75+0.6*1.68)*10.764</f>
        <v>327.95755199999996</v>
      </c>
      <c r="D1384" s="91">
        <f t="shared" si="295"/>
        <v>393.54906239999997</v>
      </c>
      <c r="E1384" s="90">
        <f>(3.5*1.8)*10.764</f>
        <v>67.813199999999995</v>
      </c>
      <c r="F1384" s="128">
        <f t="shared" si="296"/>
        <v>559.74952799999994</v>
      </c>
      <c r="K1384" s="39"/>
    </row>
    <row r="1385" spans="1:14" s="39" customFormat="1" ht="15.75" customHeight="1" x14ac:dyDescent="0.3">
      <c r="A1385" s="127">
        <v>7</v>
      </c>
      <c r="B1385" s="90" t="s">
        <v>331</v>
      </c>
      <c r="C1385" s="90">
        <f>(23.07+1.5*1.8+3.2*0.75+0.6*1.68)*10.764</f>
        <v>314.07199199999997</v>
      </c>
      <c r="D1385" s="91">
        <f>C1385*1.2</f>
        <v>376.88639039999993</v>
      </c>
      <c r="E1385" s="90">
        <f>(5*1.2+3.5*1.8)*10.764</f>
        <v>132.3972</v>
      </c>
      <c r="F1385" s="128">
        <f>C1385*(($F$469)+1)+(IF(E1385&lt;101,E1385,IF(E1385&lt;201,E1385/2,IF(E1385&lt;=301,E1385/3,E1385/4))))</f>
        <v>537.30658799999992</v>
      </c>
      <c r="G1385" s="43"/>
      <c r="H1385" s="43"/>
      <c r="K1385"/>
    </row>
    <row r="1386" spans="1:14" s="39" customFormat="1" ht="15.6" x14ac:dyDescent="0.3">
      <c r="A1386" s="127">
        <v>8</v>
      </c>
      <c r="B1386" s="90" t="s">
        <v>331</v>
      </c>
      <c r="C1386" s="90">
        <f>(23.07+1.5*1.8+1.2*1.2+3.2*0.75+0.6*1.68)*10.764</f>
        <v>329.57215199999996</v>
      </c>
      <c r="D1386" s="91">
        <f t="shared" ref="D1386:D1395" si="297">C1386*1.2</f>
        <v>395.48658239999992</v>
      </c>
      <c r="E1386" s="90">
        <f>(3.5*1.8+3.2*3.5)*10.764</f>
        <v>188.36999999999998</v>
      </c>
      <c r="F1386" s="128">
        <f t="shared" ref="F1386:F1395" si="298">C1386*(($F$469)+1)+(IF(E1386&lt;101,E1386,IF(E1386&lt;201,E1386/2,IF(E1386&lt;=301,E1386/3,E1386/4))))</f>
        <v>588.54322799999989</v>
      </c>
      <c r="G1386" s="157"/>
      <c r="H1386" s="157"/>
      <c r="I1386" s="40"/>
      <c r="J1386" s="54"/>
      <c r="K1386"/>
      <c r="L1386" s="170"/>
      <c r="M1386" s="170"/>
      <c r="N1386" s="40"/>
    </row>
    <row r="1387" spans="1:14" x14ac:dyDescent="0.3">
      <c r="A1387" s="127">
        <v>9</v>
      </c>
      <c r="B1387" s="90" t="s">
        <v>331</v>
      </c>
      <c r="C1387" s="90">
        <f>(23.07+1.5*1.8+1.2*1.2+3.2*0.75+0.6*1.68)*10.764</f>
        <v>329.57215199999996</v>
      </c>
      <c r="D1387" s="91">
        <f t="shared" si="297"/>
        <v>395.48658239999992</v>
      </c>
      <c r="E1387" s="90">
        <f>(3.5*1.8)*10.764</f>
        <v>67.813199999999995</v>
      </c>
      <c r="F1387" s="128">
        <f t="shared" si="298"/>
        <v>562.17142799999988</v>
      </c>
    </row>
    <row r="1388" spans="1:14" x14ac:dyDescent="0.3">
      <c r="A1388" s="127">
        <v>10</v>
      </c>
      <c r="B1388" s="90" t="s">
        <v>331</v>
      </c>
      <c r="C1388" s="90">
        <f>(23.07+1.8*(1.5+1.2)+3*0.75+0.6*1.68)*10.764</f>
        <v>335.70763199999999</v>
      </c>
      <c r="D1388" s="91">
        <f t="shared" si="297"/>
        <v>402.84915839999996</v>
      </c>
      <c r="E1388" s="90">
        <f>(5*1.2)*10.764</f>
        <v>64.584000000000003</v>
      </c>
      <c r="F1388" s="128">
        <f t="shared" si="298"/>
        <v>568.14544799999999</v>
      </c>
    </row>
    <row r="1389" spans="1:14" ht="15.6" x14ac:dyDescent="0.3">
      <c r="A1389" s="127">
        <v>11</v>
      </c>
      <c r="B1389" s="90" t="s">
        <v>331</v>
      </c>
      <c r="C1389" s="90">
        <f>(23.07+1.8*(1.5+1.2)+3*0.75+0.6*1.68)*10.764</f>
        <v>335.70763199999999</v>
      </c>
      <c r="D1389" s="91">
        <f t="shared" si="297"/>
        <v>402.84915839999996</v>
      </c>
      <c r="E1389" s="90">
        <f>(5*1.2)*10.764</f>
        <v>64.584000000000003</v>
      </c>
      <c r="F1389" s="128">
        <f t="shared" si="298"/>
        <v>568.14544799999999</v>
      </c>
      <c r="K1389" s="40"/>
    </row>
    <row r="1390" spans="1:14" ht="15.6" x14ac:dyDescent="0.3">
      <c r="A1390" s="127">
        <v>12</v>
      </c>
      <c r="B1390" s="90" t="s">
        <v>331</v>
      </c>
      <c r="C1390" s="90">
        <f>(23.07+1.5*1.8+1.2*1.2+3.2*0.75+0.6*1.68)*10.764</f>
        <v>329.57215199999996</v>
      </c>
      <c r="D1390" s="91">
        <f t="shared" si="297"/>
        <v>395.48658239999992</v>
      </c>
      <c r="E1390" s="90">
        <f>(3.5*1.8)*10.764</f>
        <v>67.813199999999995</v>
      </c>
      <c r="F1390" s="128">
        <f t="shared" si="298"/>
        <v>562.17142799999988</v>
      </c>
      <c r="K1390" s="39"/>
    </row>
    <row r="1391" spans="1:14" s="39" customFormat="1" ht="15.6" x14ac:dyDescent="0.3">
      <c r="A1391" s="127">
        <v>13</v>
      </c>
      <c r="B1391" s="90" t="s">
        <v>331</v>
      </c>
      <c r="C1391" s="90">
        <f>(23.07+1.5*1.8+3.2*0.75+0.6*1.68)*10.764</f>
        <v>314.07199199999997</v>
      </c>
      <c r="D1391" s="91">
        <f t="shared" si="297"/>
        <v>376.88639039999993</v>
      </c>
      <c r="E1391" s="90">
        <f>(3.5*1.8+5*1.2)*10.764</f>
        <v>132.3972</v>
      </c>
      <c r="F1391" s="128">
        <f t="shared" si="298"/>
        <v>537.30658799999992</v>
      </c>
      <c r="G1391" s="157"/>
      <c r="H1391" s="157"/>
      <c r="I1391" s="40"/>
      <c r="J1391" s="54"/>
      <c r="K1391"/>
      <c r="L1391" s="170"/>
      <c r="M1391" s="170"/>
      <c r="N1391" s="40"/>
    </row>
    <row r="1392" spans="1:14" x14ac:dyDescent="0.3">
      <c r="A1392" s="127">
        <v>14</v>
      </c>
      <c r="B1392" s="90" t="s">
        <v>331</v>
      </c>
      <c r="C1392" s="90">
        <f>(23.07+1.5*1.8+3.2*0.75+0.6*1.68)*10.764</f>
        <v>314.07199199999997</v>
      </c>
      <c r="D1392" s="91">
        <f t="shared" si="297"/>
        <v>376.88639039999993</v>
      </c>
      <c r="E1392" s="90">
        <f>(3.5*1.8+5*1.2)*10.764</f>
        <v>132.3972</v>
      </c>
      <c r="F1392" s="128">
        <f t="shared" si="298"/>
        <v>537.30658799999992</v>
      </c>
    </row>
    <row r="1393" spans="1:14" x14ac:dyDescent="0.3">
      <c r="A1393" s="127">
        <v>15</v>
      </c>
      <c r="B1393" s="90" t="s">
        <v>331</v>
      </c>
      <c r="C1393" s="90">
        <f t="shared" ref="C1393:C1398" si="299">(23.07+1.5*1.8+3.2*0.75+0.6*1.68)*10.764</f>
        <v>314.07199199999997</v>
      </c>
      <c r="D1393" s="91">
        <f t="shared" si="297"/>
        <v>376.88639039999993</v>
      </c>
      <c r="E1393" s="90">
        <f t="shared" ref="E1393:E1398" si="300">(3.5*1.8+5*1.2)*10.764</f>
        <v>132.3972</v>
      </c>
      <c r="F1393" s="128">
        <f t="shared" si="298"/>
        <v>537.30658799999992</v>
      </c>
    </row>
    <row r="1394" spans="1:14" ht="15.6" x14ac:dyDescent="0.3">
      <c r="A1394" s="127">
        <v>16</v>
      </c>
      <c r="B1394" s="90" t="s">
        <v>331</v>
      </c>
      <c r="C1394" s="90">
        <f t="shared" si="299"/>
        <v>314.07199199999997</v>
      </c>
      <c r="D1394" s="91">
        <f t="shared" si="297"/>
        <v>376.88639039999993</v>
      </c>
      <c r="E1394" s="90">
        <f t="shared" si="300"/>
        <v>132.3972</v>
      </c>
      <c r="F1394" s="128">
        <f t="shared" si="298"/>
        <v>537.30658799999992</v>
      </c>
      <c r="K1394" s="40"/>
    </row>
    <row r="1395" spans="1:14" ht="15.6" x14ac:dyDescent="0.3">
      <c r="A1395" s="127">
        <v>17</v>
      </c>
      <c r="B1395" s="90" t="s">
        <v>331</v>
      </c>
      <c r="C1395" s="90">
        <f t="shared" si="299"/>
        <v>314.07199199999997</v>
      </c>
      <c r="D1395" s="91">
        <f t="shared" si="297"/>
        <v>376.88639039999993</v>
      </c>
      <c r="E1395" s="90">
        <f t="shared" si="300"/>
        <v>132.3972</v>
      </c>
      <c r="F1395" s="128">
        <f t="shared" si="298"/>
        <v>537.30658799999992</v>
      </c>
      <c r="K1395" s="39"/>
    </row>
    <row r="1396" spans="1:14" s="39" customFormat="1" ht="15.75" customHeight="1" x14ac:dyDescent="0.3">
      <c r="A1396" s="127">
        <v>18</v>
      </c>
      <c r="B1396" s="90" t="s">
        <v>331</v>
      </c>
      <c r="C1396" s="90">
        <f t="shared" si="299"/>
        <v>314.07199199999997</v>
      </c>
      <c r="D1396" s="91">
        <f>C1396*1.2</f>
        <v>376.88639039999993</v>
      </c>
      <c r="E1396" s="90">
        <f t="shared" si="300"/>
        <v>132.3972</v>
      </c>
      <c r="F1396" s="128">
        <f>C1396*(($F$469)+1)+(IF(E1396&lt;101,E1396,IF(E1396&lt;201,E1396/2,IF(E1396&lt;=301,E1396/3,E1396/4))))</f>
        <v>537.30658799999992</v>
      </c>
      <c r="G1396" s="43"/>
      <c r="H1396" s="43"/>
      <c r="K1396"/>
    </row>
    <row r="1397" spans="1:14" s="39" customFormat="1" ht="15.6" x14ac:dyDescent="0.3">
      <c r="A1397" s="127">
        <v>19</v>
      </c>
      <c r="B1397" s="90" t="s">
        <v>331</v>
      </c>
      <c r="C1397" s="90">
        <f t="shared" si="299"/>
        <v>314.07199199999997</v>
      </c>
      <c r="D1397" s="91">
        <f t="shared" ref="D1397:D1414" si="301">C1397*1.2</f>
        <v>376.88639039999993</v>
      </c>
      <c r="E1397" s="90">
        <f t="shared" si="300"/>
        <v>132.3972</v>
      </c>
      <c r="F1397" s="128">
        <f t="shared" ref="F1397:F1414" si="302">C1397*(($F$469)+1)+(IF(E1397&lt;101,E1397,IF(E1397&lt;201,E1397/2,IF(E1397&lt;=301,E1397/3,E1397/4))))</f>
        <v>537.30658799999992</v>
      </c>
      <c r="G1397" s="157"/>
      <c r="H1397" s="157"/>
      <c r="I1397" s="40"/>
      <c r="J1397" s="54"/>
      <c r="K1397"/>
      <c r="L1397" s="170"/>
      <c r="M1397" s="170"/>
      <c r="N1397" s="40"/>
    </row>
    <row r="1398" spans="1:14" x14ac:dyDescent="0.3">
      <c r="A1398" s="127">
        <v>20</v>
      </c>
      <c r="B1398" s="90" t="s">
        <v>331</v>
      </c>
      <c r="C1398" s="90">
        <f t="shared" si="299"/>
        <v>314.07199199999997</v>
      </c>
      <c r="D1398" s="91">
        <f t="shared" si="301"/>
        <v>376.88639039999993</v>
      </c>
      <c r="E1398" s="90">
        <f t="shared" si="300"/>
        <v>132.3972</v>
      </c>
      <c r="F1398" s="128">
        <f t="shared" si="302"/>
        <v>537.30658799999992</v>
      </c>
    </row>
    <row r="1399" spans="1:14" x14ac:dyDescent="0.3">
      <c r="A1399" s="127">
        <v>21</v>
      </c>
      <c r="B1399" s="90" t="s">
        <v>331</v>
      </c>
      <c r="C1399" s="90">
        <f>(23.07+1.5*1.8+1.2*1.2+3.2*0.75+1.68*0.6)*10.764</f>
        <v>329.57215199999996</v>
      </c>
      <c r="D1399" s="91">
        <f t="shared" si="301"/>
        <v>395.48658239999992</v>
      </c>
      <c r="E1399" s="90">
        <f>(3.5*1.8)*10.764</f>
        <v>67.813199999999995</v>
      </c>
      <c r="F1399" s="128">
        <f t="shared" si="302"/>
        <v>562.17142799999988</v>
      </c>
    </row>
    <row r="1400" spans="1:14" ht="15.6" x14ac:dyDescent="0.3">
      <c r="A1400" s="127">
        <v>22</v>
      </c>
      <c r="B1400" s="90" t="s">
        <v>331</v>
      </c>
      <c r="C1400" s="90">
        <f>(23.07+1.8*(1.5+1.2)+3.2*0.75+0.6*1.68)*10.764</f>
        <v>337.32223199999993</v>
      </c>
      <c r="D1400" s="91">
        <f t="shared" si="301"/>
        <v>404.78667839999991</v>
      </c>
      <c r="E1400" s="90">
        <f>(1.2*5)*10.764</f>
        <v>64.584000000000003</v>
      </c>
      <c r="F1400" s="128">
        <f t="shared" si="302"/>
        <v>570.56734799999981</v>
      </c>
      <c r="K1400" s="40"/>
    </row>
    <row r="1401" spans="1:14" ht="15.6" x14ac:dyDescent="0.3">
      <c r="A1401" s="127">
        <v>23</v>
      </c>
      <c r="B1401" s="90" t="s">
        <v>331</v>
      </c>
      <c r="C1401" s="90">
        <f>(23.07+1.5*1.8+1.2*1.2+0.6*1.68)*10.764</f>
        <v>303.73855199999997</v>
      </c>
      <c r="D1401" s="91">
        <f t="shared" si="301"/>
        <v>364.48626239999993</v>
      </c>
      <c r="E1401" s="90">
        <f>(4.98*1.2+2.7*1.8)*10.764</f>
        <v>116.63870399999999</v>
      </c>
      <c r="F1401" s="128">
        <f t="shared" si="302"/>
        <v>513.92717999999991</v>
      </c>
      <c r="K1401" s="39"/>
    </row>
    <row r="1402" spans="1:14" x14ac:dyDescent="0.3">
      <c r="A1402" s="127">
        <v>24</v>
      </c>
      <c r="B1402" s="90" t="s">
        <v>331</v>
      </c>
      <c r="C1402" s="90">
        <f>(23.07+1.5*1.8+0.6*1.68)*10.764</f>
        <v>288.23839199999998</v>
      </c>
      <c r="D1402" s="91">
        <f t="shared" si="301"/>
        <v>345.88607039999994</v>
      </c>
      <c r="E1402" s="90">
        <f>(6.18*1.2+2.3*1.6+1.2*4)*10.764</f>
        <v>171.104544</v>
      </c>
      <c r="F1402" s="128">
        <f t="shared" si="302"/>
        <v>517.90985999999998</v>
      </c>
    </row>
    <row r="1403" spans="1:14" x14ac:dyDescent="0.3">
      <c r="A1403" s="127">
        <v>25</v>
      </c>
      <c r="B1403" s="90" t="s">
        <v>331</v>
      </c>
      <c r="C1403" s="90">
        <f>(23.07+1.5*1.8+1.2*1.2+0.6*1.68+3.2*0.75)*10.764</f>
        <v>329.57215200000002</v>
      </c>
      <c r="D1403" s="91">
        <f t="shared" si="301"/>
        <v>395.48658240000003</v>
      </c>
      <c r="E1403" s="90">
        <f>(3.5*1.8+3.2*3.2)*10.764</f>
        <v>178.03656000000001</v>
      </c>
      <c r="F1403" s="128">
        <f t="shared" si="302"/>
        <v>583.37650800000006</v>
      </c>
    </row>
    <row r="1404" spans="1:14" ht="15.6" x14ac:dyDescent="0.3">
      <c r="A1404" s="127">
        <v>26</v>
      </c>
      <c r="B1404" s="90" t="s">
        <v>331</v>
      </c>
      <c r="C1404" s="90">
        <f>(23.07+1.5*1.8+0.6*1.68+3.2*0.75)*10.764</f>
        <v>314.07199199999997</v>
      </c>
      <c r="D1404" s="91">
        <f t="shared" si="301"/>
        <v>376.88639039999993</v>
      </c>
      <c r="E1404" s="90">
        <f>(5*1.2+3.5*1.8)*10.764</f>
        <v>132.3972</v>
      </c>
      <c r="F1404" s="128">
        <f t="shared" si="302"/>
        <v>537.30658799999992</v>
      </c>
      <c r="K1404" s="40"/>
    </row>
    <row r="1405" spans="1:14" ht="15.6" x14ac:dyDescent="0.3">
      <c r="A1405" s="127">
        <v>27</v>
      </c>
      <c r="B1405" s="90" t="s">
        <v>331</v>
      </c>
      <c r="C1405" s="90">
        <f>(23.07+1.5*1.8+0.6*1.68)*10.764</f>
        <v>288.23839199999998</v>
      </c>
      <c r="D1405" s="91">
        <f t="shared" si="301"/>
        <v>345.88607039999994</v>
      </c>
      <c r="E1405" s="90">
        <f>(6.19*1.2+2.3*1.6+1.2*4)*10.764</f>
        <v>171.233712</v>
      </c>
      <c r="F1405" s="128">
        <f t="shared" si="302"/>
        <v>517.97444399999995</v>
      </c>
      <c r="K1405" s="39"/>
    </row>
    <row r="1406" spans="1:14" ht="15.6" x14ac:dyDescent="0.3">
      <c r="A1406" s="127">
        <v>28</v>
      </c>
      <c r="B1406" s="90" t="s">
        <v>331</v>
      </c>
      <c r="C1406" s="90">
        <f>(23.07+1.5*1.8+1.2*1.2+0.6*1.68)*10.764</f>
        <v>303.73855199999997</v>
      </c>
      <c r="D1406" s="91">
        <f t="shared" si="301"/>
        <v>364.48626239999993</v>
      </c>
      <c r="E1406" s="90">
        <f>(4.98*1.2+2.7*1.8)*10.764</f>
        <v>116.63870399999999</v>
      </c>
      <c r="F1406" s="128">
        <f t="shared" si="302"/>
        <v>513.92717999999991</v>
      </c>
      <c r="K1406" s="39"/>
    </row>
    <row r="1407" spans="1:14" ht="15.6" x14ac:dyDescent="0.3">
      <c r="A1407" s="127">
        <v>29</v>
      </c>
      <c r="B1407" s="90" t="s">
        <v>331</v>
      </c>
      <c r="C1407" s="90">
        <f>(23.07+1.8*(1.5+1.2)+3.2*0.75+0.6*1.68)*10.764</f>
        <v>337.32223199999993</v>
      </c>
      <c r="D1407" s="91">
        <f t="shared" si="301"/>
        <v>404.78667839999991</v>
      </c>
      <c r="E1407" s="90">
        <f>(1.2*5)*10.764</f>
        <v>64.584000000000003</v>
      </c>
      <c r="F1407" s="128">
        <f t="shared" si="302"/>
        <v>570.56734799999981</v>
      </c>
      <c r="K1407" s="40"/>
    </row>
    <row r="1408" spans="1:14" ht="15.6" x14ac:dyDescent="0.3">
      <c r="A1408" s="127">
        <v>30</v>
      </c>
      <c r="B1408" s="90" t="s">
        <v>331</v>
      </c>
      <c r="C1408" s="90">
        <f>(23.07+1.5*1.8+1.2*1.2+0.6*1.68)*10.764</f>
        <v>303.73855199999997</v>
      </c>
      <c r="D1408" s="91">
        <f t="shared" si="301"/>
        <v>364.48626239999993</v>
      </c>
      <c r="E1408" s="90">
        <f>(4.9*1.2+2.7*1.8+2.58*3.5)*10.764</f>
        <v>212.80428000000003</v>
      </c>
      <c r="F1408" s="128">
        <f t="shared" si="302"/>
        <v>526.54258799999991</v>
      </c>
      <c r="K1408" s="39"/>
    </row>
    <row r="1409" spans="1:14" x14ac:dyDescent="0.3">
      <c r="A1409" s="127">
        <v>31</v>
      </c>
      <c r="B1409" s="90" t="s">
        <v>331</v>
      </c>
      <c r="C1409" s="90">
        <f>(23.07+1.5*1.8+1.2*1.2+0.6*1.68)*10.764</f>
        <v>303.73855199999997</v>
      </c>
      <c r="D1409" s="91">
        <f t="shared" si="301"/>
        <v>364.48626239999993</v>
      </c>
      <c r="E1409" s="90">
        <f>(4.98*1.2+2.7*1.8)*10.764</f>
        <v>116.63870399999999</v>
      </c>
      <c r="F1409" s="128">
        <f t="shared" si="302"/>
        <v>513.92717999999991</v>
      </c>
    </row>
    <row r="1410" spans="1:14" x14ac:dyDescent="0.3">
      <c r="A1410" s="127">
        <v>32</v>
      </c>
      <c r="B1410" s="90" t="s">
        <v>331</v>
      </c>
      <c r="C1410" s="90">
        <f>(23.07+1.5*1.8+3.2*0.75+1.2*1.2+0.6*1.68)*10.764</f>
        <v>329.57215200000002</v>
      </c>
      <c r="D1410" s="91">
        <f t="shared" si="301"/>
        <v>395.48658240000003</v>
      </c>
      <c r="E1410" s="90">
        <f>(3.5*1.8+2.9*3.5)*10.764</f>
        <v>177.06779999999998</v>
      </c>
      <c r="F1410" s="128">
        <f t="shared" si="302"/>
        <v>582.89212800000007</v>
      </c>
    </row>
    <row r="1411" spans="1:14" ht="15.6" x14ac:dyDescent="0.3">
      <c r="A1411" s="127">
        <v>33</v>
      </c>
      <c r="B1411" s="90" t="s">
        <v>331</v>
      </c>
      <c r="C1411" s="90">
        <f>(23.07+1.5*1.8+3.2*0.75+0.6*1.68)*10.764</f>
        <v>314.07199199999997</v>
      </c>
      <c r="D1411" s="91">
        <f t="shared" si="301"/>
        <v>376.88639039999993</v>
      </c>
      <c r="E1411" s="90">
        <f>(5*1.2+3.5*1.8)*10.764</f>
        <v>132.3972</v>
      </c>
      <c r="F1411" s="128">
        <f t="shared" si="302"/>
        <v>537.30658799999992</v>
      </c>
      <c r="K1411" s="40"/>
    </row>
    <row r="1412" spans="1:14" ht="15.6" x14ac:dyDescent="0.3">
      <c r="A1412" s="127">
        <v>34</v>
      </c>
      <c r="B1412" s="90" t="s">
        <v>331</v>
      </c>
      <c r="C1412" s="90">
        <f>(23.07+1.5*1.8+1.2*1.2+0.6*1.68)*10.764</f>
        <v>303.73855199999997</v>
      </c>
      <c r="D1412" s="91">
        <f t="shared" si="301"/>
        <v>364.48626239999993</v>
      </c>
      <c r="E1412" s="90">
        <f>(4.9*1.2+2.7*1.8)*10.764</f>
        <v>115.60535999999999</v>
      </c>
      <c r="F1412" s="128">
        <f t="shared" si="302"/>
        <v>513.41050799999994</v>
      </c>
      <c r="K1412" s="39"/>
    </row>
    <row r="1413" spans="1:14" ht="15.6" x14ac:dyDescent="0.3">
      <c r="A1413" s="127">
        <v>35</v>
      </c>
      <c r="B1413" s="90" t="s">
        <v>331</v>
      </c>
      <c r="C1413" s="90">
        <f>(23.07+1.5*1.8+0.6*1.68)*10.764</f>
        <v>288.23839199999998</v>
      </c>
      <c r="D1413" s="91">
        <f t="shared" si="301"/>
        <v>345.88607039999994</v>
      </c>
      <c r="E1413" s="90">
        <f>(8.25*1.2+0.7*1.8+3.4*3+1.2*1.2)*10.764</f>
        <v>245.41919999999999</v>
      </c>
      <c r="F1413" s="128">
        <f t="shared" si="302"/>
        <v>514.16398800000002</v>
      </c>
      <c r="K1413" s="39"/>
    </row>
    <row r="1414" spans="1:14" ht="15.6" x14ac:dyDescent="0.3">
      <c r="A1414" s="127">
        <v>36</v>
      </c>
      <c r="B1414" s="90" t="s">
        <v>331</v>
      </c>
      <c r="C1414" s="90">
        <f>(23.07+1.5*1.8+1.8*1.2+3.2*0.75+0.6*1.68)*10.764</f>
        <v>337.32223199999993</v>
      </c>
      <c r="D1414" s="91">
        <f t="shared" si="301"/>
        <v>404.78667839999991</v>
      </c>
      <c r="E1414" s="90">
        <f>(5*1.2)*10.764</f>
        <v>64.584000000000003</v>
      </c>
      <c r="F1414" s="128">
        <f t="shared" si="302"/>
        <v>570.56734799999981</v>
      </c>
      <c r="K1414" s="39"/>
    </row>
    <row r="1415" spans="1:14" ht="15.6" x14ac:dyDescent="0.3">
      <c r="A1415" s="127">
        <v>37</v>
      </c>
      <c r="B1415" s="90" t="s">
        <v>331</v>
      </c>
      <c r="C1415" s="90">
        <f>(23.07+1.5*1.8+1.8*1.2+3.2*0.75+0.6*1.68)*10.764</f>
        <v>337.32223199999993</v>
      </c>
      <c r="D1415" s="91">
        <f t="shared" ref="D1415:D1418" si="303">C1415*1.2</f>
        <v>404.78667839999991</v>
      </c>
      <c r="E1415" s="90">
        <f>(5*1.2)*10.764</f>
        <v>64.584000000000003</v>
      </c>
      <c r="F1415" s="128">
        <f t="shared" ref="F1415:F1418" si="304">C1415*(($F$469)+1)+(IF(E1415&lt;101,E1415,IF(E1415&lt;201,E1415/2,IF(E1415&lt;=301,E1415/3,E1415/4))))</f>
        <v>570.56734799999981</v>
      </c>
      <c r="K1415" s="40"/>
    </row>
    <row r="1416" spans="1:14" ht="15.6" x14ac:dyDescent="0.3">
      <c r="A1416" s="127">
        <v>38</v>
      </c>
      <c r="B1416" s="90" t="s">
        <v>331</v>
      </c>
      <c r="C1416" s="90">
        <f>(23.07+1.5*1.8+0.6*1.68)*10.764</f>
        <v>288.23839199999998</v>
      </c>
      <c r="D1416" s="91">
        <f t="shared" si="303"/>
        <v>345.88607039999994</v>
      </c>
      <c r="E1416" s="90">
        <f>(8.25*1.2+0.7*1.8+3.4*3+1.2*1.2)*10.764</f>
        <v>245.41919999999999</v>
      </c>
      <c r="F1416" s="128">
        <f t="shared" si="304"/>
        <v>514.16398800000002</v>
      </c>
      <c r="K1416" s="39"/>
    </row>
    <row r="1417" spans="1:14" ht="15.6" x14ac:dyDescent="0.3">
      <c r="A1417" s="127">
        <v>39</v>
      </c>
      <c r="B1417" s="90" t="s">
        <v>331</v>
      </c>
      <c r="C1417" s="90">
        <f>(23.07+1.5*1.8+1.2*1.2+0.6*1.68)*10.764</f>
        <v>303.73855199999997</v>
      </c>
      <c r="D1417" s="91">
        <f t="shared" si="303"/>
        <v>364.48626239999993</v>
      </c>
      <c r="E1417" s="90">
        <f>(4.9*1.2+2.7*1.8)*10.764</f>
        <v>115.60535999999999</v>
      </c>
      <c r="F1417" s="128">
        <f t="shared" si="304"/>
        <v>513.41050799999994</v>
      </c>
      <c r="K1417" s="39"/>
    </row>
    <row r="1418" spans="1:14" ht="15.6" x14ac:dyDescent="0.3">
      <c r="A1418" s="127">
        <v>40</v>
      </c>
      <c r="B1418" s="90" t="s">
        <v>331</v>
      </c>
      <c r="C1418" s="90">
        <f>(23.07+1.5*1.8+1.8*1.2+3.2*0.75+0.6*1.68)*10.764</f>
        <v>337.32223199999993</v>
      </c>
      <c r="D1418" s="91">
        <f t="shared" si="303"/>
        <v>404.78667839999991</v>
      </c>
      <c r="E1418" s="90">
        <f>(5*1.2)*10.764</f>
        <v>64.584000000000003</v>
      </c>
      <c r="F1418" s="128">
        <f t="shared" si="304"/>
        <v>570.56734799999981</v>
      </c>
      <c r="K1418" s="39"/>
    </row>
    <row r="1419" spans="1:14" s="39" customFormat="1" ht="15.75" customHeight="1" x14ac:dyDescent="0.3">
      <c r="A1419" s="151" t="s">
        <v>333</v>
      </c>
      <c r="B1419" s="152"/>
      <c r="C1419" s="152"/>
      <c r="D1419" s="152"/>
      <c r="E1419" s="152"/>
      <c r="F1419" s="153"/>
      <c r="G1419" s="43"/>
      <c r="H1419" s="43"/>
      <c r="K1419" s="40"/>
    </row>
    <row r="1420" spans="1:14" s="39" customFormat="1" ht="15.75" customHeight="1" x14ac:dyDescent="0.3">
      <c r="A1420" s="127">
        <v>1</v>
      </c>
      <c r="B1420" s="90" t="s">
        <v>331</v>
      </c>
      <c r="C1420" s="90">
        <f t="shared" ref="C1420:C1459" si="305">(23.07+1.8*(1.5+1.2)+0.6*1.68+3.2*0.75+1.2*1.2)*10.764</f>
        <v>352.82239199999998</v>
      </c>
      <c r="D1420" s="91">
        <f>C1420*1.2</f>
        <v>423.38687039999996</v>
      </c>
      <c r="E1420" s="90">
        <v>0</v>
      </c>
      <c r="F1420" s="128">
        <f>C1420*(($F$469)+1)+(IF(E1420&lt;101,E1420,IF(E1420&lt;201,E1420/2,IF(E1420&lt;=301,E1420/3,E1420/4))))</f>
        <v>529.23358799999994</v>
      </c>
      <c r="G1420" s="43"/>
      <c r="H1420" s="43"/>
      <c r="K1420"/>
    </row>
    <row r="1421" spans="1:14" s="39" customFormat="1" ht="15.6" x14ac:dyDescent="0.3">
      <c r="A1421" s="127">
        <v>2</v>
      </c>
      <c r="B1421" s="90" t="s">
        <v>331</v>
      </c>
      <c r="C1421" s="90">
        <f t="shared" si="305"/>
        <v>352.82239199999998</v>
      </c>
      <c r="D1421" s="91">
        <f t="shared" ref="D1421:D1425" si="306">C1421*1.2</f>
        <v>423.38687039999996</v>
      </c>
      <c r="E1421" s="90">
        <v>0</v>
      </c>
      <c r="F1421" s="128">
        <f t="shared" ref="F1421:F1425" si="307">C1421*(($F$469)+1)+(IF(E1421&lt;101,E1421,IF(E1421&lt;201,E1421/2,IF(E1421&lt;=301,E1421/3,E1421/4))))</f>
        <v>529.23358799999994</v>
      </c>
      <c r="G1421" s="157"/>
      <c r="H1421" s="157"/>
      <c r="I1421" s="40"/>
      <c r="J1421" s="54"/>
      <c r="K1421"/>
      <c r="L1421" s="170"/>
      <c r="M1421" s="170"/>
      <c r="N1421" s="40"/>
    </row>
    <row r="1422" spans="1:14" x14ac:dyDescent="0.3">
      <c r="A1422" s="127">
        <v>3</v>
      </c>
      <c r="B1422" s="90" t="s">
        <v>331</v>
      </c>
      <c r="C1422" s="90">
        <f t="shared" si="305"/>
        <v>352.82239199999998</v>
      </c>
      <c r="D1422" s="91">
        <f t="shared" si="306"/>
        <v>423.38687039999996</v>
      </c>
      <c r="E1422" s="90">
        <v>0</v>
      </c>
      <c r="F1422" s="128">
        <f t="shared" si="307"/>
        <v>529.23358799999994</v>
      </c>
    </row>
    <row r="1423" spans="1:14" x14ac:dyDescent="0.3">
      <c r="A1423" s="127">
        <v>4</v>
      </c>
      <c r="B1423" s="90" t="s">
        <v>331</v>
      </c>
      <c r="C1423" s="90">
        <f t="shared" si="305"/>
        <v>352.82239199999998</v>
      </c>
      <c r="D1423" s="91">
        <f t="shared" si="306"/>
        <v>423.38687039999996</v>
      </c>
      <c r="E1423" s="90">
        <v>0</v>
      </c>
      <c r="F1423" s="128">
        <f t="shared" si="307"/>
        <v>529.23358799999994</v>
      </c>
    </row>
    <row r="1424" spans="1:14" ht="15.6" x14ac:dyDescent="0.3">
      <c r="A1424" s="127">
        <v>5</v>
      </c>
      <c r="B1424" s="90" t="s">
        <v>331</v>
      </c>
      <c r="C1424" s="90">
        <f t="shared" si="305"/>
        <v>352.82239199999998</v>
      </c>
      <c r="D1424" s="91">
        <f t="shared" si="306"/>
        <v>423.38687039999996</v>
      </c>
      <c r="E1424" s="90">
        <v>0</v>
      </c>
      <c r="F1424" s="128">
        <f t="shared" si="307"/>
        <v>529.23358799999994</v>
      </c>
      <c r="K1424" s="40"/>
    </row>
    <row r="1425" spans="1:14" ht="15.6" x14ac:dyDescent="0.3">
      <c r="A1425" s="127">
        <v>6</v>
      </c>
      <c r="B1425" s="90" t="s">
        <v>331</v>
      </c>
      <c r="C1425" s="90">
        <f t="shared" si="305"/>
        <v>352.82239199999998</v>
      </c>
      <c r="D1425" s="91">
        <f t="shared" si="306"/>
        <v>423.38687039999996</v>
      </c>
      <c r="E1425" s="90">
        <v>0</v>
      </c>
      <c r="F1425" s="128">
        <f t="shared" si="307"/>
        <v>529.23358799999994</v>
      </c>
      <c r="K1425" s="39"/>
    </row>
    <row r="1426" spans="1:14" s="39" customFormat="1" ht="15.75" customHeight="1" x14ac:dyDescent="0.3">
      <c r="A1426" s="127">
        <v>7</v>
      </c>
      <c r="B1426" s="90" t="s">
        <v>331</v>
      </c>
      <c r="C1426" s="90">
        <f t="shared" si="305"/>
        <v>352.82239199999998</v>
      </c>
      <c r="D1426" s="91">
        <f>C1426*1.2</f>
        <v>423.38687039999996</v>
      </c>
      <c r="E1426" s="90">
        <v>0</v>
      </c>
      <c r="F1426" s="128">
        <f>C1426*(($F$469)+1)+(IF(E1426&lt;101,E1426,IF(E1426&lt;201,E1426/2,IF(E1426&lt;=301,E1426/3,E1426/4))))</f>
        <v>529.23358799999994</v>
      </c>
      <c r="G1426" s="43"/>
      <c r="H1426" s="43"/>
      <c r="K1426"/>
    </row>
    <row r="1427" spans="1:14" s="39" customFormat="1" ht="15.6" x14ac:dyDescent="0.3">
      <c r="A1427" s="127">
        <v>8</v>
      </c>
      <c r="B1427" s="90" t="s">
        <v>331</v>
      </c>
      <c r="C1427" s="90">
        <f t="shared" si="305"/>
        <v>352.82239199999998</v>
      </c>
      <c r="D1427" s="91">
        <f t="shared" ref="D1427:D1436" si="308">C1427*1.2</f>
        <v>423.38687039999996</v>
      </c>
      <c r="E1427" s="90">
        <v>0</v>
      </c>
      <c r="F1427" s="128">
        <f t="shared" ref="F1427:F1436" si="309">C1427*(($F$469)+1)+(IF(E1427&lt;101,E1427,IF(E1427&lt;201,E1427/2,IF(E1427&lt;=301,E1427/3,E1427/4))))</f>
        <v>529.23358799999994</v>
      </c>
      <c r="G1427" s="157"/>
      <c r="H1427" s="157"/>
      <c r="I1427" s="40"/>
      <c r="J1427" s="54"/>
      <c r="K1427"/>
      <c r="L1427" s="170"/>
      <c r="M1427" s="170"/>
      <c r="N1427" s="40"/>
    </row>
    <row r="1428" spans="1:14" x14ac:dyDescent="0.3">
      <c r="A1428" s="127">
        <v>9</v>
      </c>
      <c r="B1428" s="90" t="s">
        <v>331</v>
      </c>
      <c r="C1428" s="90">
        <f t="shared" si="305"/>
        <v>352.82239199999998</v>
      </c>
      <c r="D1428" s="91">
        <f t="shared" si="308"/>
        <v>423.38687039999996</v>
      </c>
      <c r="E1428" s="90">
        <v>0</v>
      </c>
      <c r="F1428" s="128">
        <f t="shared" si="309"/>
        <v>529.23358799999994</v>
      </c>
    </row>
    <row r="1429" spans="1:14" x14ac:dyDescent="0.3">
      <c r="A1429" s="127">
        <v>10</v>
      </c>
      <c r="B1429" s="90" t="s">
        <v>331</v>
      </c>
      <c r="C1429" s="90">
        <f t="shared" si="305"/>
        <v>352.82239199999998</v>
      </c>
      <c r="D1429" s="91">
        <f t="shared" si="308"/>
        <v>423.38687039999996</v>
      </c>
      <c r="E1429" s="90">
        <v>0</v>
      </c>
      <c r="F1429" s="128">
        <f t="shared" si="309"/>
        <v>529.23358799999994</v>
      </c>
    </row>
    <row r="1430" spans="1:14" ht="15.6" x14ac:dyDescent="0.3">
      <c r="A1430" s="127">
        <v>11</v>
      </c>
      <c r="B1430" s="90" t="s">
        <v>331</v>
      </c>
      <c r="C1430" s="90">
        <f t="shared" si="305"/>
        <v>352.82239199999998</v>
      </c>
      <c r="D1430" s="91">
        <f t="shared" si="308"/>
        <v>423.38687039999996</v>
      </c>
      <c r="E1430" s="90">
        <v>0</v>
      </c>
      <c r="F1430" s="128">
        <f t="shared" si="309"/>
        <v>529.23358799999994</v>
      </c>
      <c r="K1430" s="40"/>
    </row>
    <row r="1431" spans="1:14" ht="15.6" x14ac:dyDescent="0.3">
      <c r="A1431" s="127">
        <v>12</v>
      </c>
      <c r="B1431" s="90" t="s">
        <v>331</v>
      </c>
      <c r="C1431" s="90">
        <f t="shared" si="305"/>
        <v>352.82239199999998</v>
      </c>
      <c r="D1431" s="91">
        <f t="shared" si="308"/>
        <v>423.38687039999996</v>
      </c>
      <c r="E1431" s="90">
        <v>0</v>
      </c>
      <c r="F1431" s="128">
        <f t="shared" si="309"/>
        <v>529.23358799999994</v>
      </c>
      <c r="K1431" s="39"/>
    </row>
    <row r="1432" spans="1:14" s="39" customFormat="1" ht="15.6" x14ac:dyDescent="0.3">
      <c r="A1432" s="127">
        <v>13</v>
      </c>
      <c r="B1432" s="90" t="s">
        <v>331</v>
      </c>
      <c r="C1432" s="90">
        <f t="shared" si="305"/>
        <v>352.82239199999998</v>
      </c>
      <c r="D1432" s="91">
        <f t="shared" si="308"/>
        <v>423.38687039999996</v>
      </c>
      <c r="E1432" s="90">
        <v>0</v>
      </c>
      <c r="F1432" s="128">
        <f t="shared" si="309"/>
        <v>529.23358799999994</v>
      </c>
      <c r="G1432" s="157"/>
      <c r="H1432" s="157"/>
      <c r="I1432" s="40"/>
      <c r="J1432" s="54"/>
      <c r="K1432"/>
      <c r="L1432" s="170"/>
      <c r="M1432" s="170"/>
      <c r="N1432" s="40"/>
    </row>
    <row r="1433" spans="1:14" x14ac:dyDescent="0.3">
      <c r="A1433" s="127">
        <v>14</v>
      </c>
      <c r="B1433" s="90" t="s">
        <v>331</v>
      </c>
      <c r="C1433" s="90">
        <f t="shared" si="305"/>
        <v>352.82239199999998</v>
      </c>
      <c r="D1433" s="91">
        <f t="shared" si="308"/>
        <v>423.38687039999996</v>
      </c>
      <c r="E1433" s="90">
        <v>0</v>
      </c>
      <c r="F1433" s="128">
        <f t="shared" si="309"/>
        <v>529.23358799999994</v>
      </c>
    </row>
    <row r="1434" spans="1:14" x14ac:dyDescent="0.3">
      <c r="A1434" s="127">
        <v>15</v>
      </c>
      <c r="B1434" s="90" t="s">
        <v>331</v>
      </c>
      <c r="C1434" s="90">
        <f t="shared" si="305"/>
        <v>352.82239199999998</v>
      </c>
      <c r="D1434" s="91">
        <f t="shared" si="308"/>
        <v>423.38687039999996</v>
      </c>
      <c r="E1434" s="90">
        <v>0</v>
      </c>
      <c r="F1434" s="128">
        <f t="shared" si="309"/>
        <v>529.23358799999994</v>
      </c>
    </row>
    <row r="1435" spans="1:14" ht="15.6" x14ac:dyDescent="0.3">
      <c r="A1435" s="127">
        <v>16</v>
      </c>
      <c r="B1435" s="90" t="s">
        <v>331</v>
      </c>
      <c r="C1435" s="90">
        <f t="shared" si="305"/>
        <v>352.82239199999998</v>
      </c>
      <c r="D1435" s="91">
        <f t="shared" si="308"/>
        <v>423.38687039999996</v>
      </c>
      <c r="E1435" s="90">
        <v>0</v>
      </c>
      <c r="F1435" s="128">
        <f t="shared" si="309"/>
        <v>529.23358799999994</v>
      </c>
      <c r="K1435" s="40"/>
    </row>
    <row r="1436" spans="1:14" ht="15.6" x14ac:dyDescent="0.3">
      <c r="A1436" s="127">
        <v>17</v>
      </c>
      <c r="B1436" s="90" t="s">
        <v>331</v>
      </c>
      <c r="C1436" s="90">
        <f t="shared" si="305"/>
        <v>352.82239199999998</v>
      </c>
      <c r="D1436" s="91">
        <f t="shared" si="308"/>
        <v>423.38687039999996</v>
      </c>
      <c r="E1436" s="90">
        <v>0</v>
      </c>
      <c r="F1436" s="128">
        <f t="shared" si="309"/>
        <v>529.23358799999994</v>
      </c>
      <c r="K1436" s="39"/>
    </row>
    <row r="1437" spans="1:14" s="39" customFormat="1" ht="15.75" customHeight="1" x14ac:dyDescent="0.3">
      <c r="A1437" s="127">
        <v>18</v>
      </c>
      <c r="B1437" s="90" t="s">
        <v>331</v>
      </c>
      <c r="C1437" s="90">
        <f t="shared" si="305"/>
        <v>352.82239199999998</v>
      </c>
      <c r="D1437" s="91">
        <f>C1437*1.2</f>
        <v>423.38687039999996</v>
      </c>
      <c r="E1437" s="90">
        <v>0</v>
      </c>
      <c r="F1437" s="128">
        <f>C1437*(($F$469)+1)+(IF(E1437&lt;101,E1437,IF(E1437&lt;201,E1437/2,IF(E1437&lt;=301,E1437/3,E1437/4))))</f>
        <v>529.23358799999994</v>
      </c>
      <c r="G1437" s="43"/>
      <c r="H1437" s="43"/>
      <c r="K1437"/>
    </row>
    <row r="1438" spans="1:14" s="39" customFormat="1" ht="15.6" x14ac:dyDescent="0.3">
      <c r="A1438" s="127">
        <v>19</v>
      </c>
      <c r="B1438" s="90" t="s">
        <v>331</v>
      </c>
      <c r="C1438" s="90">
        <f t="shared" si="305"/>
        <v>352.82239199999998</v>
      </c>
      <c r="D1438" s="91">
        <f t="shared" ref="D1438:D1459" si="310">C1438*1.2</f>
        <v>423.38687039999996</v>
      </c>
      <c r="E1438" s="90">
        <v>0</v>
      </c>
      <c r="F1438" s="128">
        <f t="shared" ref="F1438:F1459" si="311">C1438*(($F$469)+1)+(IF(E1438&lt;101,E1438,IF(E1438&lt;201,E1438/2,IF(E1438&lt;=301,E1438/3,E1438/4))))</f>
        <v>529.23358799999994</v>
      </c>
      <c r="G1438" s="157"/>
      <c r="H1438" s="157"/>
      <c r="I1438" s="40"/>
      <c r="J1438" s="54"/>
      <c r="K1438"/>
      <c r="L1438" s="170"/>
      <c r="M1438" s="170"/>
      <c r="N1438" s="40"/>
    </row>
    <row r="1439" spans="1:14" x14ac:dyDescent="0.3">
      <c r="A1439" s="127">
        <v>20</v>
      </c>
      <c r="B1439" s="90" t="s">
        <v>331</v>
      </c>
      <c r="C1439" s="90">
        <f t="shared" si="305"/>
        <v>352.82239199999998</v>
      </c>
      <c r="D1439" s="91">
        <f t="shared" si="310"/>
        <v>423.38687039999996</v>
      </c>
      <c r="E1439" s="90">
        <v>0</v>
      </c>
      <c r="F1439" s="128">
        <f t="shared" si="311"/>
        <v>529.23358799999994</v>
      </c>
    </row>
    <row r="1440" spans="1:14" x14ac:dyDescent="0.3">
      <c r="A1440" s="127">
        <v>21</v>
      </c>
      <c r="B1440" s="90" t="s">
        <v>331</v>
      </c>
      <c r="C1440" s="90">
        <f t="shared" si="305"/>
        <v>352.82239199999998</v>
      </c>
      <c r="D1440" s="91">
        <f t="shared" si="310"/>
        <v>423.38687039999996</v>
      </c>
      <c r="E1440" s="90">
        <v>0</v>
      </c>
      <c r="F1440" s="128">
        <f t="shared" si="311"/>
        <v>529.23358799999994</v>
      </c>
    </row>
    <row r="1441" spans="1:11" ht="15.6" x14ac:dyDescent="0.3">
      <c r="A1441" s="127">
        <v>22</v>
      </c>
      <c r="B1441" s="90" t="s">
        <v>331</v>
      </c>
      <c r="C1441" s="90">
        <f t="shared" si="305"/>
        <v>352.82239199999998</v>
      </c>
      <c r="D1441" s="91">
        <f t="shared" si="310"/>
        <v>423.38687039999996</v>
      </c>
      <c r="E1441" s="90">
        <v>0</v>
      </c>
      <c r="F1441" s="128">
        <f t="shared" si="311"/>
        <v>529.23358799999994</v>
      </c>
      <c r="K1441" s="40"/>
    </row>
    <row r="1442" spans="1:11" ht="15.6" x14ac:dyDescent="0.3">
      <c r="A1442" s="127">
        <v>23</v>
      </c>
      <c r="B1442" s="90" t="s">
        <v>331</v>
      </c>
      <c r="C1442" s="90">
        <f t="shared" si="305"/>
        <v>352.82239199999998</v>
      </c>
      <c r="D1442" s="91">
        <f t="shared" si="310"/>
        <v>423.38687039999996</v>
      </c>
      <c r="E1442" s="90">
        <v>0</v>
      </c>
      <c r="F1442" s="128">
        <f t="shared" si="311"/>
        <v>529.23358799999994</v>
      </c>
      <c r="K1442" s="39"/>
    </row>
    <row r="1443" spans="1:11" x14ac:dyDescent="0.3">
      <c r="A1443" s="127">
        <v>24</v>
      </c>
      <c r="B1443" s="90" t="s">
        <v>331</v>
      </c>
      <c r="C1443" s="90">
        <f t="shared" si="305"/>
        <v>352.82239199999998</v>
      </c>
      <c r="D1443" s="91">
        <f t="shared" si="310"/>
        <v>423.38687039999996</v>
      </c>
      <c r="E1443" s="90">
        <v>0</v>
      </c>
      <c r="F1443" s="128">
        <f t="shared" si="311"/>
        <v>529.23358799999994</v>
      </c>
    </row>
    <row r="1444" spans="1:11" x14ac:dyDescent="0.3">
      <c r="A1444" s="127">
        <v>25</v>
      </c>
      <c r="B1444" s="90" t="s">
        <v>331</v>
      </c>
      <c r="C1444" s="90">
        <f t="shared" si="305"/>
        <v>352.82239199999998</v>
      </c>
      <c r="D1444" s="91">
        <f t="shared" si="310"/>
        <v>423.38687039999996</v>
      </c>
      <c r="E1444" s="90">
        <v>0</v>
      </c>
      <c r="F1444" s="128">
        <f t="shared" si="311"/>
        <v>529.23358799999994</v>
      </c>
    </row>
    <row r="1445" spans="1:11" ht="15.6" x14ac:dyDescent="0.3">
      <c r="A1445" s="127">
        <v>26</v>
      </c>
      <c r="B1445" s="90" t="s">
        <v>331</v>
      </c>
      <c r="C1445" s="90">
        <f t="shared" si="305"/>
        <v>352.82239199999998</v>
      </c>
      <c r="D1445" s="91">
        <f t="shared" si="310"/>
        <v>423.38687039999996</v>
      </c>
      <c r="E1445" s="90">
        <v>0</v>
      </c>
      <c r="F1445" s="128">
        <f t="shared" si="311"/>
        <v>529.23358799999994</v>
      </c>
      <c r="K1445" s="40"/>
    </row>
    <row r="1446" spans="1:11" ht="15.6" x14ac:dyDescent="0.3">
      <c r="A1446" s="127">
        <v>27</v>
      </c>
      <c r="B1446" s="90" t="s">
        <v>331</v>
      </c>
      <c r="C1446" s="90">
        <f t="shared" si="305"/>
        <v>352.82239199999998</v>
      </c>
      <c r="D1446" s="91">
        <f t="shared" si="310"/>
        <v>423.38687039999996</v>
      </c>
      <c r="E1446" s="90">
        <v>0</v>
      </c>
      <c r="F1446" s="128">
        <f t="shared" si="311"/>
        <v>529.23358799999994</v>
      </c>
      <c r="K1446" s="39"/>
    </row>
    <row r="1447" spans="1:11" ht="15.6" x14ac:dyDescent="0.3">
      <c r="A1447" s="127">
        <v>28</v>
      </c>
      <c r="B1447" s="90" t="s">
        <v>331</v>
      </c>
      <c r="C1447" s="90">
        <f t="shared" si="305"/>
        <v>352.82239199999998</v>
      </c>
      <c r="D1447" s="91">
        <f t="shared" si="310"/>
        <v>423.38687039999996</v>
      </c>
      <c r="E1447" s="90">
        <v>0</v>
      </c>
      <c r="F1447" s="128">
        <f t="shared" si="311"/>
        <v>529.23358799999994</v>
      </c>
      <c r="K1447" s="39"/>
    </row>
    <row r="1448" spans="1:11" ht="15.6" x14ac:dyDescent="0.3">
      <c r="A1448" s="127">
        <v>29</v>
      </c>
      <c r="B1448" s="90" t="s">
        <v>331</v>
      </c>
      <c r="C1448" s="90">
        <f t="shared" si="305"/>
        <v>352.82239199999998</v>
      </c>
      <c r="D1448" s="91">
        <f t="shared" si="310"/>
        <v>423.38687039999996</v>
      </c>
      <c r="E1448" s="90">
        <v>0</v>
      </c>
      <c r="F1448" s="128">
        <f t="shared" si="311"/>
        <v>529.23358799999994</v>
      </c>
      <c r="K1448" s="40"/>
    </row>
    <row r="1449" spans="1:11" ht="15.6" x14ac:dyDescent="0.3">
      <c r="A1449" s="127">
        <v>30</v>
      </c>
      <c r="B1449" s="90" t="s">
        <v>331</v>
      </c>
      <c r="C1449" s="90">
        <f t="shared" si="305"/>
        <v>352.82239199999998</v>
      </c>
      <c r="D1449" s="91">
        <f t="shared" si="310"/>
        <v>423.38687039999996</v>
      </c>
      <c r="E1449" s="90">
        <v>0</v>
      </c>
      <c r="F1449" s="128">
        <f t="shared" si="311"/>
        <v>529.23358799999994</v>
      </c>
      <c r="K1449" s="39"/>
    </row>
    <row r="1450" spans="1:11" x14ac:dyDescent="0.3">
      <c r="A1450" s="127">
        <v>31</v>
      </c>
      <c r="B1450" s="90" t="s">
        <v>331</v>
      </c>
      <c r="C1450" s="90">
        <f t="shared" si="305"/>
        <v>352.82239199999998</v>
      </c>
      <c r="D1450" s="91">
        <f t="shared" si="310"/>
        <v>423.38687039999996</v>
      </c>
      <c r="E1450" s="90">
        <v>0</v>
      </c>
      <c r="F1450" s="128">
        <f t="shared" si="311"/>
        <v>529.23358799999994</v>
      </c>
    </row>
    <row r="1451" spans="1:11" x14ac:dyDescent="0.3">
      <c r="A1451" s="127">
        <v>32</v>
      </c>
      <c r="B1451" s="90" t="s">
        <v>331</v>
      </c>
      <c r="C1451" s="90">
        <f t="shared" si="305"/>
        <v>352.82239199999998</v>
      </c>
      <c r="D1451" s="91">
        <f t="shared" si="310"/>
        <v>423.38687039999996</v>
      </c>
      <c r="E1451" s="90">
        <v>0</v>
      </c>
      <c r="F1451" s="128">
        <f t="shared" si="311"/>
        <v>529.23358799999994</v>
      </c>
    </row>
    <row r="1452" spans="1:11" ht="15.6" x14ac:dyDescent="0.3">
      <c r="A1452" s="127">
        <v>33</v>
      </c>
      <c r="B1452" s="90" t="s">
        <v>331</v>
      </c>
      <c r="C1452" s="90">
        <f t="shared" si="305"/>
        <v>352.82239199999998</v>
      </c>
      <c r="D1452" s="91">
        <f t="shared" si="310"/>
        <v>423.38687039999996</v>
      </c>
      <c r="E1452" s="90">
        <v>0</v>
      </c>
      <c r="F1452" s="128">
        <f t="shared" si="311"/>
        <v>529.23358799999994</v>
      </c>
      <c r="K1452" s="40"/>
    </row>
    <row r="1453" spans="1:11" ht="15.6" x14ac:dyDescent="0.3">
      <c r="A1453" s="127">
        <v>34</v>
      </c>
      <c r="B1453" s="90" t="s">
        <v>331</v>
      </c>
      <c r="C1453" s="90">
        <f t="shared" si="305"/>
        <v>352.82239199999998</v>
      </c>
      <c r="D1453" s="91">
        <f t="shared" si="310"/>
        <v>423.38687039999996</v>
      </c>
      <c r="E1453" s="90">
        <v>0</v>
      </c>
      <c r="F1453" s="128">
        <f t="shared" si="311"/>
        <v>529.23358799999994</v>
      </c>
      <c r="K1453" s="39"/>
    </row>
    <row r="1454" spans="1:11" ht="15.6" x14ac:dyDescent="0.3">
      <c r="A1454" s="127">
        <v>35</v>
      </c>
      <c r="B1454" s="90" t="s">
        <v>331</v>
      </c>
      <c r="C1454" s="90">
        <f t="shared" si="305"/>
        <v>352.82239199999998</v>
      </c>
      <c r="D1454" s="91">
        <f t="shared" si="310"/>
        <v>423.38687039999996</v>
      </c>
      <c r="E1454" s="90">
        <v>0</v>
      </c>
      <c r="F1454" s="128">
        <f t="shared" si="311"/>
        <v>529.23358799999994</v>
      </c>
      <c r="K1454" s="39"/>
    </row>
    <row r="1455" spans="1:11" ht="15.6" x14ac:dyDescent="0.3">
      <c r="A1455" s="127">
        <v>36</v>
      </c>
      <c r="B1455" s="90" t="s">
        <v>331</v>
      </c>
      <c r="C1455" s="90">
        <f t="shared" si="305"/>
        <v>352.82239199999998</v>
      </c>
      <c r="D1455" s="91">
        <f t="shared" si="310"/>
        <v>423.38687039999996</v>
      </c>
      <c r="E1455" s="90">
        <v>0</v>
      </c>
      <c r="F1455" s="128">
        <f t="shared" si="311"/>
        <v>529.23358799999994</v>
      </c>
      <c r="K1455" s="39"/>
    </row>
    <row r="1456" spans="1:11" ht="15.6" x14ac:dyDescent="0.3">
      <c r="A1456" s="127">
        <v>37</v>
      </c>
      <c r="B1456" s="90" t="s">
        <v>331</v>
      </c>
      <c r="C1456" s="90">
        <f t="shared" si="305"/>
        <v>352.82239199999998</v>
      </c>
      <c r="D1456" s="91">
        <f t="shared" si="310"/>
        <v>423.38687039999996</v>
      </c>
      <c r="E1456" s="90">
        <v>0</v>
      </c>
      <c r="F1456" s="128">
        <f t="shared" si="311"/>
        <v>529.23358799999994</v>
      </c>
      <c r="K1456" s="40"/>
    </row>
    <row r="1457" spans="1:14" ht="15.6" x14ac:dyDescent="0.3">
      <c r="A1457" s="127">
        <v>38</v>
      </c>
      <c r="B1457" s="90" t="s">
        <v>331</v>
      </c>
      <c r="C1457" s="90">
        <f t="shared" si="305"/>
        <v>352.82239199999998</v>
      </c>
      <c r="D1457" s="91">
        <f t="shared" si="310"/>
        <v>423.38687039999996</v>
      </c>
      <c r="E1457" s="90">
        <v>0</v>
      </c>
      <c r="F1457" s="128">
        <f t="shared" si="311"/>
        <v>529.23358799999994</v>
      </c>
      <c r="K1457" s="39"/>
    </row>
    <row r="1458" spans="1:14" ht="15.6" x14ac:dyDescent="0.3">
      <c r="A1458" s="127">
        <v>39</v>
      </c>
      <c r="B1458" s="90" t="s">
        <v>331</v>
      </c>
      <c r="C1458" s="90">
        <f t="shared" si="305"/>
        <v>352.82239199999998</v>
      </c>
      <c r="D1458" s="91">
        <f t="shared" si="310"/>
        <v>423.38687039999996</v>
      </c>
      <c r="E1458" s="90">
        <v>0</v>
      </c>
      <c r="F1458" s="128">
        <f t="shared" si="311"/>
        <v>529.23358799999994</v>
      </c>
      <c r="K1458" s="39"/>
    </row>
    <row r="1459" spans="1:14" ht="15.6" x14ac:dyDescent="0.3">
      <c r="A1459" s="127">
        <v>40</v>
      </c>
      <c r="B1459" s="90" t="s">
        <v>331</v>
      </c>
      <c r="C1459" s="90">
        <f t="shared" si="305"/>
        <v>352.82239199999998</v>
      </c>
      <c r="D1459" s="91">
        <f t="shared" si="310"/>
        <v>423.38687039999996</v>
      </c>
      <c r="E1459" s="90">
        <v>0</v>
      </c>
      <c r="F1459" s="128">
        <f t="shared" si="311"/>
        <v>529.23358799999994</v>
      </c>
      <c r="K1459" s="39"/>
    </row>
    <row r="1460" spans="1:14" s="39" customFormat="1" ht="15.75" customHeight="1" x14ac:dyDescent="0.3">
      <c r="A1460" s="151" t="s">
        <v>334</v>
      </c>
      <c r="B1460" s="152"/>
      <c r="C1460" s="152"/>
      <c r="D1460" s="152"/>
      <c r="E1460" s="152"/>
      <c r="F1460" s="153"/>
      <c r="G1460" s="43"/>
      <c r="H1460" s="43"/>
      <c r="K1460" s="40"/>
    </row>
    <row r="1461" spans="1:14" s="39" customFormat="1" ht="15.75" customHeight="1" x14ac:dyDescent="0.3">
      <c r="A1461" s="127">
        <v>1</v>
      </c>
      <c r="B1461" s="90" t="s">
        <v>331</v>
      </c>
      <c r="C1461" s="90">
        <f>(23.07+1.8*(1.5+1.2)+0.6*1.68+3.2*0.75+1.2*1.2)*10.764</f>
        <v>352.82239199999998</v>
      </c>
      <c r="D1461" s="91">
        <f>C1461*1.2</f>
        <v>423.38687039999996</v>
      </c>
      <c r="E1461" s="90">
        <v>0</v>
      </c>
      <c r="F1461" s="128">
        <f>C1461*(($F$469)+1)+(IF(E1461&lt;101,E1461,IF(E1461&lt;201,E1461/2,IF(E1461&lt;=301,E1461/3,E1461/4))))</f>
        <v>529.23358799999994</v>
      </c>
      <c r="G1461" s="43"/>
      <c r="H1461" s="43"/>
      <c r="K1461"/>
    </row>
    <row r="1462" spans="1:14" s="39" customFormat="1" ht="15.6" x14ac:dyDescent="0.3">
      <c r="A1462" s="127">
        <v>2</v>
      </c>
      <c r="B1462" s="90" t="s">
        <v>331</v>
      </c>
      <c r="C1462" s="90">
        <f>(23.07+1.8*(1.5+1.2)+0.6*1.68+3.2*0.75+1.2*1.2)*10.764</f>
        <v>352.82239199999998</v>
      </c>
      <c r="D1462" s="91">
        <f t="shared" ref="D1462:D1464" si="312">C1462*1.2</f>
        <v>423.38687039999996</v>
      </c>
      <c r="E1462" s="90">
        <v>0</v>
      </c>
      <c r="F1462" s="128">
        <f t="shared" ref="F1462:F1466" si="313">C1462*(($F$469)+1)+(IF(E1462&lt;101,E1462,IF(E1462&lt;201,E1462/2,IF(E1462&lt;=301,E1462/3,E1462/4))))</f>
        <v>529.23358799999994</v>
      </c>
      <c r="G1462" s="157"/>
      <c r="H1462" s="157"/>
      <c r="I1462" s="40"/>
      <c r="J1462" s="54"/>
      <c r="K1462"/>
      <c r="L1462" s="170"/>
      <c r="M1462" s="170"/>
      <c r="N1462" s="40"/>
    </row>
    <row r="1463" spans="1:14" x14ac:dyDescent="0.3">
      <c r="A1463" s="127">
        <v>3</v>
      </c>
      <c r="B1463" s="90" t="s">
        <v>331</v>
      </c>
      <c r="C1463" s="90">
        <f>(23.07+1.8*(1.5+1.2)+0.6*1.68+3.2*0.75+1.2*1.2)*10.764</f>
        <v>352.82239199999998</v>
      </c>
      <c r="D1463" s="91">
        <f t="shared" si="312"/>
        <v>423.38687039999996</v>
      </c>
      <c r="E1463" s="90">
        <v>0</v>
      </c>
      <c r="F1463" s="128">
        <f t="shared" si="313"/>
        <v>529.23358799999994</v>
      </c>
    </row>
    <row r="1464" spans="1:14" x14ac:dyDescent="0.3">
      <c r="A1464" s="127">
        <v>4</v>
      </c>
      <c r="B1464" s="90" t="s">
        <v>331</v>
      </c>
      <c r="C1464" s="90">
        <f>(23.07+1.8*(1.5+1.2)+0.6*1.68+3.2*0.75+1.2*1.2)*10.764</f>
        <v>352.82239199999998</v>
      </c>
      <c r="D1464" s="91">
        <f t="shared" si="312"/>
        <v>423.38687039999996</v>
      </c>
      <c r="E1464" s="90">
        <v>0</v>
      </c>
      <c r="F1464" s="128">
        <f t="shared" si="313"/>
        <v>529.23358799999994</v>
      </c>
    </row>
    <row r="1465" spans="1:14" ht="15.6" x14ac:dyDescent="0.3">
      <c r="A1465" s="127">
        <v>5</v>
      </c>
      <c r="B1465" s="159" t="s">
        <v>335</v>
      </c>
      <c r="C1465" s="160"/>
      <c r="D1465" s="160"/>
      <c r="E1465" s="161"/>
      <c r="F1465" s="128">
        <f t="shared" si="313"/>
        <v>0</v>
      </c>
      <c r="K1465" s="40"/>
    </row>
    <row r="1466" spans="1:14" ht="15.6" x14ac:dyDescent="0.3">
      <c r="A1466" s="127">
        <v>6</v>
      </c>
      <c r="B1466" s="165"/>
      <c r="C1466" s="166"/>
      <c r="D1466" s="166"/>
      <c r="E1466" s="167"/>
      <c r="F1466" s="128">
        <f t="shared" si="313"/>
        <v>0</v>
      </c>
      <c r="K1466" s="39"/>
    </row>
    <row r="1467" spans="1:14" s="39" customFormat="1" ht="15.75" customHeight="1" x14ac:dyDescent="0.3">
      <c r="A1467" s="127">
        <v>7</v>
      </c>
      <c r="B1467" s="90" t="s">
        <v>331</v>
      </c>
      <c r="C1467" s="90">
        <f t="shared" ref="C1467:C1482" si="314">(23.07+1.8*(1.5+1.2)+0.6*1.68+3.2*0.75+1.2*1.2)*10.764</f>
        <v>352.82239199999998</v>
      </c>
      <c r="D1467" s="91">
        <f>C1467*1.2</f>
        <v>423.38687039999996</v>
      </c>
      <c r="E1467" s="90">
        <v>0</v>
      </c>
      <c r="F1467" s="128">
        <f>C1467*(($F$469)+1)+(IF(E1467&lt;101,E1467,IF(E1467&lt;201,E1467/2,IF(E1467&lt;=301,E1467/3,E1467/4))))</f>
        <v>529.23358799999994</v>
      </c>
      <c r="G1467" s="43"/>
      <c r="H1467" s="43"/>
      <c r="K1467"/>
    </row>
    <row r="1468" spans="1:14" s="39" customFormat="1" ht="15.6" x14ac:dyDescent="0.3">
      <c r="A1468" s="127">
        <v>8</v>
      </c>
      <c r="B1468" s="90" t="s">
        <v>331</v>
      </c>
      <c r="C1468" s="90">
        <f t="shared" si="314"/>
        <v>352.82239199999998</v>
      </c>
      <c r="D1468" s="91">
        <f t="shared" ref="D1468:D1477" si="315">C1468*1.2</f>
        <v>423.38687039999996</v>
      </c>
      <c r="E1468" s="90">
        <v>0</v>
      </c>
      <c r="F1468" s="128">
        <f t="shared" ref="F1468:F1477" si="316">C1468*(($F$469)+1)+(IF(E1468&lt;101,E1468,IF(E1468&lt;201,E1468/2,IF(E1468&lt;=301,E1468/3,E1468/4))))</f>
        <v>529.23358799999994</v>
      </c>
      <c r="G1468" s="157"/>
      <c r="H1468" s="157"/>
      <c r="I1468" s="40"/>
      <c r="J1468" s="54"/>
      <c r="K1468"/>
      <c r="L1468" s="170"/>
      <c r="M1468" s="170"/>
      <c r="N1468" s="40"/>
    </row>
    <row r="1469" spans="1:14" x14ac:dyDescent="0.3">
      <c r="A1469" s="127">
        <v>9</v>
      </c>
      <c r="B1469" s="90" t="s">
        <v>331</v>
      </c>
      <c r="C1469" s="90">
        <f t="shared" si="314"/>
        <v>352.82239199999998</v>
      </c>
      <c r="D1469" s="91">
        <f t="shared" si="315"/>
        <v>423.38687039999996</v>
      </c>
      <c r="E1469" s="90">
        <v>0</v>
      </c>
      <c r="F1469" s="128">
        <f t="shared" si="316"/>
        <v>529.23358799999994</v>
      </c>
    </row>
    <row r="1470" spans="1:14" x14ac:dyDescent="0.3">
      <c r="A1470" s="127">
        <v>10</v>
      </c>
      <c r="B1470" s="90" t="s">
        <v>331</v>
      </c>
      <c r="C1470" s="90">
        <f t="shared" si="314"/>
        <v>352.82239199999998</v>
      </c>
      <c r="D1470" s="91">
        <f t="shared" si="315"/>
        <v>423.38687039999996</v>
      </c>
      <c r="E1470" s="90">
        <v>0</v>
      </c>
      <c r="F1470" s="128">
        <f t="shared" si="316"/>
        <v>529.23358799999994</v>
      </c>
    </row>
    <row r="1471" spans="1:14" ht="15.6" x14ac:dyDescent="0.3">
      <c r="A1471" s="127">
        <v>11</v>
      </c>
      <c r="B1471" s="90" t="s">
        <v>331</v>
      </c>
      <c r="C1471" s="90">
        <f t="shared" si="314"/>
        <v>352.82239199999998</v>
      </c>
      <c r="D1471" s="91">
        <f t="shared" si="315"/>
        <v>423.38687039999996</v>
      </c>
      <c r="E1471" s="90">
        <v>0</v>
      </c>
      <c r="F1471" s="128">
        <f t="shared" si="316"/>
        <v>529.23358799999994</v>
      </c>
      <c r="K1471" s="40"/>
    </row>
    <row r="1472" spans="1:14" ht="15.6" x14ac:dyDescent="0.3">
      <c r="A1472" s="127">
        <v>12</v>
      </c>
      <c r="B1472" s="90" t="s">
        <v>331</v>
      </c>
      <c r="C1472" s="90">
        <f t="shared" si="314"/>
        <v>352.82239199999998</v>
      </c>
      <c r="D1472" s="91">
        <f t="shared" si="315"/>
        <v>423.38687039999996</v>
      </c>
      <c r="E1472" s="90">
        <v>0</v>
      </c>
      <c r="F1472" s="128">
        <f t="shared" si="316"/>
        <v>529.23358799999994</v>
      </c>
      <c r="K1472" s="39"/>
    </row>
    <row r="1473" spans="1:14" s="39" customFormat="1" ht="15.6" x14ac:dyDescent="0.3">
      <c r="A1473" s="127">
        <v>13</v>
      </c>
      <c r="B1473" s="90" t="s">
        <v>331</v>
      </c>
      <c r="C1473" s="90">
        <f t="shared" si="314"/>
        <v>352.82239199999998</v>
      </c>
      <c r="D1473" s="91">
        <f t="shared" si="315"/>
        <v>423.38687039999996</v>
      </c>
      <c r="E1473" s="90">
        <v>0</v>
      </c>
      <c r="F1473" s="128">
        <f t="shared" si="316"/>
        <v>529.23358799999994</v>
      </c>
      <c r="G1473" s="157"/>
      <c r="H1473" s="157"/>
      <c r="I1473" s="40"/>
      <c r="J1473" s="54"/>
      <c r="K1473"/>
      <c r="L1473" s="170"/>
      <c r="M1473" s="170"/>
      <c r="N1473" s="40"/>
    </row>
    <row r="1474" spans="1:14" x14ac:dyDescent="0.3">
      <c r="A1474" s="127">
        <v>14</v>
      </c>
      <c r="B1474" s="90" t="s">
        <v>331</v>
      </c>
      <c r="C1474" s="90">
        <f t="shared" si="314"/>
        <v>352.82239199999998</v>
      </c>
      <c r="D1474" s="91">
        <f t="shared" si="315"/>
        <v>423.38687039999996</v>
      </c>
      <c r="E1474" s="90">
        <v>0</v>
      </c>
      <c r="F1474" s="128">
        <f t="shared" si="316"/>
        <v>529.23358799999994</v>
      </c>
    </row>
    <row r="1475" spans="1:14" x14ac:dyDescent="0.3">
      <c r="A1475" s="127">
        <v>15</v>
      </c>
      <c r="B1475" s="90" t="s">
        <v>331</v>
      </c>
      <c r="C1475" s="90">
        <f t="shared" si="314"/>
        <v>352.82239199999998</v>
      </c>
      <c r="D1475" s="91">
        <f t="shared" si="315"/>
        <v>423.38687039999996</v>
      </c>
      <c r="E1475" s="90">
        <v>0</v>
      </c>
      <c r="F1475" s="128">
        <f t="shared" si="316"/>
        <v>529.23358799999994</v>
      </c>
    </row>
    <row r="1476" spans="1:14" ht="15.6" x14ac:dyDescent="0.3">
      <c r="A1476" s="127">
        <v>16</v>
      </c>
      <c r="B1476" s="90" t="s">
        <v>331</v>
      </c>
      <c r="C1476" s="90">
        <f t="shared" si="314"/>
        <v>352.82239199999998</v>
      </c>
      <c r="D1476" s="91">
        <f t="shared" si="315"/>
        <v>423.38687039999996</v>
      </c>
      <c r="E1476" s="90">
        <v>0</v>
      </c>
      <c r="F1476" s="128">
        <f t="shared" si="316"/>
        <v>529.23358799999994</v>
      </c>
      <c r="K1476" s="40"/>
    </row>
    <row r="1477" spans="1:14" ht="15.6" x14ac:dyDescent="0.3">
      <c r="A1477" s="127">
        <v>17</v>
      </c>
      <c r="B1477" s="90" t="s">
        <v>331</v>
      </c>
      <c r="C1477" s="90">
        <f t="shared" si="314"/>
        <v>352.82239199999998</v>
      </c>
      <c r="D1477" s="91">
        <f t="shared" si="315"/>
        <v>423.38687039999996</v>
      </c>
      <c r="E1477" s="90">
        <v>0</v>
      </c>
      <c r="F1477" s="128">
        <f t="shared" si="316"/>
        <v>529.23358799999994</v>
      </c>
      <c r="K1477" s="39"/>
    </row>
    <row r="1478" spans="1:14" s="39" customFormat="1" ht="15.75" customHeight="1" x14ac:dyDescent="0.3">
      <c r="A1478" s="127">
        <v>18</v>
      </c>
      <c r="B1478" s="90" t="s">
        <v>331</v>
      </c>
      <c r="C1478" s="90">
        <f t="shared" si="314"/>
        <v>352.82239199999998</v>
      </c>
      <c r="D1478" s="91">
        <f>C1478*1.2</f>
        <v>423.38687039999996</v>
      </c>
      <c r="E1478" s="90">
        <v>0</v>
      </c>
      <c r="F1478" s="128">
        <f>C1478*(($F$469)+1)+(IF(E1478&lt;101,E1478,IF(E1478&lt;201,E1478/2,IF(E1478&lt;=301,E1478/3,E1478/4))))</f>
        <v>529.23358799999994</v>
      </c>
      <c r="G1478" s="43"/>
      <c r="H1478" s="43"/>
      <c r="K1478"/>
    </row>
    <row r="1479" spans="1:14" s="39" customFormat="1" ht="15.6" x14ac:dyDescent="0.3">
      <c r="A1479" s="127">
        <v>19</v>
      </c>
      <c r="B1479" s="90" t="s">
        <v>331</v>
      </c>
      <c r="C1479" s="90">
        <f t="shared" si="314"/>
        <v>352.82239199999998</v>
      </c>
      <c r="D1479" s="91">
        <f t="shared" ref="D1479:D1500" si="317">C1479*1.2</f>
        <v>423.38687039999996</v>
      </c>
      <c r="E1479" s="90">
        <v>0</v>
      </c>
      <c r="F1479" s="128">
        <f t="shared" ref="F1479:F1500" si="318">C1479*(($F$469)+1)+(IF(E1479&lt;101,E1479,IF(E1479&lt;201,E1479/2,IF(E1479&lt;=301,E1479/3,E1479/4))))</f>
        <v>529.23358799999994</v>
      </c>
      <c r="G1479" s="157"/>
      <c r="H1479" s="157"/>
      <c r="I1479" s="40"/>
      <c r="J1479" s="54"/>
      <c r="K1479"/>
      <c r="L1479" s="170"/>
      <c r="M1479" s="170"/>
      <c r="N1479" s="40"/>
    </row>
    <row r="1480" spans="1:14" x14ac:dyDescent="0.3">
      <c r="A1480" s="127">
        <v>20</v>
      </c>
      <c r="B1480" s="90" t="s">
        <v>331</v>
      </c>
      <c r="C1480" s="90">
        <f t="shared" si="314"/>
        <v>352.82239199999998</v>
      </c>
      <c r="D1480" s="91">
        <f t="shared" si="317"/>
        <v>423.38687039999996</v>
      </c>
      <c r="E1480" s="90">
        <v>0</v>
      </c>
      <c r="F1480" s="128">
        <f t="shared" si="318"/>
        <v>529.23358799999994</v>
      </c>
    </row>
    <row r="1481" spans="1:14" x14ac:dyDescent="0.3">
      <c r="A1481" s="127">
        <v>21</v>
      </c>
      <c r="B1481" s="90" t="s">
        <v>331</v>
      </c>
      <c r="C1481" s="90">
        <f t="shared" si="314"/>
        <v>352.82239199999998</v>
      </c>
      <c r="D1481" s="91">
        <f t="shared" si="317"/>
        <v>423.38687039999996</v>
      </c>
      <c r="E1481" s="90">
        <v>0</v>
      </c>
      <c r="F1481" s="128">
        <f t="shared" si="318"/>
        <v>529.23358799999994</v>
      </c>
    </row>
    <row r="1482" spans="1:14" ht="15.6" x14ac:dyDescent="0.3">
      <c r="A1482" s="127">
        <v>22</v>
      </c>
      <c r="B1482" s="90" t="s">
        <v>331</v>
      </c>
      <c r="C1482" s="90">
        <f t="shared" si="314"/>
        <v>352.82239199999998</v>
      </c>
      <c r="D1482" s="91">
        <f t="shared" si="317"/>
        <v>423.38687039999996</v>
      </c>
      <c r="E1482" s="90">
        <v>0</v>
      </c>
      <c r="F1482" s="128">
        <f t="shared" si="318"/>
        <v>529.23358799999994</v>
      </c>
      <c r="K1482" s="40"/>
    </row>
    <row r="1483" spans="1:14" ht="15.6" x14ac:dyDescent="0.3">
      <c r="A1483" s="127">
        <v>23</v>
      </c>
      <c r="B1483" s="171" t="s">
        <v>335</v>
      </c>
      <c r="C1483" s="172"/>
      <c r="D1483" s="172"/>
      <c r="E1483" s="173"/>
      <c r="F1483" s="128">
        <f t="shared" si="318"/>
        <v>0</v>
      </c>
      <c r="K1483" s="39"/>
    </row>
    <row r="1484" spans="1:14" x14ac:dyDescent="0.3">
      <c r="A1484" s="127">
        <v>24</v>
      </c>
      <c r="B1484" s="90" t="s">
        <v>331</v>
      </c>
      <c r="C1484" s="90">
        <f t="shared" ref="C1484:C1489" si="319">(23.07+1.8*(1.5+1.2)+0.6*1.68+3.2*0.75+1.2*1.2)*10.764</f>
        <v>352.82239199999998</v>
      </c>
      <c r="D1484" s="91">
        <f t="shared" si="317"/>
        <v>423.38687039999996</v>
      </c>
      <c r="E1484" s="90">
        <v>0</v>
      </c>
      <c r="F1484" s="128">
        <f t="shared" si="318"/>
        <v>529.23358799999994</v>
      </c>
    </row>
    <row r="1485" spans="1:14" x14ac:dyDescent="0.3">
      <c r="A1485" s="127">
        <v>25</v>
      </c>
      <c r="B1485" s="90" t="s">
        <v>331</v>
      </c>
      <c r="C1485" s="90">
        <f t="shared" si="319"/>
        <v>352.82239199999998</v>
      </c>
      <c r="D1485" s="91">
        <f t="shared" si="317"/>
        <v>423.38687039999996</v>
      </c>
      <c r="E1485" s="90">
        <v>0</v>
      </c>
      <c r="F1485" s="128">
        <f t="shared" si="318"/>
        <v>529.23358799999994</v>
      </c>
    </row>
    <row r="1486" spans="1:14" ht="15.6" x14ac:dyDescent="0.3">
      <c r="A1486" s="127">
        <v>26</v>
      </c>
      <c r="B1486" s="90" t="s">
        <v>331</v>
      </c>
      <c r="C1486" s="90">
        <f t="shared" si="319"/>
        <v>352.82239199999998</v>
      </c>
      <c r="D1486" s="91">
        <f t="shared" si="317"/>
        <v>423.38687039999996</v>
      </c>
      <c r="E1486" s="90">
        <v>0</v>
      </c>
      <c r="F1486" s="128">
        <f t="shared" si="318"/>
        <v>529.23358799999994</v>
      </c>
      <c r="K1486" s="40"/>
    </row>
    <row r="1487" spans="1:14" ht="15.6" x14ac:dyDescent="0.3">
      <c r="A1487" s="127">
        <v>27</v>
      </c>
      <c r="B1487" s="90" t="s">
        <v>331</v>
      </c>
      <c r="C1487" s="90">
        <f t="shared" si="319"/>
        <v>352.82239199999998</v>
      </c>
      <c r="D1487" s="91">
        <f t="shared" si="317"/>
        <v>423.38687039999996</v>
      </c>
      <c r="E1487" s="90">
        <v>0</v>
      </c>
      <c r="F1487" s="128">
        <f t="shared" si="318"/>
        <v>529.23358799999994</v>
      </c>
      <c r="K1487" s="39"/>
    </row>
    <row r="1488" spans="1:14" ht="15.6" x14ac:dyDescent="0.3">
      <c r="A1488" s="127">
        <v>28</v>
      </c>
      <c r="B1488" s="90" t="s">
        <v>331</v>
      </c>
      <c r="C1488" s="90">
        <f t="shared" si="319"/>
        <v>352.82239199999998</v>
      </c>
      <c r="D1488" s="91">
        <f t="shared" si="317"/>
        <v>423.38687039999996</v>
      </c>
      <c r="E1488" s="90">
        <v>0</v>
      </c>
      <c r="F1488" s="128">
        <f t="shared" si="318"/>
        <v>529.23358799999994</v>
      </c>
      <c r="K1488" s="39"/>
    </row>
    <row r="1489" spans="1:12" ht="15.6" x14ac:dyDescent="0.3">
      <c r="A1489" s="127">
        <v>29</v>
      </c>
      <c r="B1489" s="90" t="s">
        <v>331</v>
      </c>
      <c r="C1489" s="90">
        <f t="shared" si="319"/>
        <v>352.82239199999998</v>
      </c>
      <c r="D1489" s="91">
        <f t="shared" si="317"/>
        <v>423.38687039999996</v>
      </c>
      <c r="E1489" s="90">
        <v>0</v>
      </c>
      <c r="F1489" s="128">
        <f t="shared" si="318"/>
        <v>529.23358799999994</v>
      </c>
      <c r="K1489" s="40"/>
    </row>
    <row r="1490" spans="1:12" ht="15.6" x14ac:dyDescent="0.3">
      <c r="A1490" s="127">
        <v>30</v>
      </c>
      <c r="B1490" s="159" t="s">
        <v>335</v>
      </c>
      <c r="C1490" s="160"/>
      <c r="D1490" s="160"/>
      <c r="E1490" s="161"/>
      <c r="F1490" s="128">
        <f t="shared" si="318"/>
        <v>0</v>
      </c>
      <c r="K1490" s="39"/>
    </row>
    <row r="1491" spans="1:12" x14ac:dyDescent="0.3">
      <c r="A1491" s="127">
        <v>31</v>
      </c>
      <c r="B1491" s="165"/>
      <c r="C1491" s="166"/>
      <c r="D1491" s="166"/>
      <c r="E1491" s="167"/>
      <c r="F1491" s="128">
        <f t="shared" si="318"/>
        <v>0</v>
      </c>
    </row>
    <row r="1492" spans="1:12" x14ac:dyDescent="0.3">
      <c r="A1492" s="127">
        <v>32</v>
      </c>
      <c r="B1492" s="90" t="s">
        <v>331</v>
      </c>
      <c r="C1492" s="90">
        <f t="shared" ref="C1492:C1500" si="320">(23.07+1.8*(1.5+1.2)+0.6*1.68+3.2*0.75+1.2*1.2)*10.764</f>
        <v>352.82239199999998</v>
      </c>
      <c r="D1492" s="91">
        <f t="shared" si="317"/>
        <v>423.38687039999996</v>
      </c>
      <c r="E1492" s="90">
        <v>0</v>
      </c>
      <c r="F1492" s="128">
        <f t="shared" si="318"/>
        <v>529.23358799999994</v>
      </c>
    </row>
    <row r="1493" spans="1:12" ht="15.6" x14ac:dyDescent="0.3">
      <c r="A1493" s="127">
        <v>33</v>
      </c>
      <c r="B1493" s="90" t="s">
        <v>331</v>
      </c>
      <c r="C1493" s="90">
        <f t="shared" si="320"/>
        <v>352.82239199999998</v>
      </c>
      <c r="D1493" s="91">
        <f t="shared" si="317"/>
        <v>423.38687039999996</v>
      </c>
      <c r="E1493" s="90">
        <v>0</v>
      </c>
      <c r="F1493" s="128">
        <f t="shared" si="318"/>
        <v>529.23358799999994</v>
      </c>
      <c r="K1493" s="40"/>
    </row>
    <row r="1494" spans="1:12" ht="15.6" x14ac:dyDescent="0.3">
      <c r="A1494" s="127">
        <v>34</v>
      </c>
      <c r="B1494" s="90" t="s">
        <v>331</v>
      </c>
      <c r="C1494" s="90">
        <f t="shared" si="320"/>
        <v>352.82239199999998</v>
      </c>
      <c r="D1494" s="91">
        <f t="shared" si="317"/>
        <v>423.38687039999996</v>
      </c>
      <c r="E1494" s="90">
        <v>0</v>
      </c>
      <c r="F1494" s="128">
        <f t="shared" si="318"/>
        <v>529.23358799999994</v>
      </c>
      <c r="K1494" s="39"/>
    </row>
    <row r="1495" spans="1:12" ht="15.6" x14ac:dyDescent="0.3">
      <c r="A1495" s="127">
        <v>35</v>
      </c>
      <c r="B1495" s="90" t="s">
        <v>331</v>
      </c>
      <c r="C1495" s="90">
        <f t="shared" si="320"/>
        <v>352.82239199999998</v>
      </c>
      <c r="D1495" s="91">
        <f t="shared" si="317"/>
        <v>423.38687039999996</v>
      </c>
      <c r="E1495" s="90">
        <v>0</v>
      </c>
      <c r="F1495" s="128">
        <f t="shared" si="318"/>
        <v>529.23358799999994</v>
      </c>
      <c r="K1495" s="39"/>
    </row>
    <row r="1496" spans="1:12" ht="15.6" x14ac:dyDescent="0.3">
      <c r="A1496" s="127">
        <v>36</v>
      </c>
      <c r="B1496" s="90" t="s">
        <v>331</v>
      </c>
      <c r="C1496" s="90">
        <f t="shared" si="320"/>
        <v>352.82239199999998</v>
      </c>
      <c r="D1496" s="91">
        <f t="shared" si="317"/>
        <v>423.38687039999996</v>
      </c>
      <c r="E1496" s="90">
        <v>0</v>
      </c>
      <c r="F1496" s="128">
        <f t="shared" si="318"/>
        <v>529.23358799999994</v>
      </c>
      <c r="K1496" s="39"/>
    </row>
    <row r="1497" spans="1:12" ht="15.6" x14ac:dyDescent="0.3">
      <c r="A1497" s="127">
        <v>37</v>
      </c>
      <c r="B1497" s="90" t="s">
        <v>331</v>
      </c>
      <c r="C1497" s="90">
        <f t="shared" si="320"/>
        <v>352.82239199999998</v>
      </c>
      <c r="D1497" s="91">
        <f t="shared" si="317"/>
        <v>423.38687039999996</v>
      </c>
      <c r="E1497" s="90">
        <v>0</v>
      </c>
      <c r="F1497" s="128">
        <f t="shared" si="318"/>
        <v>529.23358799999994</v>
      </c>
      <c r="K1497" s="40"/>
    </row>
    <row r="1498" spans="1:12" ht="15.6" x14ac:dyDescent="0.3">
      <c r="A1498" s="127">
        <v>38</v>
      </c>
      <c r="B1498" s="90" t="s">
        <v>331</v>
      </c>
      <c r="C1498" s="90">
        <f t="shared" si="320"/>
        <v>352.82239199999998</v>
      </c>
      <c r="D1498" s="91">
        <f t="shared" si="317"/>
        <v>423.38687039999996</v>
      </c>
      <c r="E1498" s="90">
        <v>0</v>
      </c>
      <c r="F1498" s="128">
        <f t="shared" si="318"/>
        <v>529.23358799999994</v>
      </c>
      <c r="K1498" s="39"/>
    </row>
    <row r="1499" spans="1:12" ht="15.6" x14ac:dyDescent="0.3">
      <c r="A1499" s="127">
        <v>39</v>
      </c>
      <c r="B1499" s="90" t="s">
        <v>331</v>
      </c>
      <c r="C1499" s="90">
        <f t="shared" si="320"/>
        <v>352.82239199999998</v>
      </c>
      <c r="D1499" s="91">
        <f t="shared" si="317"/>
        <v>423.38687039999996</v>
      </c>
      <c r="E1499" s="90">
        <v>0</v>
      </c>
      <c r="F1499" s="128">
        <f t="shared" si="318"/>
        <v>529.23358799999994</v>
      </c>
      <c r="K1499" s="39"/>
    </row>
    <row r="1500" spans="1:12" ht="15.6" x14ac:dyDescent="0.3">
      <c r="A1500" s="127">
        <v>40</v>
      </c>
      <c r="B1500" s="90" t="s">
        <v>331</v>
      </c>
      <c r="C1500" s="90">
        <f t="shared" si="320"/>
        <v>352.82239199999998</v>
      </c>
      <c r="D1500" s="91">
        <f t="shared" si="317"/>
        <v>423.38687039999996</v>
      </c>
      <c r="E1500" s="90">
        <v>0</v>
      </c>
      <c r="F1500" s="128">
        <f t="shared" si="318"/>
        <v>529.23358799999994</v>
      </c>
      <c r="K1500" s="39"/>
    </row>
    <row r="1501" spans="1:12" x14ac:dyDescent="0.3">
      <c r="A1501" s="378" t="s">
        <v>59</v>
      </c>
      <c r="B1501" s="379"/>
      <c r="C1501" s="379"/>
      <c r="D1501" s="379"/>
      <c r="E1501" s="379"/>
      <c r="F1501" s="380"/>
    </row>
    <row r="1502" spans="1:12" ht="28.5" customHeight="1" x14ac:dyDescent="0.3">
      <c r="A1502" s="118" t="s">
        <v>212</v>
      </c>
      <c r="B1502" s="168" t="s">
        <v>272</v>
      </c>
      <c r="C1502" s="169"/>
      <c r="D1502" s="47" t="s">
        <v>213</v>
      </c>
      <c r="E1502" s="168" t="s">
        <v>273</v>
      </c>
      <c r="F1502" s="263"/>
      <c r="K1502" s="1"/>
    </row>
    <row r="1503" spans="1:12" s="1" customFormat="1" ht="13.2" x14ac:dyDescent="0.25">
      <c r="A1503" s="118">
        <v>1</v>
      </c>
      <c r="B1503" s="148" t="s">
        <v>389</v>
      </c>
      <c r="C1503" s="149"/>
      <c r="D1503" s="92">
        <v>5000</v>
      </c>
      <c r="E1503" s="148" t="s">
        <v>274</v>
      </c>
      <c r="F1503" s="150"/>
      <c r="G1503" s="50"/>
      <c r="H1503" s="174"/>
      <c r="I1503" s="174"/>
      <c r="J1503" s="50"/>
      <c r="L1503" s="52"/>
    </row>
    <row r="1504" spans="1:12" s="1" customFormat="1" ht="13.2" hidden="1" x14ac:dyDescent="0.25">
      <c r="A1504" s="118">
        <v>2</v>
      </c>
      <c r="B1504" s="148" t="s">
        <v>341</v>
      </c>
      <c r="C1504" s="149"/>
      <c r="D1504" s="92">
        <v>5000</v>
      </c>
      <c r="E1504" s="148" t="s">
        <v>274</v>
      </c>
      <c r="F1504" s="150"/>
    </row>
    <row r="1505" spans="1:12" s="1" customFormat="1" ht="13.2" hidden="1" x14ac:dyDescent="0.25">
      <c r="A1505" s="118">
        <v>3</v>
      </c>
      <c r="B1505" s="148" t="s">
        <v>343</v>
      </c>
      <c r="C1505" s="149"/>
      <c r="D1505" s="92">
        <v>5000</v>
      </c>
      <c r="E1505" s="148" t="s">
        <v>274</v>
      </c>
      <c r="F1505" s="150"/>
      <c r="K1505" s="51"/>
    </row>
    <row r="1506" spans="1:12" s="1" customFormat="1" ht="13.2" hidden="1" x14ac:dyDescent="0.25">
      <c r="A1506" s="118">
        <v>4</v>
      </c>
      <c r="B1506" s="148" t="s">
        <v>323</v>
      </c>
      <c r="C1506" s="149"/>
      <c r="D1506" s="92">
        <v>5000</v>
      </c>
      <c r="E1506" s="148" t="s">
        <v>274</v>
      </c>
      <c r="F1506" s="150"/>
    </row>
    <row r="1507" spans="1:12" s="1" customFormat="1" ht="13.2" hidden="1" x14ac:dyDescent="0.25">
      <c r="A1507" s="118">
        <v>5</v>
      </c>
      <c r="B1507" s="148" t="s">
        <v>363</v>
      </c>
      <c r="C1507" s="149"/>
      <c r="D1507" s="92">
        <v>5000</v>
      </c>
      <c r="E1507" s="148" t="s">
        <v>274</v>
      </c>
      <c r="F1507" s="150"/>
    </row>
    <row r="1508" spans="1:12" s="1" customFormat="1" ht="13.2" hidden="1" x14ac:dyDescent="0.25">
      <c r="A1508" s="118">
        <v>6</v>
      </c>
      <c r="B1508" s="148" t="s">
        <v>346</v>
      </c>
      <c r="C1508" s="149"/>
      <c r="D1508" s="92">
        <v>5000</v>
      </c>
      <c r="E1508" s="148" t="s">
        <v>274</v>
      </c>
      <c r="F1508" s="150"/>
    </row>
    <row r="1509" spans="1:12" s="1" customFormat="1" ht="13.2" hidden="1" x14ac:dyDescent="0.25">
      <c r="A1509" s="118">
        <v>4</v>
      </c>
      <c r="B1509" s="148" t="s">
        <v>349</v>
      </c>
      <c r="C1509" s="149"/>
      <c r="D1509" s="92">
        <v>5000</v>
      </c>
      <c r="E1509" s="148" t="s">
        <v>274</v>
      </c>
      <c r="F1509" s="150"/>
    </row>
    <row r="1510" spans="1:12" s="1" customFormat="1" ht="13.2" hidden="1" x14ac:dyDescent="0.25">
      <c r="A1510" s="118">
        <v>5</v>
      </c>
      <c r="B1510" s="148" t="s">
        <v>350</v>
      </c>
      <c r="C1510" s="149"/>
      <c r="D1510" s="92">
        <v>5000</v>
      </c>
      <c r="E1510" s="148" t="s">
        <v>274</v>
      </c>
      <c r="F1510" s="150"/>
    </row>
    <row r="1511" spans="1:12" s="1" customFormat="1" ht="13.2" hidden="1" x14ac:dyDescent="0.25">
      <c r="A1511" s="118">
        <v>6</v>
      </c>
      <c r="B1511" s="148" t="s">
        <v>351</v>
      </c>
      <c r="C1511" s="149"/>
      <c r="D1511" s="92">
        <v>5000</v>
      </c>
      <c r="E1511" s="148" t="s">
        <v>274</v>
      </c>
      <c r="F1511" s="150"/>
    </row>
    <row r="1512" spans="1:12" s="1" customFormat="1" ht="13.2" hidden="1" x14ac:dyDescent="0.25">
      <c r="A1512" s="118">
        <v>6</v>
      </c>
      <c r="B1512" s="148" t="s">
        <v>352</v>
      </c>
      <c r="C1512" s="149"/>
      <c r="D1512" s="92">
        <v>5000</v>
      </c>
      <c r="E1512" s="148" t="s">
        <v>274</v>
      </c>
      <c r="F1512" s="150"/>
    </row>
    <row r="1513" spans="1:12" s="1" customFormat="1" ht="36" x14ac:dyDescent="0.25">
      <c r="A1513" s="118" t="s">
        <v>214</v>
      </c>
      <c r="B1513" s="47" t="s">
        <v>215</v>
      </c>
      <c r="C1513" s="47" t="s">
        <v>216</v>
      </c>
      <c r="D1513" s="47" t="s">
        <v>217</v>
      </c>
      <c r="E1513" s="47" t="s">
        <v>218</v>
      </c>
      <c r="F1513" s="115" t="s">
        <v>219</v>
      </c>
      <c r="K1513" s="52"/>
    </row>
    <row r="1514" spans="1:12" s="1" customFormat="1" ht="13.2" x14ac:dyDescent="0.25">
      <c r="A1514" s="118" t="s">
        <v>220</v>
      </c>
      <c r="B1514" s="92" t="s">
        <v>248</v>
      </c>
      <c r="C1514" s="92" t="s">
        <v>248</v>
      </c>
      <c r="D1514" s="92"/>
      <c r="E1514" s="92"/>
      <c r="F1514" s="129"/>
      <c r="G1514" s="53"/>
      <c r="H1514" s="53"/>
      <c r="I1514" s="53"/>
      <c r="J1514" s="53"/>
      <c r="L1514" s="53"/>
    </row>
    <row r="1515" spans="1:12" s="1" customFormat="1" ht="13.2" hidden="1" x14ac:dyDescent="0.25">
      <c r="A1515" s="118" t="s">
        <v>221</v>
      </c>
      <c r="B1515" s="92"/>
      <c r="C1515" s="92"/>
      <c r="D1515" s="92"/>
      <c r="E1515" s="92"/>
      <c r="F1515" s="129"/>
    </row>
    <row r="1516" spans="1:12" s="1" customFormat="1" ht="13.2" hidden="1" x14ac:dyDescent="0.25">
      <c r="A1516" s="118" t="s">
        <v>222</v>
      </c>
      <c r="B1516" s="92"/>
      <c r="C1516" s="92"/>
      <c r="D1516" s="92"/>
      <c r="E1516" s="92"/>
      <c r="F1516" s="129"/>
    </row>
    <row r="1517" spans="1:12" s="1" customFormat="1" ht="13.2" hidden="1" x14ac:dyDescent="0.25">
      <c r="A1517" s="118" t="s">
        <v>223</v>
      </c>
      <c r="B1517" s="92"/>
      <c r="C1517" s="92"/>
      <c r="D1517" s="92"/>
      <c r="E1517" s="92"/>
      <c r="F1517" s="129"/>
    </row>
    <row r="1518" spans="1:12" s="1" customFormat="1" ht="36" x14ac:dyDescent="0.25">
      <c r="A1518" s="118" t="s">
        <v>224</v>
      </c>
      <c r="B1518" s="47" t="s">
        <v>215</v>
      </c>
      <c r="C1518" s="47" t="s">
        <v>216</v>
      </c>
      <c r="D1518" s="168" t="s">
        <v>225</v>
      </c>
      <c r="E1518" s="169"/>
      <c r="F1518" s="115" t="s">
        <v>226</v>
      </c>
    </row>
    <row r="1519" spans="1:12" s="1" customFormat="1" ht="13.2" x14ac:dyDescent="0.25">
      <c r="A1519" s="118" t="s">
        <v>227</v>
      </c>
      <c r="B1519" s="92" t="s">
        <v>248</v>
      </c>
      <c r="C1519" s="92" t="s">
        <v>248</v>
      </c>
      <c r="D1519" s="148"/>
      <c r="E1519" s="149"/>
      <c r="F1519" s="129"/>
      <c r="G1519" s="51"/>
      <c r="H1519" s="51"/>
      <c r="I1519" s="51"/>
      <c r="J1519" s="51"/>
      <c r="L1519" s="51"/>
    </row>
    <row r="1520" spans="1:12" s="1" customFormat="1" ht="13.2" hidden="1" x14ac:dyDescent="0.25">
      <c r="A1520" s="118" t="s">
        <v>228</v>
      </c>
      <c r="B1520" s="92"/>
      <c r="C1520" s="92"/>
      <c r="D1520" s="148"/>
      <c r="E1520" s="149"/>
      <c r="F1520" s="129"/>
    </row>
    <row r="1521" spans="1:12" s="1" customFormat="1" ht="13.2" hidden="1" x14ac:dyDescent="0.25">
      <c r="A1521" s="118" t="s">
        <v>229</v>
      </c>
      <c r="B1521" s="92"/>
      <c r="C1521" s="92"/>
      <c r="D1521" s="148"/>
      <c r="E1521" s="149"/>
      <c r="F1521" s="129"/>
    </row>
    <row r="1522" spans="1:12" s="1" customFormat="1" ht="36" x14ac:dyDescent="0.25">
      <c r="A1522" s="118" t="s">
        <v>230</v>
      </c>
      <c r="B1522" s="47" t="s">
        <v>215</v>
      </c>
      <c r="C1522" s="47" t="s">
        <v>216</v>
      </c>
      <c r="D1522" s="168" t="s">
        <v>231</v>
      </c>
      <c r="E1522" s="169"/>
      <c r="F1522" s="115" t="s">
        <v>232</v>
      </c>
    </row>
    <row r="1523" spans="1:12" s="1" customFormat="1" x14ac:dyDescent="0.3">
      <c r="A1523" s="118" t="s">
        <v>150</v>
      </c>
      <c r="B1523" s="92" t="s">
        <v>248</v>
      </c>
      <c r="C1523" s="92">
        <v>150000</v>
      </c>
      <c r="D1523" s="148"/>
      <c r="E1523" s="149"/>
      <c r="F1523" s="129"/>
      <c r="G1523" s="50"/>
      <c r="H1523" s="50"/>
      <c r="I1523" s="50"/>
      <c r="J1523" s="52"/>
      <c r="K1523" s="44"/>
      <c r="L1523" s="50"/>
    </row>
    <row r="1524" spans="1:12" s="1" customFormat="1" ht="24" hidden="1" x14ac:dyDescent="0.3">
      <c r="A1524" s="118" t="s">
        <v>233</v>
      </c>
      <c r="B1524" s="92"/>
      <c r="C1524" s="92"/>
      <c r="D1524" s="148"/>
      <c r="E1524" s="149"/>
      <c r="F1524" s="129"/>
      <c r="G1524" s="50"/>
      <c r="K1524"/>
    </row>
    <row r="1525" spans="1:12" s="1" customFormat="1" ht="24" hidden="1" x14ac:dyDescent="0.3">
      <c r="A1525" s="118" t="s">
        <v>234</v>
      </c>
      <c r="B1525" s="92"/>
      <c r="C1525" s="92"/>
      <c r="D1525" s="148"/>
      <c r="E1525" s="149"/>
      <c r="F1525" s="129"/>
      <c r="G1525" s="50"/>
      <c r="K1525" s="44"/>
    </row>
    <row r="1526" spans="1:12" s="1" customFormat="1" hidden="1" x14ac:dyDescent="0.3">
      <c r="A1526" s="118" t="s">
        <v>235</v>
      </c>
      <c r="B1526" s="92"/>
      <c r="C1526" s="92"/>
      <c r="D1526" s="148"/>
      <c r="E1526" s="149"/>
      <c r="F1526" s="129"/>
      <c r="G1526" s="50"/>
      <c r="K1526"/>
    </row>
    <row r="1527" spans="1:12" s="1" customFormat="1" hidden="1" x14ac:dyDescent="0.3">
      <c r="A1527" s="118" t="s">
        <v>236</v>
      </c>
      <c r="B1527" s="92"/>
      <c r="C1527" s="92"/>
      <c r="D1527" s="148"/>
      <c r="E1527" s="149"/>
      <c r="F1527" s="129"/>
      <c r="G1527" s="50"/>
      <c r="K1527"/>
    </row>
    <row r="1528" spans="1:12" s="1" customFormat="1" hidden="1" x14ac:dyDescent="0.3">
      <c r="A1528" s="118" t="s">
        <v>237</v>
      </c>
      <c r="B1528" s="92"/>
      <c r="C1528" s="92"/>
      <c r="D1528" s="148"/>
      <c r="E1528" s="149"/>
      <c r="F1528" s="129"/>
      <c r="G1528" s="50"/>
      <c r="K1528"/>
    </row>
    <row r="1529" spans="1:12" s="1" customFormat="1" hidden="1" x14ac:dyDescent="0.3">
      <c r="A1529" s="118" t="s">
        <v>238</v>
      </c>
      <c r="B1529" s="92"/>
      <c r="C1529" s="92"/>
      <c r="D1529" s="148"/>
      <c r="E1529" s="149"/>
      <c r="F1529" s="129"/>
      <c r="G1529" s="50"/>
      <c r="K1529"/>
    </row>
    <row r="1530" spans="1:12" s="1" customFormat="1" ht="30" hidden="1" customHeight="1" x14ac:dyDescent="0.3">
      <c r="A1530" s="118" t="s">
        <v>239</v>
      </c>
      <c r="B1530" s="92"/>
      <c r="C1530" s="92"/>
      <c r="D1530" s="148"/>
      <c r="E1530" s="149"/>
      <c r="F1530" s="129"/>
      <c r="G1530" s="50"/>
      <c r="K1530"/>
    </row>
    <row r="1531" spans="1:12" s="1" customFormat="1" ht="30" hidden="1" customHeight="1" x14ac:dyDescent="0.3">
      <c r="A1531" s="118" t="s">
        <v>240</v>
      </c>
      <c r="B1531" s="92"/>
      <c r="C1531" s="92"/>
      <c r="D1531" s="148"/>
      <c r="E1531" s="149"/>
      <c r="F1531" s="129"/>
      <c r="G1531" s="50"/>
      <c r="K1531"/>
    </row>
    <row r="1532" spans="1:12" s="1" customFormat="1" x14ac:dyDescent="0.3">
      <c r="A1532" s="245" t="s">
        <v>60</v>
      </c>
      <c r="B1532" s="246"/>
      <c r="C1532" s="246"/>
      <c r="D1532" s="246"/>
      <c r="E1532" s="246"/>
      <c r="F1532" s="247"/>
      <c r="G1532" s="50"/>
      <c r="K1532"/>
    </row>
    <row r="1533" spans="1:12" s="44" customFormat="1" x14ac:dyDescent="0.3">
      <c r="A1533" s="130">
        <v>1</v>
      </c>
      <c r="B1533" s="248" t="s">
        <v>275</v>
      </c>
      <c r="C1533" s="248"/>
      <c r="D1533" s="248"/>
      <c r="E1533" s="248"/>
      <c r="F1533" s="249"/>
      <c r="K1533"/>
    </row>
    <row r="1534" spans="1:12" s="44" customFormat="1" x14ac:dyDescent="0.3">
      <c r="A1534" s="130">
        <f t="shared" ref="A1534:A1540" si="321">A1533+1</f>
        <v>2</v>
      </c>
      <c r="B1534" s="248" t="s">
        <v>283</v>
      </c>
      <c r="C1534" s="248"/>
      <c r="D1534" s="248"/>
      <c r="E1534" s="248"/>
      <c r="F1534" s="249"/>
      <c r="K1534"/>
    </row>
    <row r="1535" spans="1:12" s="44" customFormat="1" x14ac:dyDescent="0.3">
      <c r="A1535" s="130">
        <f t="shared" si="321"/>
        <v>3</v>
      </c>
      <c r="B1535" s="250" t="str">
        <f>(IF(F468="Saleable area Loading :","We have considered Saleable area of Flats as per our Calculation.","We considered Saleable area of Flat as per Builder area Sheet."))</f>
        <v>We have considered Saleable area of Flats as per our Calculation.</v>
      </c>
      <c r="C1535" s="251"/>
      <c r="D1535" s="251"/>
      <c r="E1535" s="251"/>
      <c r="F1535" s="252"/>
      <c r="K1535"/>
    </row>
    <row r="1536" spans="1:12" s="44" customFormat="1" x14ac:dyDescent="0.3">
      <c r="A1536" s="130">
        <f t="shared" si="321"/>
        <v>4</v>
      </c>
      <c r="B1536" s="261" t="s">
        <v>337</v>
      </c>
      <c r="C1536" s="261"/>
      <c r="D1536" s="261"/>
      <c r="E1536" s="261"/>
      <c r="F1536" s="262"/>
      <c r="K1536"/>
    </row>
    <row r="1537" spans="1:11" s="44" customFormat="1" x14ac:dyDescent="0.3">
      <c r="A1537" s="130">
        <f t="shared" si="321"/>
        <v>5</v>
      </c>
      <c r="B1537" s="261" t="s">
        <v>276</v>
      </c>
      <c r="C1537" s="261"/>
      <c r="D1537" s="261"/>
      <c r="E1537" s="261"/>
      <c r="F1537" s="262"/>
      <c r="K1537"/>
    </row>
    <row r="1538" spans="1:11" s="44" customFormat="1" x14ac:dyDescent="0.3">
      <c r="A1538" s="130">
        <f t="shared" si="321"/>
        <v>6</v>
      </c>
      <c r="B1538" s="261" t="s">
        <v>410</v>
      </c>
      <c r="C1538" s="261"/>
      <c r="D1538" s="261"/>
      <c r="E1538" s="261"/>
      <c r="F1538" s="262"/>
      <c r="G1538" s="44" t="s">
        <v>409</v>
      </c>
      <c r="K1538"/>
    </row>
    <row r="1539" spans="1:11" s="44" customFormat="1" x14ac:dyDescent="0.3">
      <c r="A1539" s="130">
        <f t="shared" si="321"/>
        <v>7</v>
      </c>
      <c r="B1539" s="261" t="s">
        <v>277</v>
      </c>
      <c r="C1539" s="261"/>
      <c r="D1539" s="261"/>
      <c r="E1539" s="261"/>
      <c r="F1539" s="262"/>
      <c r="K1539"/>
    </row>
    <row r="1540" spans="1:11" s="44" customFormat="1" ht="25.5" customHeight="1" thickBot="1" x14ac:dyDescent="0.35">
      <c r="A1540" s="131">
        <f t="shared" si="321"/>
        <v>8</v>
      </c>
      <c r="B1540" s="145" t="s">
        <v>278</v>
      </c>
      <c r="C1540" s="146"/>
      <c r="D1540" s="146"/>
      <c r="E1540" s="146"/>
      <c r="F1540" s="147"/>
      <c r="H1540" s="1" t="s">
        <v>404</v>
      </c>
      <c r="K1540"/>
    </row>
    <row r="1541" spans="1:11" s="44" customFormat="1" x14ac:dyDescent="0.3">
      <c r="A1541" s="135" t="s">
        <v>61</v>
      </c>
      <c r="B1541" s="135"/>
      <c r="C1541" s="136" t="str">
        <f>B2</f>
        <v>Suraksha Smart City - Phase I</v>
      </c>
      <c r="D1541" s="136"/>
      <c r="E1541" s="136"/>
      <c r="F1541" s="136"/>
      <c r="K1541"/>
    </row>
    <row r="1590" spans="1:11" s="44" customFormat="1" x14ac:dyDescent="0.3">
      <c r="A1590" s="135" t="s">
        <v>61</v>
      </c>
      <c r="B1590" s="135"/>
      <c r="C1590" s="136" t="str">
        <f>B2</f>
        <v>Suraksha Smart City - Phase I</v>
      </c>
      <c r="D1590" s="136"/>
      <c r="E1590" s="136"/>
      <c r="F1590" s="136"/>
      <c r="K1590"/>
    </row>
    <row r="1636" spans="1:1" x14ac:dyDescent="0.3">
      <c r="A1636" s="48" t="s">
        <v>62</v>
      </c>
    </row>
    <row r="1682" spans="1:1" x14ac:dyDescent="0.3">
      <c r="A1682" s="48" t="s">
        <v>63</v>
      </c>
    </row>
    <row r="1726" spans="1:6" ht="62.25" customHeight="1" x14ac:dyDescent="0.3">
      <c r="A1726" s="103" t="s">
        <v>64</v>
      </c>
      <c r="B1726" s="110" t="s">
        <v>364</v>
      </c>
      <c r="C1726" s="259" t="s">
        <v>390</v>
      </c>
      <c r="D1726" s="259"/>
      <c r="E1726" s="260"/>
      <c r="F1726" s="260"/>
    </row>
    <row r="1727" spans="1:6" ht="57" customHeight="1" x14ac:dyDescent="0.3"/>
  </sheetData>
  <dataConsolidate/>
  <mergeCells count="825">
    <mergeCell ref="E199:F199"/>
    <mergeCell ref="E200:F209"/>
    <mergeCell ref="L705:M705"/>
    <mergeCell ref="G711:H711"/>
    <mergeCell ref="A674:F674"/>
    <mergeCell ref="L711:M711"/>
    <mergeCell ref="L751:M751"/>
    <mergeCell ref="A732:F732"/>
    <mergeCell ref="G734:H734"/>
    <mergeCell ref="L734:M734"/>
    <mergeCell ref="G740:H740"/>
    <mergeCell ref="L740:M740"/>
    <mergeCell ref="G745:H745"/>
    <mergeCell ref="L745:M745"/>
    <mergeCell ref="B745:E747"/>
    <mergeCell ref="L323:M323"/>
    <mergeCell ref="G329:H329"/>
    <mergeCell ref="L329:M329"/>
    <mergeCell ref="G336:H336"/>
    <mergeCell ref="L336:M336"/>
    <mergeCell ref="A598:F598"/>
    <mergeCell ref="G600:H600"/>
    <mergeCell ref="L600:M600"/>
    <mergeCell ref="G606:H606"/>
    <mergeCell ref="L1468:M1468"/>
    <mergeCell ref="G1473:H1473"/>
    <mergeCell ref="L1473:M1473"/>
    <mergeCell ref="G1479:H1479"/>
    <mergeCell ref="L1479:M1479"/>
    <mergeCell ref="B1465:E1466"/>
    <mergeCell ref="A1419:F1419"/>
    <mergeCell ref="G1421:H1421"/>
    <mergeCell ref="L1421:M1421"/>
    <mergeCell ref="G1427:H1427"/>
    <mergeCell ref="L1427:M1427"/>
    <mergeCell ref="A1460:F1460"/>
    <mergeCell ref="G1462:H1462"/>
    <mergeCell ref="L1462:M1462"/>
    <mergeCell ref="G1438:H1438"/>
    <mergeCell ref="L1438:M1438"/>
    <mergeCell ref="L611:M611"/>
    <mergeCell ref="G617:H617"/>
    <mergeCell ref="L617:M617"/>
    <mergeCell ref="A635:F635"/>
    <mergeCell ref="G637:H637"/>
    <mergeCell ref="L637:M637"/>
    <mergeCell ref="G643:H643"/>
    <mergeCell ref="L643:M643"/>
    <mergeCell ref="B640:E641"/>
    <mergeCell ref="L632:M632"/>
    <mergeCell ref="L1359:M1359"/>
    <mergeCell ref="B1345:E1346"/>
    <mergeCell ref="B1363:E1363"/>
    <mergeCell ref="B1370:E1370"/>
    <mergeCell ref="A1377:F1377"/>
    <mergeCell ref="G1377:K1377"/>
    <mergeCell ref="G1432:H1432"/>
    <mergeCell ref="L1432:M1432"/>
    <mergeCell ref="A1378:F1378"/>
    <mergeCell ref="G1380:H1380"/>
    <mergeCell ref="L1380:M1380"/>
    <mergeCell ref="G1386:H1386"/>
    <mergeCell ref="L1386:M1386"/>
    <mergeCell ref="G1391:H1391"/>
    <mergeCell ref="L1391:M1391"/>
    <mergeCell ref="G1397:H1397"/>
    <mergeCell ref="L1397:M1397"/>
    <mergeCell ref="G1359:H1359"/>
    <mergeCell ref="L1342:M1342"/>
    <mergeCell ref="G1348:H1348"/>
    <mergeCell ref="L1348:M1348"/>
    <mergeCell ref="G1353:H1353"/>
    <mergeCell ref="L1353:M1353"/>
    <mergeCell ref="G1316:H1316"/>
    <mergeCell ref="L1274:M1274"/>
    <mergeCell ref="G1279:H1279"/>
    <mergeCell ref="L1279:M1279"/>
    <mergeCell ref="G1285:H1285"/>
    <mergeCell ref="L1285:M1285"/>
    <mergeCell ref="L1316:M1316"/>
    <mergeCell ref="G1322:H1322"/>
    <mergeCell ref="L1322:M1322"/>
    <mergeCell ref="G1342:H1342"/>
    <mergeCell ref="L1305:M1305"/>
    <mergeCell ref="G1311:H1311"/>
    <mergeCell ref="L1311:M1311"/>
    <mergeCell ref="G1274:H1274"/>
    <mergeCell ref="L1249:M1249"/>
    <mergeCell ref="G1255:H1255"/>
    <mergeCell ref="L1255:M1255"/>
    <mergeCell ref="B1249:E1251"/>
    <mergeCell ref="A1265:F1265"/>
    <mergeCell ref="G1265:K1265"/>
    <mergeCell ref="A1266:F1266"/>
    <mergeCell ref="G1268:H1268"/>
    <mergeCell ref="L1268:M1268"/>
    <mergeCell ref="G1249:H1249"/>
    <mergeCell ref="L1215:M1215"/>
    <mergeCell ref="G1220:H1220"/>
    <mergeCell ref="L1220:M1220"/>
    <mergeCell ref="G1226:H1226"/>
    <mergeCell ref="L1226:M1226"/>
    <mergeCell ref="A1236:F1236"/>
    <mergeCell ref="G1238:H1238"/>
    <mergeCell ref="L1238:M1238"/>
    <mergeCell ref="G1244:H1244"/>
    <mergeCell ref="L1244:M1244"/>
    <mergeCell ref="G1215:H1215"/>
    <mergeCell ref="L1180:M1180"/>
    <mergeCell ref="G1186:H1186"/>
    <mergeCell ref="L1186:M1186"/>
    <mergeCell ref="G1191:H1191"/>
    <mergeCell ref="L1191:M1191"/>
    <mergeCell ref="G1197:H1197"/>
    <mergeCell ref="L1197:M1197"/>
    <mergeCell ref="A1207:F1207"/>
    <mergeCell ref="G1209:H1209"/>
    <mergeCell ref="L1209:M1209"/>
    <mergeCell ref="G1180:H1180"/>
    <mergeCell ref="L839:M839"/>
    <mergeCell ref="B833:E835"/>
    <mergeCell ref="A1177:F1177"/>
    <mergeCell ref="G1177:K1177"/>
    <mergeCell ref="A1178:F1178"/>
    <mergeCell ref="A1049:F1049"/>
    <mergeCell ref="G1049:H1049"/>
    <mergeCell ref="B1173:E1173"/>
    <mergeCell ref="L900:M900"/>
    <mergeCell ref="G849:K849"/>
    <mergeCell ref="G852:H852"/>
    <mergeCell ref="L852:M852"/>
    <mergeCell ref="G858:H858"/>
    <mergeCell ref="L858:M858"/>
    <mergeCell ref="G863:H863"/>
    <mergeCell ref="L863:M863"/>
    <mergeCell ref="G869:H869"/>
    <mergeCell ref="L869:M869"/>
    <mergeCell ref="A887:F887"/>
    <mergeCell ref="G889:H889"/>
    <mergeCell ref="L889:M889"/>
    <mergeCell ref="G895:H895"/>
    <mergeCell ref="L895:M895"/>
    <mergeCell ref="G900:H900"/>
    <mergeCell ref="L804:M804"/>
    <mergeCell ref="G810:H810"/>
    <mergeCell ref="L810:M810"/>
    <mergeCell ref="A820:F820"/>
    <mergeCell ref="G822:H822"/>
    <mergeCell ref="L822:M822"/>
    <mergeCell ref="L828:M828"/>
    <mergeCell ref="G833:H833"/>
    <mergeCell ref="L833:M833"/>
    <mergeCell ref="G828:H828"/>
    <mergeCell ref="L669:M669"/>
    <mergeCell ref="G722:H722"/>
    <mergeCell ref="L722:M722"/>
    <mergeCell ref="L520:M520"/>
    <mergeCell ref="G648:H648"/>
    <mergeCell ref="L793:M793"/>
    <mergeCell ref="G799:H799"/>
    <mergeCell ref="L799:M799"/>
    <mergeCell ref="G687:H687"/>
    <mergeCell ref="L687:M687"/>
    <mergeCell ref="G693:H693"/>
    <mergeCell ref="L693:M693"/>
    <mergeCell ref="L648:M648"/>
    <mergeCell ref="G654:H654"/>
    <mergeCell ref="L654:M654"/>
    <mergeCell ref="G716:H716"/>
    <mergeCell ref="L716:M716"/>
    <mergeCell ref="G676:H676"/>
    <mergeCell ref="L676:M676"/>
    <mergeCell ref="G682:H682"/>
    <mergeCell ref="L682:M682"/>
    <mergeCell ref="L580:M580"/>
    <mergeCell ref="L563:M563"/>
    <mergeCell ref="L606:M606"/>
    <mergeCell ref="I298:L299"/>
    <mergeCell ref="C299:D299"/>
    <mergeCell ref="E299:F299"/>
    <mergeCell ref="G299:H299"/>
    <mergeCell ref="A282:D283"/>
    <mergeCell ref="E282:F283"/>
    <mergeCell ref="A224:B225"/>
    <mergeCell ref="L775:M775"/>
    <mergeCell ref="G781:H781"/>
    <mergeCell ref="L781:M781"/>
    <mergeCell ref="G764:H764"/>
    <mergeCell ref="L764:M764"/>
    <mergeCell ref="L770:M770"/>
    <mergeCell ref="G474:H474"/>
    <mergeCell ref="L474:M474"/>
    <mergeCell ref="G480:H480"/>
    <mergeCell ref="L480:M480"/>
    <mergeCell ref="G485:H485"/>
    <mergeCell ref="L485:M485"/>
    <mergeCell ref="G491:H491"/>
    <mergeCell ref="L491:M491"/>
    <mergeCell ref="G595:H595"/>
    <mergeCell ref="L595:M595"/>
    <mergeCell ref="G632:H632"/>
    <mergeCell ref="D1531:E1531"/>
    <mergeCell ref="D1518:E1518"/>
    <mergeCell ref="D1522:E1522"/>
    <mergeCell ref="D1519:E1519"/>
    <mergeCell ref="D1520:E1520"/>
    <mergeCell ref="D1521:E1521"/>
    <mergeCell ref="D1524:E1524"/>
    <mergeCell ref="G44:H44"/>
    <mergeCell ref="G118:H118"/>
    <mergeCell ref="C118:F118"/>
    <mergeCell ref="A341:F341"/>
    <mergeCell ref="G363:H363"/>
    <mergeCell ref="A404:F404"/>
    <mergeCell ref="A405:F405"/>
    <mergeCell ref="G406:H406"/>
    <mergeCell ref="G312:H312"/>
    <mergeCell ref="G119:H119"/>
    <mergeCell ref="A117:B119"/>
    <mergeCell ref="A297:F297"/>
    <mergeCell ref="C298:D298"/>
    <mergeCell ref="E298:F298"/>
    <mergeCell ref="G298:H298"/>
    <mergeCell ref="G804:H804"/>
    <mergeCell ref="A139:F139"/>
    <mergeCell ref="B256:F256"/>
    <mergeCell ref="E257:F257"/>
    <mergeCell ref="B127:F127"/>
    <mergeCell ref="E128:F128"/>
    <mergeCell ref="E129:F138"/>
    <mergeCell ref="A284:F284"/>
    <mergeCell ref="D1530:E1530"/>
    <mergeCell ref="A140:B141"/>
    <mergeCell ref="B142:F142"/>
    <mergeCell ref="E143:F143"/>
    <mergeCell ref="E144:F153"/>
    <mergeCell ref="A182:B183"/>
    <mergeCell ref="B184:F184"/>
    <mergeCell ref="E185:F185"/>
    <mergeCell ref="E186:F195"/>
    <mergeCell ref="A287:F287"/>
    <mergeCell ref="E292:F292"/>
    <mergeCell ref="C301:D301"/>
    <mergeCell ref="E301:F301"/>
    <mergeCell ref="E318:E319"/>
    <mergeCell ref="A320:F320"/>
    <mergeCell ref="A1501:F1501"/>
    <mergeCell ref="A196:B197"/>
    <mergeCell ref="B198:F198"/>
    <mergeCell ref="I288:L295"/>
    <mergeCell ref="C295:D295"/>
    <mergeCell ref="A302:F302"/>
    <mergeCell ref="G295:H295"/>
    <mergeCell ref="C300:D300"/>
    <mergeCell ref="E300:F300"/>
    <mergeCell ref="G300:H300"/>
    <mergeCell ref="A122:B122"/>
    <mergeCell ref="A123:B123"/>
    <mergeCell ref="C122:F122"/>
    <mergeCell ref="C123:F123"/>
    <mergeCell ref="A124:F124"/>
    <mergeCell ref="C293:D293"/>
    <mergeCell ref="E293:F293"/>
    <mergeCell ref="G293:H293"/>
    <mergeCell ref="C294:D294"/>
    <mergeCell ref="E294:F294"/>
    <mergeCell ref="G294:H294"/>
    <mergeCell ref="A154:B155"/>
    <mergeCell ref="B156:F156"/>
    <mergeCell ref="E157:F157"/>
    <mergeCell ref="E158:F167"/>
    <mergeCell ref="E243:F243"/>
    <mergeCell ref="E244:F253"/>
    <mergeCell ref="G839:H839"/>
    <mergeCell ref="G1468:H1468"/>
    <mergeCell ref="A321:F321"/>
    <mergeCell ref="A322:F322"/>
    <mergeCell ref="B665:E665"/>
    <mergeCell ref="A672:F672"/>
    <mergeCell ref="G672:K672"/>
    <mergeCell ref="A673:F673"/>
    <mergeCell ref="G383:H383"/>
    <mergeCell ref="G751:H751"/>
    <mergeCell ref="A703:F703"/>
    <mergeCell ref="G705:H705"/>
    <mergeCell ref="A342:F342"/>
    <mergeCell ref="G520:H520"/>
    <mergeCell ref="G569:H569"/>
    <mergeCell ref="G669:H669"/>
    <mergeCell ref="A1303:F1303"/>
    <mergeCell ref="G1305:H1305"/>
    <mergeCell ref="B657:E657"/>
    <mergeCell ref="A1340:F1340"/>
    <mergeCell ref="G611:H611"/>
    <mergeCell ref="G292:H292"/>
    <mergeCell ref="B170:F170"/>
    <mergeCell ref="E171:F171"/>
    <mergeCell ref="E172:F181"/>
    <mergeCell ref="A240:B241"/>
    <mergeCell ref="A210:B211"/>
    <mergeCell ref="B212:F212"/>
    <mergeCell ref="E213:F213"/>
    <mergeCell ref="E214:F223"/>
    <mergeCell ref="A238:D239"/>
    <mergeCell ref="E238:F239"/>
    <mergeCell ref="E271:F271"/>
    <mergeCell ref="E272:F281"/>
    <mergeCell ref="B242:F242"/>
    <mergeCell ref="E227:F227"/>
    <mergeCell ref="E228:F237"/>
    <mergeCell ref="E258:F267"/>
    <mergeCell ref="A268:B269"/>
    <mergeCell ref="B270:F270"/>
    <mergeCell ref="B226:F226"/>
    <mergeCell ref="C288:D288"/>
    <mergeCell ref="E288:F288"/>
    <mergeCell ref="G288:H288"/>
    <mergeCell ref="A254:B255"/>
    <mergeCell ref="A37:B37"/>
    <mergeCell ref="C37:F37"/>
    <mergeCell ref="G116:H116"/>
    <mergeCell ref="C117:F117"/>
    <mergeCell ref="G117:H117"/>
    <mergeCell ref="B24:F24"/>
    <mergeCell ref="A77:F77"/>
    <mergeCell ref="D85:F85"/>
    <mergeCell ref="A84:A85"/>
    <mergeCell ref="B84:B85"/>
    <mergeCell ref="C84:C85"/>
    <mergeCell ref="G54:H54"/>
    <mergeCell ref="G55:H55"/>
    <mergeCell ref="G56:H56"/>
    <mergeCell ref="G57:H57"/>
    <mergeCell ref="G58:H58"/>
    <mergeCell ref="A59:B59"/>
    <mergeCell ref="C59:F59"/>
    <mergeCell ref="G59:H59"/>
    <mergeCell ref="G45:H45"/>
    <mergeCell ref="G46:H46"/>
    <mergeCell ref="G47:H47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I12:J12"/>
    <mergeCell ref="I13:J13"/>
    <mergeCell ref="G28:H28"/>
    <mergeCell ref="G29:H29"/>
    <mergeCell ref="G30:H30"/>
    <mergeCell ref="G31:H31"/>
    <mergeCell ref="G34:H34"/>
    <mergeCell ref="G32:H33"/>
    <mergeCell ref="A16:F16"/>
    <mergeCell ref="A26:F26"/>
    <mergeCell ref="A31:F31"/>
    <mergeCell ref="B17:F17"/>
    <mergeCell ref="B19:C19"/>
    <mergeCell ref="A121:B121"/>
    <mergeCell ref="C121:F121"/>
    <mergeCell ref="A109:F109"/>
    <mergeCell ref="A110:D110"/>
    <mergeCell ref="E110:F110"/>
    <mergeCell ref="A111:D111"/>
    <mergeCell ref="E111:F111"/>
    <mergeCell ref="A108:B108"/>
    <mergeCell ref="A39:B39"/>
    <mergeCell ref="C39:F39"/>
    <mergeCell ref="A46:B46"/>
    <mergeCell ref="C46:F46"/>
    <mergeCell ref="A47:B47"/>
    <mergeCell ref="C47:F47"/>
    <mergeCell ref="A48:B48"/>
    <mergeCell ref="C48:F48"/>
    <mergeCell ref="A55:B55"/>
    <mergeCell ref="C55:F55"/>
    <mergeCell ref="A49:B49"/>
    <mergeCell ref="C49:F49"/>
    <mergeCell ref="C7:F7"/>
    <mergeCell ref="C8:F8"/>
    <mergeCell ref="A9:B9"/>
    <mergeCell ref="C9:F9"/>
    <mergeCell ref="A15:B15"/>
    <mergeCell ref="A43:B43"/>
    <mergeCell ref="C43:F43"/>
    <mergeCell ref="A42:B42"/>
    <mergeCell ref="C42:F42"/>
    <mergeCell ref="C15:F15"/>
    <mergeCell ref="B25:C25"/>
    <mergeCell ref="E25:F25"/>
    <mergeCell ref="B20:C20"/>
    <mergeCell ref="E20:F20"/>
    <mergeCell ref="E19:F19"/>
    <mergeCell ref="B21:C21"/>
    <mergeCell ref="E21:F21"/>
    <mergeCell ref="B22:C22"/>
    <mergeCell ref="E22:F22"/>
    <mergeCell ref="A34:B34"/>
    <mergeCell ref="C34:F34"/>
    <mergeCell ref="A38:B38"/>
    <mergeCell ref="C38:F38"/>
    <mergeCell ref="E23:F23"/>
    <mergeCell ref="C45:F45"/>
    <mergeCell ref="A44:B44"/>
    <mergeCell ref="C44:F44"/>
    <mergeCell ref="A8:B8"/>
    <mergeCell ref="B23:C23"/>
    <mergeCell ref="C36:F36"/>
    <mergeCell ref="A35:B35"/>
    <mergeCell ref="C35:F35"/>
    <mergeCell ref="A27:B27"/>
    <mergeCell ref="A28:B28"/>
    <mergeCell ref="A29:B29"/>
    <mergeCell ref="A30:B30"/>
    <mergeCell ref="B18:F18"/>
    <mergeCell ref="E12:F12"/>
    <mergeCell ref="C13:D13"/>
    <mergeCell ref="E13:F13"/>
    <mergeCell ref="A36:B36"/>
    <mergeCell ref="A32:B32"/>
    <mergeCell ref="C32:F32"/>
    <mergeCell ref="A33:B33"/>
    <mergeCell ref="C33:F33"/>
    <mergeCell ref="A40:B40"/>
    <mergeCell ref="C40:F40"/>
    <mergeCell ref="A1:F1"/>
    <mergeCell ref="B2:D2"/>
    <mergeCell ref="A3:F3"/>
    <mergeCell ref="A10:F10"/>
    <mergeCell ref="A4:B4"/>
    <mergeCell ref="A79:F79"/>
    <mergeCell ref="B80:F80"/>
    <mergeCell ref="A41:F41"/>
    <mergeCell ref="C4:F4"/>
    <mergeCell ref="A5:B5"/>
    <mergeCell ref="A6:B6"/>
    <mergeCell ref="C5:F5"/>
    <mergeCell ref="C6:F6"/>
    <mergeCell ref="A7:B7"/>
    <mergeCell ref="A14:F14"/>
    <mergeCell ref="C12:D12"/>
    <mergeCell ref="A61:B61"/>
    <mergeCell ref="C57:F57"/>
    <mergeCell ref="C53:F53"/>
    <mergeCell ref="A51:F51"/>
    <mergeCell ref="A52:B52"/>
    <mergeCell ref="C52:F52"/>
    <mergeCell ref="A53:B53"/>
    <mergeCell ref="A45:B45"/>
    <mergeCell ref="G301:H301"/>
    <mergeCell ref="C315:D315"/>
    <mergeCell ref="E315:F315"/>
    <mergeCell ref="G315:H315"/>
    <mergeCell ref="C303:D303"/>
    <mergeCell ref="E303:F303"/>
    <mergeCell ref="G303:H303"/>
    <mergeCell ref="C312:D312"/>
    <mergeCell ref="E312:F312"/>
    <mergeCell ref="C309:D309"/>
    <mergeCell ref="E309:F309"/>
    <mergeCell ref="G309:H309"/>
    <mergeCell ref="E305:F305"/>
    <mergeCell ref="G305:H305"/>
    <mergeCell ref="C310:D310"/>
    <mergeCell ref="E310:F310"/>
    <mergeCell ref="G310:H310"/>
    <mergeCell ref="C311:D311"/>
    <mergeCell ref="E311:F311"/>
    <mergeCell ref="G311:H311"/>
    <mergeCell ref="C306:D306"/>
    <mergeCell ref="E306:F306"/>
    <mergeCell ref="G296:H296"/>
    <mergeCell ref="G306:H306"/>
    <mergeCell ref="C307:D307"/>
    <mergeCell ref="E307:F307"/>
    <mergeCell ref="G307:H307"/>
    <mergeCell ref="C308:D308"/>
    <mergeCell ref="H1503:I1503"/>
    <mergeCell ref="G761:K761"/>
    <mergeCell ref="G412:H412"/>
    <mergeCell ref="B1503:C1503"/>
    <mergeCell ref="E1503:F1503"/>
    <mergeCell ref="G770:H770"/>
    <mergeCell ref="G470:H470"/>
    <mergeCell ref="G471:K471"/>
    <mergeCell ref="G775:H775"/>
    <mergeCell ref="G793:H793"/>
    <mergeCell ref="G343:H343"/>
    <mergeCell ref="G469:K469"/>
    <mergeCell ref="G462:H462"/>
    <mergeCell ref="G370:H370"/>
    <mergeCell ref="G308:H308"/>
    <mergeCell ref="G961:K961"/>
    <mergeCell ref="G304:H304"/>
    <mergeCell ref="C305:D305"/>
    <mergeCell ref="E1502:F1502"/>
    <mergeCell ref="A762:F762"/>
    <mergeCell ref="A761:F761"/>
    <mergeCell ref="A471:F471"/>
    <mergeCell ref="A472:F472"/>
    <mergeCell ref="A791:F791"/>
    <mergeCell ref="A368:F368"/>
    <mergeCell ref="A369:F369"/>
    <mergeCell ref="A962:F962"/>
    <mergeCell ref="A393:F393"/>
    <mergeCell ref="A394:F394"/>
    <mergeCell ref="A466:F466"/>
    <mergeCell ref="A849:F849"/>
    <mergeCell ref="B1483:E1483"/>
    <mergeCell ref="B1490:E1491"/>
    <mergeCell ref="L343:M343"/>
    <mergeCell ref="L383:M383"/>
    <mergeCell ref="C1726:D1726"/>
    <mergeCell ref="E1726:F1726"/>
    <mergeCell ref="B1536:F1536"/>
    <mergeCell ref="B1537:F1537"/>
    <mergeCell ref="B1538:F1538"/>
    <mergeCell ref="B1539:F1539"/>
    <mergeCell ref="G349:H349"/>
    <mergeCell ref="L349:M349"/>
    <mergeCell ref="G356:H356"/>
    <mergeCell ref="G419:H419"/>
    <mergeCell ref="G426:H426"/>
    <mergeCell ref="G433:H433"/>
    <mergeCell ref="G439:H439"/>
    <mergeCell ref="G446:H446"/>
    <mergeCell ref="A447:F447"/>
    <mergeCell ref="A448:F448"/>
    <mergeCell ref="L412:M412"/>
    <mergeCell ref="L419:M419"/>
    <mergeCell ref="L426:M426"/>
    <mergeCell ref="L433:M433"/>
    <mergeCell ref="L439:M439"/>
    <mergeCell ref="L446:M446"/>
    <mergeCell ref="A125:B126"/>
    <mergeCell ref="D1527:E1527"/>
    <mergeCell ref="D1528:E1528"/>
    <mergeCell ref="B1512:C1512"/>
    <mergeCell ref="E1512:F1512"/>
    <mergeCell ref="A1532:F1532"/>
    <mergeCell ref="B1533:F1533"/>
    <mergeCell ref="B1534:F1534"/>
    <mergeCell ref="B1535:F1535"/>
    <mergeCell ref="D1523:E1523"/>
    <mergeCell ref="D1525:E1525"/>
    <mergeCell ref="D1526:E1526"/>
    <mergeCell ref="C296:D296"/>
    <mergeCell ref="E296:F296"/>
    <mergeCell ref="E295:F295"/>
    <mergeCell ref="A850:F850"/>
    <mergeCell ref="A168:B169"/>
    <mergeCell ref="A467:F467"/>
    <mergeCell ref="B468:B469"/>
    <mergeCell ref="C468:C469"/>
    <mergeCell ref="D468:D469"/>
    <mergeCell ref="E468:E469"/>
    <mergeCell ref="A431:F431"/>
    <mergeCell ref="A432:F432"/>
    <mergeCell ref="A107:B107"/>
    <mergeCell ref="C107:F107"/>
    <mergeCell ref="C108:F108"/>
    <mergeCell ref="A120:B120"/>
    <mergeCell ref="C120:F120"/>
    <mergeCell ref="A112:D112"/>
    <mergeCell ref="E112:F112"/>
    <mergeCell ref="A113:F113"/>
    <mergeCell ref="A116:B116"/>
    <mergeCell ref="C116:F116"/>
    <mergeCell ref="C119:F119"/>
    <mergeCell ref="J81:L81"/>
    <mergeCell ref="A64:F64"/>
    <mergeCell ref="A60:F60"/>
    <mergeCell ref="A58:B58"/>
    <mergeCell ref="C58:F58"/>
    <mergeCell ref="G50:H50"/>
    <mergeCell ref="G51:H51"/>
    <mergeCell ref="G52:H52"/>
    <mergeCell ref="G53:H53"/>
    <mergeCell ref="A50:B50"/>
    <mergeCell ref="C50:F50"/>
    <mergeCell ref="A56:B56"/>
    <mergeCell ref="C56:F56"/>
    <mergeCell ref="A57:B57"/>
    <mergeCell ref="A54:B54"/>
    <mergeCell ref="C54:F54"/>
    <mergeCell ref="G48:H48"/>
    <mergeCell ref="G49:H49"/>
    <mergeCell ref="G107:H107"/>
    <mergeCell ref="G61:H61"/>
    <mergeCell ref="G62:H62"/>
    <mergeCell ref="G63:H63"/>
    <mergeCell ref="G64:H64"/>
    <mergeCell ref="D81:F81"/>
    <mergeCell ref="D82:F82"/>
    <mergeCell ref="D83:F83"/>
    <mergeCell ref="D84:F84"/>
    <mergeCell ref="D86:F86"/>
    <mergeCell ref="D87:F87"/>
    <mergeCell ref="A68:F68"/>
    <mergeCell ref="B78:F78"/>
    <mergeCell ref="A62:B62"/>
    <mergeCell ref="A63:B63"/>
    <mergeCell ref="C61:F61"/>
    <mergeCell ref="C62:F62"/>
    <mergeCell ref="C63:F63"/>
    <mergeCell ref="B104:C104"/>
    <mergeCell ref="E104:F104"/>
    <mergeCell ref="E105:F105"/>
    <mergeCell ref="B105:C105"/>
    <mergeCell ref="B106:C106"/>
    <mergeCell ref="D88:F88"/>
    <mergeCell ref="D89:F89"/>
    <mergeCell ref="D90:F90"/>
    <mergeCell ref="D91:F91"/>
    <mergeCell ref="D92:F92"/>
    <mergeCell ref="D93:F93"/>
    <mergeCell ref="D94:F94"/>
    <mergeCell ref="E106:F106"/>
    <mergeCell ref="B102:C102"/>
    <mergeCell ref="B101:C101"/>
    <mergeCell ref="E101:F101"/>
    <mergeCell ref="B103:C103"/>
    <mergeCell ref="E103:F103"/>
    <mergeCell ref="B95:F95"/>
    <mergeCell ref="A96:F96"/>
    <mergeCell ref="A100:F100"/>
    <mergeCell ref="B99:C99"/>
    <mergeCell ref="E99:F99"/>
    <mergeCell ref="E102:F102"/>
    <mergeCell ref="B98:C98"/>
    <mergeCell ref="E98:F98"/>
    <mergeCell ref="G108:H108"/>
    <mergeCell ref="G120:H120"/>
    <mergeCell ref="G121:H121"/>
    <mergeCell ref="G122:H122"/>
    <mergeCell ref="G123:H123"/>
    <mergeCell ref="G318:H318"/>
    <mergeCell ref="C313:D313"/>
    <mergeCell ref="E313:F313"/>
    <mergeCell ref="G313:H313"/>
    <mergeCell ref="C314:D314"/>
    <mergeCell ref="E314:F314"/>
    <mergeCell ref="G314:H314"/>
    <mergeCell ref="A316:F316"/>
    <mergeCell ref="A317:F317"/>
    <mergeCell ref="C289:D289"/>
    <mergeCell ref="E289:F289"/>
    <mergeCell ref="G289:H289"/>
    <mergeCell ref="C290:D290"/>
    <mergeCell ref="E290:F290"/>
    <mergeCell ref="G290:H290"/>
    <mergeCell ref="C291:D291"/>
    <mergeCell ref="E291:F291"/>
    <mergeCell ref="G291:H291"/>
    <mergeCell ref="C292:D292"/>
    <mergeCell ref="L370:M370"/>
    <mergeCell ref="G376:H376"/>
    <mergeCell ref="L376:M376"/>
    <mergeCell ref="L356:M356"/>
    <mergeCell ref="L503:M503"/>
    <mergeCell ref="G509:H509"/>
    <mergeCell ref="L509:M509"/>
    <mergeCell ref="G514:H514"/>
    <mergeCell ref="L514:M514"/>
    <mergeCell ref="L392:M392"/>
    <mergeCell ref="G392:H392"/>
    <mergeCell ref="L386:M386"/>
    <mergeCell ref="G386:H386"/>
    <mergeCell ref="G395:H395"/>
    <mergeCell ref="L462:M462"/>
    <mergeCell ref="L395:M395"/>
    <mergeCell ref="G401:H401"/>
    <mergeCell ref="L401:M401"/>
    <mergeCell ref="L363:M363"/>
    <mergeCell ref="L406:M406"/>
    <mergeCell ref="G449:H449"/>
    <mergeCell ref="L449:M449"/>
    <mergeCell ref="G455:H455"/>
    <mergeCell ref="L455:M455"/>
    <mergeCell ref="L569:M569"/>
    <mergeCell ref="G574:H574"/>
    <mergeCell ref="L574:M574"/>
    <mergeCell ref="A530:F530"/>
    <mergeCell ref="G532:H532"/>
    <mergeCell ref="L532:M532"/>
    <mergeCell ref="G538:H538"/>
    <mergeCell ref="L538:M538"/>
    <mergeCell ref="B543:E545"/>
    <mergeCell ref="G543:H543"/>
    <mergeCell ref="L543:M543"/>
    <mergeCell ref="G549:H549"/>
    <mergeCell ref="L549:M549"/>
    <mergeCell ref="A559:F559"/>
    <mergeCell ref="G559:K559"/>
    <mergeCell ref="A560:F560"/>
    <mergeCell ref="A561:F561"/>
    <mergeCell ref="G563:H563"/>
    <mergeCell ref="L943:M943"/>
    <mergeCell ref="B947:E947"/>
    <mergeCell ref="B954:E954"/>
    <mergeCell ref="G906:H906"/>
    <mergeCell ref="L906:M906"/>
    <mergeCell ref="A924:F924"/>
    <mergeCell ref="G926:H926"/>
    <mergeCell ref="L926:M926"/>
    <mergeCell ref="G932:H932"/>
    <mergeCell ref="L932:M932"/>
    <mergeCell ref="G937:H937"/>
    <mergeCell ref="L937:M937"/>
    <mergeCell ref="B929:E930"/>
    <mergeCell ref="L993:M993"/>
    <mergeCell ref="G999:H999"/>
    <mergeCell ref="L999:M999"/>
    <mergeCell ref="G1004:H1004"/>
    <mergeCell ref="L1004:M1004"/>
    <mergeCell ref="G1010:H1010"/>
    <mergeCell ref="L1010:M1010"/>
    <mergeCell ref="A1020:F1020"/>
    <mergeCell ref="G964:H964"/>
    <mergeCell ref="L964:M964"/>
    <mergeCell ref="G970:H970"/>
    <mergeCell ref="L970:M970"/>
    <mergeCell ref="G975:H975"/>
    <mergeCell ref="L975:M975"/>
    <mergeCell ref="G981:H981"/>
    <mergeCell ref="L981:M981"/>
    <mergeCell ref="A991:F991"/>
    <mergeCell ref="G993:H993"/>
    <mergeCell ref="L1053:M1053"/>
    <mergeCell ref="G1059:H1059"/>
    <mergeCell ref="L1059:M1059"/>
    <mergeCell ref="G1064:H1064"/>
    <mergeCell ref="L1064:M1064"/>
    <mergeCell ref="G1022:H1022"/>
    <mergeCell ref="L1022:M1022"/>
    <mergeCell ref="G1028:H1028"/>
    <mergeCell ref="L1028:M1028"/>
    <mergeCell ref="G1033:H1033"/>
    <mergeCell ref="L1033:M1033"/>
    <mergeCell ref="G1039:H1039"/>
    <mergeCell ref="L1039:M1039"/>
    <mergeCell ref="L1112:M1112"/>
    <mergeCell ref="G1083:H1083"/>
    <mergeCell ref="L1083:M1083"/>
    <mergeCell ref="G1088:H1088"/>
    <mergeCell ref="L1088:M1088"/>
    <mergeCell ref="G1124:H1124"/>
    <mergeCell ref="L1124:M1124"/>
    <mergeCell ref="G1070:H1070"/>
    <mergeCell ref="L1070:M1070"/>
    <mergeCell ref="G1095:H1095"/>
    <mergeCell ref="L1095:M1095"/>
    <mergeCell ref="G1101:H1101"/>
    <mergeCell ref="L1101:M1101"/>
    <mergeCell ref="G1106:H1106"/>
    <mergeCell ref="L1106:M1106"/>
    <mergeCell ref="L1154:M1154"/>
    <mergeCell ref="G1166:H1166"/>
    <mergeCell ref="L1166:M1166"/>
    <mergeCell ref="G1172:H1172"/>
    <mergeCell ref="L1172:M1172"/>
    <mergeCell ref="B1144:E1144"/>
    <mergeCell ref="B1157:E1157"/>
    <mergeCell ref="B1164:E1164"/>
    <mergeCell ref="G1130:H1130"/>
    <mergeCell ref="L1130:M1130"/>
    <mergeCell ref="A1135:F1135"/>
    <mergeCell ref="G1137:H1137"/>
    <mergeCell ref="L1137:M1137"/>
    <mergeCell ref="G1143:H1143"/>
    <mergeCell ref="L1143:M1143"/>
    <mergeCell ref="G1148:H1148"/>
    <mergeCell ref="L1148:M1148"/>
    <mergeCell ref="G319:H319"/>
    <mergeCell ref="G943:H943"/>
    <mergeCell ref="G580:H580"/>
    <mergeCell ref="A501:F501"/>
    <mergeCell ref="G503:H503"/>
    <mergeCell ref="A385:F385"/>
    <mergeCell ref="A384:F384"/>
    <mergeCell ref="B1511:C1511"/>
    <mergeCell ref="E1511:F1511"/>
    <mergeCell ref="B1508:C1508"/>
    <mergeCell ref="E1508:F1508"/>
    <mergeCell ref="G1154:H1154"/>
    <mergeCell ref="G1112:H1112"/>
    <mergeCell ref="A1050:F1050"/>
    <mergeCell ref="G1050:K1050"/>
    <mergeCell ref="A1051:F1051"/>
    <mergeCell ref="G1053:H1053"/>
    <mergeCell ref="B1033:E1035"/>
    <mergeCell ref="B1506:C1506"/>
    <mergeCell ref="E1506:F1506"/>
    <mergeCell ref="B1507:C1507"/>
    <mergeCell ref="E1507:F1507"/>
    <mergeCell ref="B318:B319"/>
    <mergeCell ref="B1502:C1502"/>
    <mergeCell ref="A1590:B1590"/>
    <mergeCell ref="C1590:F1590"/>
    <mergeCell ref="C304:D304"/>
    <mergeCell ref="E304:F304"/>
    <mergeCell ref="A318:A319"/>
    <mergeCell ref="A470:F470"/>
    <mergeCell ref="B1540:F1540"/>
    <mergeCell ref="B1504:C1504"/>
    <mergeCell ref="E1504:F1504"/>
    <mergeCell ref="B1505:C1505"/>
    <mergeCell ref="E1505:F1505"/>
    <mergeCell ref="B1509:C1509"/>
    <mergeCell ref="E1509:F1509"/>
    <mergeCell ref="B1510:C1510"/>
    <mergeCell ref="E1510:F1510"/>
    <mergeCell ref="A961:F961"/>
    <mergeCell ref="A1093:F1093"/>
    <mergeCell ref="A1541:B1541"/>
    <mergeCell ref="C1541:F1541"/>
    <mergeCell ref="D1529:E1529"/>
    <mergeCell ref="E308:F308"/>
    <mergeCell ref="A468:A469"/>
    <mergeCell ref="C318:C319"/>
    <mergeCell ref="D318:D319"/>
  </mergeCells>
  <dataValidations count="16">
    <dataValidation type="list" allowBlank="1" showInputMessage="1" showErrorMessage="1" sqref="E1503:F1512" xr:uid="{00000000-0002-0000-0000-000000000000}">
      <formula1>"Carpet Area,Buildup Area,Saleable Area"</formula1>
    </dataValidation>
    <dataValidation type="list" allowBlank="1" showInputMessage="1" showErrorMessage="1" sqref="B1533:F1533" xr:uid="{00000000-0002-0000-0000-000001000000}">
      <formula1>"Construction Work is active at the time of visit.,Construction Work is not active at the time of visit.,Work not yet Started, All work Completed"</formula1>
    </dataValidation>
    <dataValidation type="list" allowBlank="1" showInputMessage="1" showErrorMessage="1" sqref="B39:B40 B36:B37 B33:B34" xr:uid="{00000000-0002-0000-0000-000002000000}">
      <formula1>$C$1545:$C$1550</formula1>
    </dataValidation>
    <dataValidation type="list" allowBlank="1" showInputMessage="1" showErrorMessage="1" sqref="F33:F34 F40 F36:F37" xr:uid="{00000000-0002-0000-0000-000003000000}">
      <formula1>$G$1542:$G$1544</formula1>
    </dataValidation>
    <dataValidation type="list" allowBlank="1" showInputMessage="1" showErrorMessage="1" sqref="F2" xr:uid="{00000000-0002-0000-0000-000004000000}">
      <formula1>"Airoli,Goregaon"</formula1>
    </dataValidation>
    <dataValidation type="list" allowBlank="1" showInputMessage="1" showErrorMessage="1" sqref="D11" xr:uid="{00000000-0002-0000-0000-000005000000}">
      <formula1>"Mr. Abhishek Manjrekar,Mr. Rushabh Kakade,Miss. Bharti,Mr. Ajinkya Oturkar"</formula1>
    </dataValidation>
    <dataValidation type="list" allowBlank="1" showInputMessage="1" showErrorMessage="1" sqref="E13:F13" xr:uid="{00000000-0002-0000-0000-000006000000}">
      <formula1>"Shruti Tathare,Kunal Kadam,Sachin Sawant,Shruti Fule,Hitakshi Mhatre,Anjali Kamble,Sonali Kumbhar,Pooja Kawale,Mansee Mohite"</formula1>
    </dataValidation>
    <dataValidation type="list" allowBlank="1" showInputMessage="1" showErrorMessage="1" sqref="A18" xr:uid="{00000000-0002-0000-0000-000007000000}">
      <formula1>"Plot No.,Survey No.,CTS No.,Gut No."</formula1>
    </dataValidation>
    <dataValidation type="list" allowBlank="1" showInputMessage="1" showErrorMessage="1" sqref="D19" xr:uid="{00000000-0002-0000-0000-000008000000}">
      <formula1>"Ward No.,Existing Builidng Name &amp; No.,City"</formula1>
    </dataValidation>
    <dataValidation type="list" allowBlank="1" showInputMessage="1" showErrorMessage="1" sqref="E21:F21" xr:uid="{00000000-0002-0000-0000-000009000000}">
      <formula1>"Mumbai,Thane,Palghar,Raigad,Pune"</formula1>
    </dataValidation>
    <dataValidation type="list" allowBlank="1" showInputMessage="1" showErrorMessage="1" sqref="C120:F121 B97 C70:F70 B72:F72 B75:F75 B102:C106 E103:F106 E101:F101 B99:C99 C107:F108" xr:uid="{00000000-0002-0000-0000-00000A000000}">
      <formula1>"Yes,No"</formula1>
    </dataValidation>
    <dataValidation type="list" allowBlank="1" showInputMessage="1" showErrorMessage="1" sqref="B82:B84 B86:B94" xr:uid="{00000000-0002-0000-0000-00000B000000}">
      <formula1>"Applicable and Received,Applicable and Not Received,Not Applicable"</formula1>
    </dataValidation>
    <dataValidation type="list" allowBlank="1" showInputMessage="1" showErrorMessage="1" sqref="D97" xr:uid="{00000000-0002-0000-0000-00000C000000}">
      <formula1>"Registered,Not Registered"</formula1>
    </dataValidation>
    <dataValidation type="list" allowBlank="1" showInputMessage="1" showErrorMessage="1" sqref="B101:C101" xr:uid="{00000000-0002-0000-0000-00000D000000}">
      <formula1>"Zone II,Zone III,Zone IV,Zone V"</formula1>
    </dataValidation>
    <dataValidation type="list" allowBlank="1" showInputMessage="1" showErrorMessage="1" sqref="E102:F102" xr:uid="{00000000-0002-0000-0000-00000E000000}">
      <formula1>"Not Appicable,Zone I,Zone II,Zone III,Zone IV"</formula1>
    </dataValidation>
    <dataValidation type="list" allowBlank="1" showInputMessage="1" showErrorMessage="1" sqref="B70" xr:uid="{00000000-0002-0000-0000-00000F000000}">
      <formula1>"Yes &amp; 0.15m, No"</formula1>
    </dataValidation>
  </dataValidations>
  <hyperlinks>
    <hyperlink ref="C6" r:id="rId1" xr:uid="{00000000-0004-0000-0000-000000000000}"/>
    <hyperlink ref="B24" r:id="rId2" xr:uid="{00000000-0004-0000-0000-000001000000}"/>
  </hyperlinks>
  <pageMargins left="0.39370078740157483" right="0.39370078740157483" top="0.78740157480314965" bottom="0.78740157480314965" header="0.31496062992125984" footer="0.31496062992125984"/>
  <pageSetup scale="87" fitToHeight="0" orientation="portrait" r:id="rId3"/>
  <headerFooter>
    <oddHeader>&amp;C&amp;G</oddHeader>
    <oddFooter>&amp;L&amp;"-,Bold"Ref No: &amp;F&amp;R&amp;"-,Bold"&amp;P</oddFooter>
  </headerFooter>
  <rowBreaks count="8" manualBreakCount="8">
    <brk id="153" max="5" man="1"/>
    <brk id="195" max="16383" man="1"/>
    <brk id="239" max="16383" man="1"/>
    <brk id="283" max="5" man="1"/>
    <brk id="1540" max="5" man="1"/>
    <brk id="1589" max="16383" man="1"/>
    <brk id="1635" max="16383" man="1"/>
    <brk id="1681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04:K131"/>
  <sheetViews>
    <sheetView topLeftCell="A123" workbookViewId="0">
      <selection activeCell="B124" sqref="B124"/>
    </sheetView>
  </sheetViews>
  <sheetFormatPr defaultRowHeight="14.4" x14ac:dyDescent="0.3"/>
  <sheetData>
    <row r="104" spans="2:11" ht="15" thickBot="1" x14ac:dyDescent="0.35"/>
    <row r="105" spans="2:11" ht="15.6" x14ac:dyDescent="0.3">
      <c r="B105" s="407" t="s">
        <v>4</v>
      </c>
      <c r="C105" s="408"/>
      <c r="D105" s="409" t="s">
        <v>44</v>
      </c>
      <c r="E105" s="410"/>
      <c r="F105" s="410"/>
      <c r="G105" s="410"/>
      <c r="H105" s="410"/>
      <c r="I105" s="411"/>
      <c r="J105" s="13" t="str">
        <f ca="1">(IF(F109&gt;99%,"All work completed. Please provide OC.",IF(F109&gt;89.8%,"Plinth, RCC, Brick, Plaster, Flooring, Painting work Completed. Finishing work is in process.",IF(F109&lt;94%,(IF(D109=0,"Work not yet Started.",IF(E109=25%,"Piling work in process",IF(E109=50%,"Excavation work in process",IF(E109=100%,"Excavation work Completed. ","0")))&amp;(IF(D110=0%,"",IF(D110=K111,"Footing work is process",IF(D110=K112,"Footing work Completed",IF(D110=K113,"1st Basement Completed",IF(D110=K114,"1st &amp; 2nd Basement Completed",IF(D110=K115,"1st to 3rd Basement Completed",IF(D110=K116,"1st to 4th Basement Completed",IF(D110=K117,"Plinth work is process",IF(D110=K118,"Plinth work completed","0")))))))))))&amp;(IF(D111=(D106+E106+F106),", RCC Slab",IF(D111&gt;0,", RCC upto "&amp;D111&amp;" Slab",""))&amp;(IF(D112=F106,", Brickwork",IF(D112&gt;0,", Brickwork upto "&amp;D112&amp;" Floor",""))&amp;(IF(D113=F106,", Internal Plaster",IF(D113&gt;0,", Internal Plaster upto "&amp;D113&amp;" Floor",""))&amp;(IF(D114=F106,", External Plaster",IF(D114&gt;0,", External Plaster upto "&amp;D114&amp;" Floor",""))&amp;(IF(D115=F106,", Flooring",IF(D115&gt;0,", Flooring upto "&amp;D115&amp;" Floor",""))&amp;(IF(D116=F106,", Painting",IF(D116&gt;0,", Painting upto "&amp;D116&amp;" Floor",""))&amp;(IF(D117&gt;0,", Finishing upto "&amp;D117&amp;" Floor","")&amp;(IF(D111&gt;0.5," Completed",""))))))))))))))</f>
        <v>All work completed. Please provide OC.</v>
      </c>
      <c r="K105" s="14"/>
    </row>
    <row r="106" spans="2:11" ht="15.6" x14ac:dyDescent="0.3">
      <c r="B106" s="15" t="s">
        <v>5</v>
      </c>
      <c r="C106" s="16">
        <v>0</v>
      </c>
      <c r="D106" s="32">
        <v>1</v>
      </c>
      <c r="E106" s="33">
        <v>0</v>
      </c>
      <c r="F106" s="33">
        <f ca="1">--TRIM(RIGHT(SUBSTITUTE(LEFT(D105,_xlfn.AGGREGATE(16,6,FIND({0,1,2,3,4,5,6,7,8,9},D105,ROW(INDIRECT("1:"&amp;LEN(D105)))),1))," ",REPT(" ",LEN(D105))),LEN(D105)))</f>
        <v>7</v>
      </c>
      <c r="G106" s="33"/>
      <c r="H106" s="33"/>
      <c r="I106" s="34"/>
      <c r="J106" s="17"/>
      <c r="K106" s="18"/>
    </row>
    <row r="107" spans="2:11" ht="15.6" x14ac:dyDescent="0.3">
      <c r="B107" s="412" t="s">
        <v>9</v>
      </c>
      <c r="C107" s="413"/>
      <c r="D107" s="414" t="str">
        <f>J107</f>
        <v>All work Completed. OC Received.</v>
      </c>
      <c r="E107" s="414"/>
      <c r="F107" s="414"/>
      <c r="G107" s="414"/>
      <c r="H107" s="414"/>
      <c r="I107" s="415"/>
      <c r="J107" s="17" t="s">
        <v>10</v>
      </c>
      <c r="K107" s="18"/>
    </row>
    <row r="108" spans="2:11" ht="31.2" x14ac:dyDescent="0.3">
      <c r="B108" s="397" t="s">
        <v>11</v>
      </c>
      <c r="C108" s="398"/>
      <c r="D108" s="19" t="s">
        <v>13</v>
      </c>
      <c r="E108" s="19" t="s">
        <v>14</v>
      </c>
      <c r="F108" s="398" t="s">
        <v>15</v>
      </c>
      <c r="G108" s="398"/>
      <c r="H108" s="398" t="s">
        <v>41</v>
      </c>
      <c r="I108" s="416"/>
      <c r="J108" s="20" t="s">
        <v>16</v>
      </c>
      <c r="K108" s="21">
        <f ca="1">F106*25%</f>
        <v>1.75</v>
      </c>
    </row>
    <row r="109" spans="2:11" ht="15.6" x14ac:dyDescent="0.3">
      <c r="B109" s="397" t="s">
        <v>17</v>
      </c>
      <c r="C109" s="398"/>
      <c r="D109" s="22">
        <f ca="1">K110</f>
        <v>7</v>
      </c>
      <c r="E109" s="23">
        <f ca="1">((100/F106)*D109)/100</f>
        <v>1</v>
      </c>
      <c r="F109" s="401">
        <f ca="1">(((D110/F106*10)+(40/(D106+E106+F106)*D111)+(7.5/(F106)*D112)+(7.5/(F106)*D113)+(10/F106*D114)+(10/F106*D115)+(5/F106*D116)+(5/F106*D117)+(5/F106*D118))/100)</f>
        <v>1</v>
      </c>
      <c r="G109" s="401"/>
      <c r="H109" s="401">
        <f ca="1">((((D109/F106)*20)+((D110/F106)*25)+(30/(F106+E106+D106)*D111)+(5/F106*D112)+(5/F106*D113)+(5/F106*D114)+(5/F106*D115)+(0/F106*D116)+(0/F106*D117)+(5/F106*D118))/100)</f>
        <v>1</v>
      </c>
      <c r="I109" s="403"/>
      <c r="J109" s="20" t="s">
        <v>18</v>
      </c>
      <c r="K109" s="24">
        <f ca="1">F106*50%</f>
        <v>3.5</v>
      </c>
    </row>
    <row r="110" spans="2:11" ht="15.6" x14ac:dyDescent="0.3">
      <c r="B110" s="397" t="s">
        <v>19</v>
      </c>
      <c r="C110" s="398"/>
      <c r="D110" s="25">
        <f ca="1">K118</f>
        <v>7</v>
      </c>
      <c r="E110" s="23">
        <f ca="1">((100/F106)*D110)/100</f>
        <v>1</v>
      </c>
      <c r="F110" s="401"/>
      <c r="G110" s="401"/>
      <c r="H110" s="401"/>
      <c r="I110" s="403"/>
      <c r="J110" s="20" t="s">
        <v>20</v>
      </c>
      <c r="K110" s="24">
        <f ca="1">F106</f>
        <v>7</v>
      </c>
    </row>
    <row r="111" spans="2:11" ht="15.6" x14ac:dyDescent="0.3">
      <c r="B111" s="405" t="s">
        <v>21</v>
      </c>
      <c r="C111" s="406"/>
      <c r="D111" s="25">
        <v>8</v>
      </c>
      <c r="E111" s="23">
        <f ca="1">((100/(D106+E106+F106))*D111)/100</f>
        <v>1</v>
      </c>
      <c r="F111" s="401"/>
      <c r="G111" s="401"/>
      <c r="H111" s="401"/>
      <c r="I111" s="403"/>
      <c r="J111" s="20" t="s">
        <v>22</v>
      </c>
      <c r="K111" s="26">
        <f ca="1">(IF(C106&gt;1,(F106/(C106+2)),F106/4))</f>
        <v>1.75</v>
      </c>
    </row>
    <row r="112" spans="2:11" ht="15.6" x14ac:dyDescent="0.3">
      <c r="B112" s="397" t="s">
        <v>23</v>
      </c>
      <c r="C112" s="398" t="s">
        <v>42</v>
      </c>
      <c r="D112" s="22">
        <v>7</v>
      </c>
      <c r="E112" s="23">
        <f ca="1">((100/F106)*D112)/100</f>
        <v>1</v>
      </c>
      <c r="F112" s="401"/>
      <c r="G112" s="401"/>
      <c r="H112" s="401"/>
      <c r="I112" s="403"/>
      <c r="J112" s="20" t="s">
        <v>24</v>
      </c>
      <c r="K112" s="26">
        <f ca="1">(IF(C106&gt;1,(F106/(C106+2)+K111),F106/4+K111))</f>
        <v>3.5</v>
      </c>
    </row>
    <row r="113" spans="2:11" ht="15.6" x14ac:dyDescent="0.3">
      <c r="B113" s="397" t="s">
        <v>25</v>
      </c>
      <c r="C113" s="398" t="s">
        <v>42</v>
      </c>
      <c r="D113" s="22">
        <v>7</v>
      </c>
      <c r="E113" s="23">
        <f ca="1">((100/F106)*D113)/100</f>
        <v>1</v>
      </c>
      <c r="F113" s="401"/>
      <c r="G113" s="401"/>
      <c r="H113" s="401"/>
      <c r="I113" s="403"/>
      <c r="J113" s="20" t="s">
        <v>26</v>
      </c>
      <c r="K113" s="26">
        <f>(IF(C106&gt;1,(F106/(C106+2)+K112),0))</f>
        <v>0</v>
      </c>
    </row>
    <row r="114" spans="2:11" ht="15.6" x14ac:dyDescent="0.3">
      <c r="B114" s="397" t="s">
        <v>27</v>
      </c>
      <c r="C114" s="398" t="s">
        <v>43</v>
      </c>
      <c r="D114" s="22">
        <v>7</v>
      </c>
      <c r="E114" s="23">
        <f ca="1">((100/(F106))*D114)/100</f>
        <v>1</v>
      </c>
      <c r="F114" s="401"/>
      <c r="G114" s="401"/>
      <c r="H114" s="401"/>
      <c r="I114" s="403"/>
      <c r="J114" s="20" t="s">
        <v>28</v>
      </c>
      <c r="K114" s="26">
        <f>(IF(C106&gt;2,(F106/(C106+2)+K113),0))</f>
        <v>0</v>
      </c>
    </row>
    <row r="115" spans="2:11" ht="15.6" x14ac:dyDescent="0.3">
      <c r="B115" s="397" t="s">
        <v>29</v>
      </c>
      <c r="C115" s="398" t="s">
        <v>29</v>
      </c>
      <c r="D115" s="22">
        <v>7</v>
      </c>
      <c r="E115" s="23">
        <f ca="1">((100/F106)*D115)/100</f>
        <v>1</v>
      </c>
      <c r="F115" s="401"/>
      <c r="G115" s="401"/>
      <c r="H115" s="401"/>
      <c r="I115" s="403"/>
      <c r="J115" s="20" t="s">
        <v>30</v>
      </c>
      <c r="K115" s="27">
        <f>(IF(C106&gt;3,(F106/(C106+2)+K114),0))</f>
        <v>0</v>
      </c>
    </row>
    <row r="116" spans="2:11" ht="15.6" x14ac:dyDescent="0.3">
      <c r="B116" s="397" t="s">
        <v>31</v>
      </c>
      <c r="C116" s="398"/>
      <c r="D116" s="22">
        <v>7</v>
      </c>
      <c r="E116" s="23">
        <f ca="1">((100/F106)*D116)/100</f>
        <v>1</v>
      </c>
      <c r="F116" s="401"/>
      <c r="G116" s="401"/>
      <c r="H116" s="401"/>
      <c r="I116" s="403"/>
      <c r="J116" s="20" t="s">
        <v>32</v>
      </c>
      <c r="K116" s="26">
        <f>(IF(C106&gt;4,(F106/(C106+2)+K115),0))</f>
        <v>0</v>
      </c>
    </row>
    <row r="117" spans="2:11" ht="15.6" x14ac:dyDescent="0.3">
      <c r="B117" s="397" t="s">
        <v>33</v>
      </c>
      <c r="C117" s="398" t="s">
        <v>33</v>
      </c>
      <c r="D117" s="22">
        <v>7</v>
      </c>
      <c r="E117" s="23">
        <f ca="1">((100/(F106))*D117)/100</f>
        <v>1</v>
      </c>
      <c r="F117" s="401"/>
      <c r="G117" s="401"/>
      <c r="H117" s="401"/>
      <c r="I117" s="403"/>
      <c r="J117" s="20" t="s">
        <v>34</v>
      </c>
      <c r="K117" s="26">
        <f ca="1">(IF(C106=1,(F106/(C106+3)+K112),IF(C106=0,(F106/4+K112),IF(C106&gt;1,0))))</f>
        <v>5.25</v>
      </c>
    </row>
    <row r="118" spans="2:11" ht="16.2" thickBot="1" x14ac:dyDescent="0.35">
      <c r="B118" s="399" t="s">
        <v>35</v>
      </c>
      <c r="C118" s="400"/>
      <c r="D118" s="28">
        <v>7</v>
      </c>
      <c r="E118" s="29">
        <f ca="1">((100/(F106))*D118)/100</f>
        <v>1</v>
      </c>
      <c r="F118" s="402"/>
      <c r="G118" s="402"/>
      <c r="H118" s="402"/>
      <c r="I118" s="404"/>
      <c r="J118" s="30" t="s">
        <v>36</v>
      </c>
      <c r="K118" s="31">
        <f ca="1">(IF(C106&gt;1.5,(F106/(C106+2)+K112+MAX(0,K113-K112)+MAX(0,K114-K113)+MAX(0,K115-K114)+MAX(0,K116-K115)+MAX(0,K117-K116)),IF(C106=1,(F106/(C106+3)+K117),IF(C106=0,F106/4+K117))))</f>
        <v>7</v>
      </c>
    </row>
    <row r="124" spans="2:11" x14ac:dyDescent="0.3">
      <c r="B124" t="str">
        <f>(IF(E125&gt;99%,"All work completed. Please provide OC.",IF(E125&gt;89.8%,"Plinth, RCC, Brick, Plaster, Flooring, Painting work Completed. Finishing work is in process.",IF(E125&lt;94%,(IF(C125=0,"Work not yet Started.",IF(D125=25%,"Piling work in process",IF(D125=50%,"Excavation work in process",IF(D125=100%,"Excavation work Completed. ","0")))&amp;(IF(C126=0%,"",IF(C126=H127,"Footing work is process",IF(C126=H128,"Footing work Completed",IF(C126=H129,"1st Basement Completed",IF(C126=H130,"1st &amp; 2nd Basement Completed",IF(C126=H131,"1st to 3rd Basement Completed",IF(C126=H132,"1st to 4th Basement Completed",IF(C126=H133,"Plinth work is process",IF(C126=H134,"Plinth work completed","0")))))))))))&amp;(IF(C127=(D122+E122+F122),", RCC Slab",IF(C127&gt;0,", RCC upto "&amp;C127&amp;" Slab",""))&amp;(IF(C128=F122,", Brickwork",IF(C128&gt;0,", Brickwork upto "&amp;C128&amp;" Floor",""))&amp;(IF(C129=F122,", Internal Plaster",IF(C129&gt;0,", Internal Plaster upto "&amp;C129&amp;" Floor",""))&amp;(IF(C130=F122,", External Plaster",IF(C130&gt;0,", External Plaster upto "&amp;C130&amp;" Floor",""))&amp;(IF(C131=F122,", Flooring",IF(C131&gt;0,", Flooring upto "&amp;C131&amp;" Floor",""))&amp;(IF(C132=F122,", Painting",IF(C132&gt;0,", Painting upto "&amp;C132&amp;" Floor",""))&amp;(IF(C133&gt;0,", Finishing upto "&amp;C133&amp;" Floor","")&amp;(IF(C127&gt;0.5," Completed",""))))))))))))))</f>
        <v>Work not yet Started., RCC Slab, Brickwork, Internal Plaster, External Plaster, Flooring, Painting</v>
      </c>
    </row>
    <row r="131" spans="2:2" x14ac:dyDescent="0.3">
      <c r="B131" t="str">
        <f>(IF(E128&gt;99%,"All work completed. Please provide OC.",IF(E128&gt;89.8%,"Plinth, RCC, Brick, Plaster, Flooring, Painting work Completed. Finishing work is in process.",IF(E128&lt;94%,(IF(C128=0,"Work not yet Started.",IF(D128=25%,"Piling work in process",IF(D128=50%,"Excavation work in process",IF(D128=100%,"Excavation work Completed. ","0")))&amp;(IF(C129=0%,"",IF(C129=H130,"Footing work is process",IF(C129=H131,"Footing work Completed",IF(C129=H132,"1st Basement Completed",IF(C129=H133,"1st &amp; 2nd Basement Completed",IF(C129=H134,"1st to 3rd Basement Completed",IF(C129=H135,"1st to 4th Basement Completed",IF(C129=H136,"Plinth work is process",IF(C129=H137,"Plinth work completed","0")))))))))))&amp;(IF(C130=(D125+E125+F125),", RCC Slab",IF(C130&gt;0,", RCC upto "&amp;C130&amp;" Slab",""))&amp;(IF(C131=F125,", Brickwork",IF(C131&gt;0,", Brickwork upto "&amp;C131&amp;" Floor",""))&amp;(IF(C132=F125,", Internal Plaster",IF(C132&gt;0,", Internal Plaster upto "&amp;C132&amp;" Floor",""))&amp;(IF(C133=F125,", External Plaster",IF(C133&gt;0,", External Plaster upto "&amp;C133&amp;" Floor",""))&amp;(IF(C134=F125,", Flooring",IF(C134&gt;0,", Flooring upto "&amp;C134&amp;" Floor",""))&amp;(IF(C135=F125,", Painting",IF(C135&gt;0,", Painting upto "&amp;C135&amp;" Floor",""))&amp;(IF(C136&gt;0,", Finishing upto "&amp;C136&amp;" Floor","")&amp;(IF(C130&gt;0.5," Completed",""))))))))))))))</f>
        <v>Work not yet Started., RCC Slab, Brickwork, Internal Plaster, External Plaster, Flooring, Painting</v>
      </c>
    </row>
  </sheetData>
  <mergeCells count="19">
    <mergeCell ref="B105:C105"/>
    <mergeCell ref="D105:I105"/>
    <mergeCell ref="B107:C107"/>
    <mergeCell ref="D107:I107"/>
    <mergeCell ref="B108:C108"/>
    <mergeCell ref="F108:G108"/>
    <mergeCell ref="H108:I108"/>
    <mergeCell ref="B117:C117"/>
    <mergeCell ref="B118:C118"/>
    <mergeCell ref="B109:C109"/>
    <mergeCell ref="F109:G118"/>
    <mergeCell ref="H109:I118"/>
    <mergeCell ref="B110:C110"/>
    <mergeCell ref="B111:C111"/>
    <mergeCell ref="B112:C112"/>
    <mergeCell ref="B113:C113"/>
    <mergeCell ref="B114:C114"/>
    <mergeCell ref="B115:C115"/>
    <mergeCell ref="B116:C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</dc:creator>
  <cp:lastModifiedBy>USER</cp:lastModifiedBy>
  <cp:lastPrinted>2025-08-28T10:05:08Z</cp:lastPrinted>
  <dcterms:created xsi:type="dcterms:W3CDTF">2023-05-19T08:34:56Z</dcterms:created>
  <dcterms:modified xsi:type="dcterms:W3CDTF">2025-08-28T10:08:08Z</dcterms:modified>
</cp:coreProperties>
</file>