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August 2025\24-08-2025\"/>
    </mc:Choice>
  </mc:AlternateContent>
  <bookViews>
    <workbookView xWindow="0" yWindow="0" windowWidth="19200" windowHeight="6640"/>
  </bookViews>
  <sheets>
    <sheet name="Report (2)" sheetId="1" r:id="rId1"/>
    <sheet name="VALUATION" sheetId="6" r:id="rId2"/>
    <sheet name="Note" sheetId="5" r:id="rId3"/>
    <sheet name="Flat detail" sheetId="3" r:id="rId4"/>
  </sheets>
  <definedNames>
    <definedName name="_xlnm.Print_Area" localSheetId="0">'Report (2)'!$A$1:$J$277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74" i="1" l="1"/>
  <c r="C74" i="1"/>
  <c r="C73" i="1" l="1"/>
  <c r="F3" i="1" l="1"/>
  <c r="L83" i="1" l="1"/>
  <c r="L82" i="1"/>
  <c r="L81" i="1"/>
  <c r="L80" i="1"/>
  <c r="I72" i="1"/>
  <c r="L76" i="1" l="1"/>
  <c r="D85" i="1"/>
  <c r="D83" i="1"/>
  <c r="D81" i="1"/>
  <c r="D79" i="1"/>
  <c r="L77" i="1"/>
  <c r="L75" i="1"/>
  <c r="D84" i="1"/>
  <c r="D80" i="1"/>
  <c r="L78" i="1"/>
  <c r="L79" i="1" s="1"/>
  <c r="D82" i="1"/>
  <c r="D78" i="1"/>
  <c r="D49" i="1"/>
  <c r="D179" i="1"/>
  <c r="G179" i="1" s="1"/>
  <c r="D178" i="1"/>
  <c r="G178" i="1" s="1"/>
  <c r="D177" i="1"/>
  <c r="G177" i="1" s="1"/>
  <c r="D176" i="1"/>
  <c r="G176" i="1" s="1"/>
  <c r="D175" i="1"/>
  <c r="G175" i="1" s="1"/>
  <c r="D173" i="1"/>
  <c r="G173" i="1" s="1"/>
  <c r="D171" i="1"/>
  <c r="G171" i="1" s="1"/>
  <c r="D170" i="1"/>
  <c r="G170" i="1" s="1"/>
  <c r="D169" i="1"/>
  <c r="G169" i="1" s="1"/>
  <c r="D168" i="1"/>
  <c r="G168" i="1" s="1"/>
  <c r="D167" i="1"/>
  <c r="G167" i="1" s="1"/>
  <c r="D166" i="1"/>
  <c r="G166" i="1" s="1"/>
  <c r="M165" i="1"/>
  <c r="D165" i="1"/>
  <c r="G165" i="1" s="1"/>
  <c r="I173" i="1"/>
  <c r="L168" i="1"/>
  <c r="L165" i="1"/>
  <c r="L166" i="1"/>
  <c r="I165" i="1"/>
  <c r="K161" i="1"/>
  <c r="K160" i="1"/>
  <c r="K159" i="1"/>
  <c r="K158" i="1"/>
  <c r="K157" i="1"/>
  <c r="K156" i="1"/>
  <c r="K155" i="1"/>
  <c r="K154" i="1"/>
  <c r="L137" i="1"/>
  <c r="L145" i="1"/>
  <c r="K149" i="1"/>
  <c r="K148" i="1"/>
  <c r="K152" i="1"/>
  <c r="K151" i="1"/>
  <c r="K150" i="1"/>
  <c r="K147" i="1"/>
  <c r="K146" i="1"/>
  <c r="K145" i="1"/>
  <c r="K140" i="1"/>
  <c r="K139" i="1"/>
  <c r="K143" i="1"/>
  <c r="K142" i="1"/>
  <c r="K141" i="1"/>
  <c r="K138" i="1"/>
  <c r="K137" i="1"/>
  <c r="K136" i="1"/>
  <c r="K132" i="1"/>
  <c r="K131" i="1"/>
  <c r="K130" i="1"/>
  <c r="K129" i="1"/>
  <c r="K128" i="1"/>
  <c r="K127" i="1"/>
  <c r="K126" i="1"/>
  <c r="K125" i="1"/>
  <c r="K123" i="1"/>
  <c r="K122" i="1"/>
  <c r="K121" i="1"/>
  <c r="K120" i="1"/>
  <c r="K119" i="1"/>
  <c r="K118" i="1"/>
  <c r="K117" i="1"/>
  <c r="K116" i="1"/>
  <c r="K114" i="1"/>
  <c r="K113" i="1"/>
  <c r="K112" i="1"/>
  <c r="K111" i="1"/>
  <c r="K110" i="1"/>
  <c r="K108" i="1"/>
  <c r="K109" i="1"/>
  <c r="F107" i="1"/>
  <c r="L107" i="1"/>
  <c r="K107" i="1"/>
  <c r="N165" i="1" l="1"/>
  <c r="L84" i="1"/>
  <c r="L85" i="1" s="1"/>
  <c r="C77" i="1" s="1"/>
  <c r="D77" i="1" s="1"/>
  <c r="G99" i="1"/>
  <c r="D76" i="1"/>
  <c r="D99" i="1"/>
  <c r="C99" i="1"/>
  <c r="L67" i="1"/>
  <c r="L66" i="1"/>
  <c r="L65" i="1"/>
  <c r="L64" i="1"/>
  <c r="I57" i="1"/>
  <c r="H76" i="1" l="1"/>
  <c r="F76" i="1"/>
  <c r="K71" i="1" s="1"/>
  <c r="D69" i="1"/>
  <c r="D67" i="1"/>
  <c r="D65" i="1"/>
  <c r="D63" i="1"/>
  <c r="L61" i="1"/>
  <c r="C60" i="1" s="1"/>
  <c r="D60" i="1" s="1"/>
  <c r="L59" i="1"/>
  <c r="L62" i="1"/>
  <c r="L63" i="1" s="1"/>
  <c r="L68" i="1" s="1"/>
  <c r="L69" i="1" s="1"/>
  <c r="C61" i="1" s="1"/>
  <c r="D68" i="1"/>
  <c r="D66" i="1"/>
  <c r="D64" i="1"/>
  <c r="C62" i="1"/>
  <c r="D62" i="1" s="1"/>
  <c r="L60" i="1"/>
  <c r="G6" i="6"/>
  <c r="G5" i="6"/>
  <c r="F60" i="1" l="1"/>
  <c r="D61" i="1"/>
  <c r="H60" i="1"/>
  <c r="H70" i="1" s="1"/>
  <c r="G7" i="6"/>
  <c r="D161" i="1"/>
  <c r="D160" i="1"/>
  <c r="D159" i="1"/>
  <c r="D158" i="1"/>
  <c r="D157" i="1"/>
  <c r="D156" i="1"/>
  <c r="D155" i="1"/>
  <c r="D154" i="1"/>
  <c r="D152" i="1"/>
  <c r="D151" i="1"/>
  <c r="D150" i="1"/>
  <c r="D147" i="1"/>
  <c r="D146" i="1"/>
  <c r="D145" i="1"/>
  <c r="D143" i="1"/>
  <c r="D142" i="1"/>
  <c r="D141" i="1"/>
  <c r="D139" i="1"/>
  <c r="D138" i="1"/>
  <c r="D137" i="1"/>
  <c r="D136" i="1"/>
  <c r="K56" i="1" l="1"/>
  <c r="C58" i="1" s="1"/>
  <c r="C70" i="1"/>
  <c r="D123" i="1"/>
  <c r="D109" i="1"/>
  <c r="D118" i="1"/>
  <c r="D112" i="1"/>
  <c r="D110" i="1"/>
  <c r="D111" i="1"/>
  <c r="D108" i="1"/>
  <c r="D107" i="1"/>
  <c r="F40" i="1"/>
  <c r="I107" i="1" l="1"/>
  <c r="I116" i="1"/>
  <c r="I136" i="1"/>
  <c r="I145" i="1"/>
  <c r="G159" i="1"/>
  <c r="M159" i="1" s="1"/>
  <c r="G158" i="1"/>
  <c r="F161" i="1"/>
  <c r="F160" i="1"/>
  <c r="G160" i="1" s="1"/>
  <c r="G157" i="1"/>
  <c r="F156" i="1"/>
  <c r="F155" i="1"/>
  <c r="F154" i="1"/>
  <c r="G150" i="1"/>
  <c r="F147" i="1"/>
  <c r="G147" i="1" s="1"/>
  <c r="F146" i="1"/>
  <c r="F145" i="1"/>
  <c r="G145" i="1" s="1"/>
  <c r="F152" i="1"/>
  <c r="F151" i="1"/>
  <c r="D149" i="1"/>
  <c r="G149" i="1" s="1"/>
  <c r="D148" i="1"/>
  <c r="G148" i="1" s="1"/>
  <c r="F143" i="1"/>
  <c r="F142" i="1"/>
  <c r="F141" i="1"/>
  <c r="D140" i="1"/>
  <c r="G139" i="1"/>
  <c r="F138" i="1"/>
  <c r="F137" i="1"/>
  <c r="F136" i="1"/>
  <c r="G136" i="1" s="1"/>
  <c r="D128" i="1"/>
  <c r="G128" i="1" s="1"/>
  <c r="D127" i="1"/>
  <c r="G127" i="1" s="1"/>
  <c r="F132" i="1"/>
  <c r="D132" i="1"/>
  <c r="F131" i="1"/>
  <c r="D131" i="1"/>
  <c r="F130" i="1"/>
  <c r="D130" i="1"/>
  <c r="D129" i="1"/>
  <c r="G129" i="1" s="1"/>
  <c r="F126" i="1"/>
  <c r="D126" i="1"/>
  <c r="F125" i="1"/>
  <c r="D125" i="1"/>
  <c r="F123" i="1"/>
  <c r="F122" i="1"/>
  <c r="D122" i="1"/>
  <c r="F121" i="1"/>
  <c r="D121" i="1"/>
  <c r="D120" i="1"/>
  <c r="G120" i="1" s="1"/>
  <c r="D119" i="1"/>
  <c r="G119" i="1" s="1"/>
  <c r="F117" i="1"/>
  <c r="D117" i="1"/>
  <c r="D116" i="1"/>
  <c r="F116" i="1"/>
  <c r="F114" i="1"/>
  <c r="F113" i="1"/>
  <c r="D114" i="1"/>
  <c r="D113" i="1"/>
  <c r="F111" i="1"/>
  <c r="G111" i="1" s="1"/>
  <c r="F110" i="1"/>
  <c r="F112" i="1"/>
  <c r="F109" i="1"/>
  <c r="F108" i="1"/>
  <c r="C97" i="1" l="1"/>
  <c r="G140" i="1"/>
  <c r="C98" i="1"/>
  <c r="D98" i="1"/>
  <c r="D97" i="1"/>
  <c r="G132" i="1"/>
  <c r="G138" i="1"/>
  <c r="G141" i="1"/>
  <c r="G110" i="1"/>
  <c r="G125" i="1"/>
  <c r="G156" i="1"/>
  <c r="G143" i="1"/>
  <c r="G108" i="1"/>
  <c r="G114" i="1"/>
  <c r="G131" i="1"/>
  <c r="G151" i="1"/>
  <c r="G155" i="1"/>
  <c r="G116" i="1"/>
  <c r="G109" i="1"/>
  <c r="G112" i="1"/>
  <c r="G113" i="1"/>
  <c r="G130" i="1"/>
  <c r="G137" i="1"/>
  <c r="G126" i="1"/>
  <c r="G152" i="1"/>
  <c r="G161" i="1"/>
  <c r="G142" i="1"/>
  <c r="G154" i="1"/>
  <c r="G146" i="1"/>
  <c r="G123" i="1"/>
  <c r="G122" i="1"/>
  <c r="G121" i="1"/>
  <c r="G118" i="1"/>
  <c r="G117" i="1"/>
  <c r="G107" i="1"/>
  <c r="C100" i="1" l="1"/>
  <c r="G98" i="1"/>
  <c r="D100" i="1"/>
  <c r="G97" i="1"/>
  <c r="D194" i="1"/>
  <c r="G94" i="1"/>
  <c r="F41" i="1"/>
  <c r="D51" i="1" s="1"/>
  <c r="C13" i="1"/>
  <c r="F7" i="1"/>
  <c r="G100" i="1" l="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<sst xmlns="http://schemas.openxmlformats.org/spreadsheetml/2006/main" count="445" uniqueCount="238">
  <si>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</si>
  <si>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</si>
  <si>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</si>
  <si>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</si>
  <si>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</si>
  <si>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</si>
  <si>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</si>
  <si>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</si>
  <si>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</si>
  <si>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</si>
  <si>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</si>
  <si>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</si>
  <si>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</si>
  <si>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</si>
  <si>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</si>
  <si>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</si>
  <si>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</si>
  <si>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</si>
  <si>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</si>
  <si>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</si>
  <si>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</si>
  <si>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</si>
  <si>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</si>
  <si>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</si>
  <si>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</si>
  <si>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</si>
  <si>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</si>
  <si>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</si>
  <si>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</si>
  <si>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</si>
  <si>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</si>
  <si>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</si>
  <si>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</si>
  <si>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</si>
  <si>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</si>
  <si>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</si>
  <si>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</si>
  <si>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</si>
  <si>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</si>
  <si>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</si>
  <si>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</si>
  <si>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</si>
  <si>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</si>
  <si>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</si>
  <si>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</si>
  <si>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</si>
  <si>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</si>
  <si>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</si>
  <si>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</si>
  <si>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</si>
  <si>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</si>
  <si>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</si>
  <si>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</si>
  <si>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</si>
  <si>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</si>
  <si>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</si>
  <si>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</si>
  <si>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</si>
  <si>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</si>
  <si>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</si>
  <si>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</si>
  <si>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</si>
  <si>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</si>
  <si>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</si>
  <si>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 xml:space="preserve">Construction details:                                                                  </t>
  </si>
  <si>
    <t>Type of Work</t>
  </si>
  <si>
    <t>Plinth</t>
  </si>
  <si>
    <t>Violations Observed if any : NA</t>
  </si>
  <si>
    <t>Recommended Rates of the Property :</t>
  </si>
  <si>
    <t>Floor rise rate  Per Sq. Ft.</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</si>
  <si>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</si>
  <si>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</si>
  <si>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</si>
  <si>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</si>
  <si>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</si>
  <si>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</si>
  <si>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</si>
  <si>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</si>
  <si>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</si>
  <si>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</si>
  <si>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</si>
  <si>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</si>
  <si>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</si>
  <si>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</si>
  <si>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</si>
  <si>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</si>
  <si>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</si>
  <si>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</si>
  <si>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</si>
  <si>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</si>
  <si>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</si>
  <si>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</si>
  <si>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</si>
  <si>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</si>
  <si>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</si>
  <si>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</si>
  <si>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</si>
  <si>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</si>
  <si>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</si>
  <si>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</si>
  <si>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</si>
  <si>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</si>
  <si>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</si>
  <si>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</si>
  <si>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</si>
  <si>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</si>
  <si>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</si>
  <si>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</si>
  <si>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</si>
  <si>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</si>
  <si>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</si>
  <si>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</si>
  <si>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</si>
  <si>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</si>
  <si>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</si>
  <si>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</si>
  <si>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</si>
  <si>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</si>
  <si>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</si>
  <si>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</si>
  <si>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</si>
  <si>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</si>
  <si>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</si>
  <si>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</si>
  <si>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</si>
  <si>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</si>
  <si>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</si>
  <si>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</si>
  <si>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</si>
  <si>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</si>
  <si>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</si>
  <si>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</si>
  <si>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Recommended rate of the flat Per Sq. Ft. ( on Saleable area)</t>
  </si>
  <si>
    <t>Flat/Shop No.</t>
  </si>
  <si>
    <t>Accessibility to the Project from the City: (Proximity to civic amenities like school, hospital, market, etc.)</t>
  </si>
  <si>
    <t>Inspected By :</t>
  </si>
  <si>
    <t>Report Prepared By :</t>
  </si>
  <si>
    <t>No. of Units</t>
  </si>
  <si>
    <t>Authorized Signatory
Name &amp; Seal of the agency</t>
  </si>
  <si>
    <t>Axis Sanpada</t>
  </si>
  <si>
    <t xml:space="preserve">M/s.Vakratund Enterprises
</t>
  </si>
  <si>
    <t>Belavali</t>
  </si>
  <si>
    <t>Ambarnath</t>
  </si>
  <si>
    <t xml:space="preserve"> A Wing</t>
  </si>
  <si>
    <t>1st, 3rd, 5th,7th, 9th &amp; 11th Floor</t>
  </si>
  <si>
    <t>1BHK</t>
  </si>
  <si>
    <t>2BHK</t>
  </si>
  <si>
    <t>2nd, 4th, 6th, 10th &amp; 12th Floor</t>
  </si>
  <si>
    <t>B Wing</t>
  </si>
  <si>
    <t>Residential</t>
  </si>
  <si>
    <t>Thane</t>
  </si>
  <si>
    <t>6 &amp; 7(PT)</t>
  </si>
  <si>
    <t>Survey No</t>
  </si>
  <si>
    <t>Bridge Road</t>
  </si>
  <si>
    <t>Badlapur</t>
  </si>
  <si>
    <t>Frangipani Pranjee garden city phase II</t>
  </si>
  <si>
    <t>Hissa No</t>
  </si>
  <si>
    <t>Open Plot</t>
  </si>
  <si>
    <t>Ganesh Ghat</t>
  </si>
  <si>
    <t>Sudhir Bhosale</t>
  </si>
  <si>
    <t>8th Floor (Part Refuge Area)</t>
  </si>
  <si>
    <t>8th Floor</t>
  </si>
  <si>
    <t xml:space="preserve"> </t>
  </si>
  <si>
    <t>Development charges</t>
  </si>
  <si>
    <t>15/09/2020.</t>
  </si>
  <si>
    <t>Pratiksha</t>
  </si>
  <si>
    <t>Previous Rate - 5500/- (15/09/2020)</t>
  </si>
  <si>
    <t>Market Research Data</t>
  </si>
  <si>
    <t>Source</t>
  </si>
  <si>
    <t>Distance from proposed property</t>
  </si>
  <si>
    <t>Net Carpet</t>
  </si>
  <si>
    <t>Saleable Area</t>
  </si>
  <si>
    <t>Rate on Saleable</t>
  </si>
  <si>
    <t>Market Value</t>
  </si>
  <si>
    <t>Magic Brick</t>
  </si>
  <si>
    <t>Average</t>
  </si>
  <si>
    <t xml:space="preserve">Valuation Adopted </t>
  </si>
  <si>
    <t xml:space="preserve">Paradise Park - </t>
  </si>
  <si>
    <t>Previous Rate - 4700/- (24/02/2021)</t>
  </si>
  <si>
    <t>Changed from 4700 to 5500 by akash</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</si>
  <si>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</si>
  <si>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</si>
  <si>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</si>
  <si>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</si>
  <si>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</si>
  <si>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</si>
  <si>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</si>
  <si>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</si>
  <si>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</si>
  <si>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</si>
  <si>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</si>
  <si>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</si>
  <si>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</si>
  <si>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</si>
  <si>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</si>
  <si>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</si>
  <si>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</si>
  <si>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</si>
  <si>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</si>
  <si>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</si>
  <si>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</si>
  <si>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</si>
  <si>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</si>
  <si>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RCC </t>
  </si>
  <si>
    <t>C Wing</t>
  </si>
  <si>
    <t xml:space="preserve">Ground Floor For Parking </t>
  </si>
  <si>
    <t>1st to 7th, 9th to 12th, 14th &amp; 15th Floor for Residential</t>
  </si>
  <si>
    <t>3BHK</t>
  </si>
  <si>
    <t>Refuge Area</t>
  </si>
  <si>
    <t>8th &amp; 13rd Floor (Part Refuge Area)</t>
  </si>
  <si>
    <t>A Wing</t>
  </si>
  <si>
    <t>3.1Km from Badlapur Railway Station</t>
  </si>
  <si>
    <t>3 Wings</t>
  </si>
  <si>
    <t>KBNP/NRV/BP/6871-88</t>
  </si>
  <si>
    <t xml:space="preserve">Approved Floor plan No </t>
  </si>
  <si>
    <t xml:space="preserve">KBNP/NRV/B.P/6871/2021-2022/88
Valid Up to: 
A &amp; B Wing = G/St + 1st to 12th Floor
C Wing = G/St + 1st to 15th Floor
</t>
  </si>
  <si>
    <t>Flats = 295</t>
  </si>
  <si>
    <t>A &amp; B Wing = G/St + 1st to 12th Floor
C Wing = G/St + 1st to 15th Floor</t>
  </si>
  <si>
    <t>A, B, C Wing - P51700016121</t>
  </si>
  <si>
    <t>C Wing = G/St + 1st to 15th Floor</t>
  </si>
  <si>
    <t>2,50,000/-</t>
  </si>
  <si>
    <t>2,00,000/-</t>
  </si>
  <si>
    <t>Paradise Park Phase 1</t>
  </si>
  <si>
    <t>1 Building (A, B &amp; C Wing)</t>
  </si>
  <si>
    <t>Location Link</t>
  </si>
  <si>
    <t>https://goo.gl/maps/KwPQTwvASBGrAzmQ8</t>
  </si>
  <si>
    <t>A &amp; B Wing = G/St + 1st to 12th Floor</t>
  </si>
  <si>
    <t>Office No. 1031, Wing J, Akshar Business Park, Plot No. 03 Sector 25, Near APMC Market,
 Vashi, Navi Mumbai, Maharashtra 400703 TEL: 022-46090378/79/80                                                                      
 E mail : vsjcapf@gmail.com. Web site : www.vsjadon.com</t>
  </si>
  <si>
    <t>Contact Details ( Name &amp; Contact No.)</t>
  </si>
  <si>
    <t>19.172183,73.228122</t>
  </si>
  <si>
    <t xml:space="preserve">Progress % </t>
  </si>
  <si>
    <t xml:space="preserve"> Completed</t>
  </si>
  <si>
    <t xml:space="preserve">Projected life of the structure: 60 Years </t>
  </si>
  <si>
    <t>Material laying at Site: Nothing</t>
  </si>
  <si>
    <t>KBMC/TPD/2024-25/0328
Approved upto : Wing C = G/St + 1st to 15th Floor</t>
  </si>
  <si>
    <t>1. Wing A &amp; B - All work completed. Please Provide OC.
    Wing C - All work completed. OC Received.
2. We considered Saleable area as per our calculation.
3. We considered Carpet area as per Approved Plan.
4. We considered Gross carpet area = Net carpet + Enclosed Balcony + Balcony + C.B + A.P Area.
5. We have considered rate by verifying it from market inquire.
6. We have considered Other charges from cost sheet.
7. Recommended rate should be considered as all inclusive rate if other charges are not mentioned. (Excluding GST &amp; other government Taxes)
8. Car parking is subjected to authentic documentation.
9. We updated Revised approved plan (on 25/01/2022).
10. We have updated OC of Wing C on 30/05/2025.
10. On site, we meet Miss. Sheetal Deshmukh - 8169231596.</t>
  </si>
  <si>
    <t>Pooja Kawale</t>
  </si>
  <si>
    <t>Wheather the construction is as per approved Building plan : 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</si>
</sst>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sz val="11"/>
      <color rgb="FF000000"/>
      <name val="Times New Roman"/>
      <family val="1"/>
    </font>
    <font>
      <u/>
      <sz val="12"/>
      <color indexed="8"/>
      <name val="Times New Roman"/>
      <family val="1"/>
    </font>
    <font>
      <sz val="11"/>
      <name val="Times New Roman"/>
      <family val="1"/>
    </font>
    <font>
      <sz val="11"/>
      <color rgb="FFFF0000"/>
      <name val="Calibri"/>
      <family val="2"/>
      <scheme val="minor"/>
    </font>
    <font>
      <sz val="11"/>
      <color rgb="FFFF0000"/>
      <name val="Calibri"/>
      <family val="2"/>
    </font>
    <font>
      <sz val="11"/>
      <color theme="1"/>
      <name val="Times New Roman"/>
      <family val="1"/>
    </font>
    <font>
      <sz val="12"/>
      <color rgb="FFFF0000"/>
      <name val="Times New Roman"/>
      <family val="1"/>
    </font>
    <font>
      <u/>
      <sz val="11"/>
      <color theme="10"/>
      <name val="Calibri"/>
      <family val="2"/>
    </font>
  </fonts>
  <fills count="3">
    <fill>
      <patternFill patternType="none"/>
    </fill>
    <fill>
      <patternFill patternType="gray125"/>
    </fill>
    <fill>
      <patternFill patternType="solid">
        <fgColor rgb="FFFFFF00"/>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8">
    <xf numFmtId="0" fontId="0" fillId="0" borderId="0"/>
    <xf numFmtId="0" fontId="3" fillId="0" borderId="0"/>
    <xf numFmtId="0" fontId="6" fillId="0" borderId="0"/>
    <xf numFmtId="0" fontId="2" fillId="0" borderId="0"/>
    <xf numFmtId="0" fontId="6" fillId="0" borderId="0"/>
    <xf numFmtId="0" fontId="1" fillId="0" borderId="0"/>
    <xf numFmtId="164" fontId="6" fillId="0" borderId="0" applyFont="0" applyFill="0" applyBorder="0" applyAlignment="0" applyProtection="0"/>
    <xf numFmtId="0" fontId="23" fillId="0" borderId="0" applyNumberFormat="0" applyFill="0" applyBorder="0" applyAlignment="0" applyProtection="0"/>
  </cellStyleXfs>
  <cellXfs count="237">
    <xf numFmtId="0" fontId="0" fillId="0" borderId="0" xfId="0"/>
    <xf numFmtId="1" fontId="9" fillId="0" borderId="4" xfId="1" applyNumberFormat="1" applyFont="1" applyFill="1" applyBorder="1" applyAlignment="1">
      <alignment horizontal="center" vertical="top" wrapText="1"/>
    </xf>
    <xf numFmtId="1" fontId="7" fillId="0" borderId="4" xfId="1" applyNumberFormat="1" applyFont="1" applyFill="1" applyBorder="1" applyAlignment="1">
      <alignment horizontal="center" vertical="center" wrapText="1"/>
    </xf>
    <xf numFmtId="0" fontId="0" fillId="2" borderId="4" xfId="0" applyFill="1" applyBorder="1"/>
    <xf numFmtId="0" fontId="0" fillId="0" borderId="9" xfId="0" applyBorder="1" applyAlignment="1"/>
    <xf numFmtId="0" fontId="10" fillId="0" borderId="4" xfId="0" applyFont="1" applyBorder="1"/>
    <xf numFmtId="0" fontId="10" fillId="0" borderId="4" xfId="0" applyFont="1" applyBorder="1" applyAlignment="1">
      <alignment horizontal="center"/>
    </xf>
    <xf numFmtId="0" fontId="0" fillId="0" borderId="4" xfId="0" applyBorder="1"/>
    <xf numFmtId="1" fontId="4" fillId="0" borderId="4" xfId="1" applyNumberFormat="1" applyFont="1" applyFill="1" applyBorder="1" applyAlignment="1">
      <alignment horizontal="center" vertical="top" wrapText="1"/>
    </xf>
    <xf numFmtId="0" fontId="6" fillId="0" borderId="0" xfId="4" applyFont="1"/>
    <xf numFmtId="0" fontId="6" fillId="0" borderId="0" xfId="4"/>
    <xf numFmtId="0" fontId="1" fillId="0" borderId="0" xfId="5"/>
    <xf numFmtId="0" fontId="10" fillId="0" borderId="4" xfId="5" applyFont="1" applyBorder="1" applyAlignment="1">
      <alignment horizontal="center" vertical="top" wrapText="1"/>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6" fontId="1" fillId="0" borderId="4" xfId="6" applyNumberFormat="1" applyFont="1" applyBorder="1" applyAlignment="1">
      <alignment horizontal="right" vertical="center"/>
    </xf>
    <xf numFmtId="0" fontId="10" fillId="0" borderId="4" xfId="5" applyFont="1" applyBorder="1" applyAlignment="1">
      <alignment horizontal="center" vertical="center"/>
    </xf>
    <xf numFmtId="1" fontId="19" fillId="0" borderId="4" xfId="5" applyNumberFormat="1" applyFont="1" applyBorder="1" applyAlignment="1">
      <alignment horizontal="center" vertical="center"/>
    </xf>
    <xf numFmtId="0" fontId="1" fillId="0" borderId="4" xfId="5" applyFont="1" applyBorder="1" applyAlignment="1">
      <alignment horizontal="center" vertical="center"/>
    </xf>
    <xf numFmtId="0" fontId="6" fillId="0" borderId="4" xfId="4" applyFont="1" applyBorder="1" applyAlignment="1">
      <alignment horizontal="center" vertical="center"/>
    </xf>
    <xf numFmtId="0" fontId="20" fillId="0" borderId="0" xfId="4" applyFont="1"/>
    <xf numFmtId="0" fontId="0" fillId="2" borderId="0" xfId="0" applyFill="1"/>
    <xf numFmtId="0" fontId="21" fillId="0" borderId="18" xfId="1" applyFont="1" applyFill="1" applyBorder="1" applyProtection="1">
      <protection hidden="1"/>
    </xf>
    <xf numFmtId="0" fontId="21" fillId="0" borderId="0" xfId="1" applyFont="1" applyFill="1" applyBorder="1" applyProtection="1">
      <protection hidden="1"/>
    </xf>
    <xf numFmtId="0" fontId="16" fillId="0" borderId="0" xfId="3" applyFont="1" applyFill="1" applyBorder="1" applyProtection="1">
      <protection hidden="1"/>
    </xf>
    <xf numFmtId="0" fontId="16" fillId="0" borderId="25" xfId="3" applyFont="1" applyFill="1" applyBorder="1" applyProtection="1">
      <protection hidden="1"/>
    </xf>
    <xf numFmtId="0" fontId="14" fillId="0" borderId="20"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wrapText="1"/>
      <protection locked="0"/>
    </xf>
    <xf numFmtId="1" fontId="17" fillId="0" borderId="0" xfId="1" applyNumberFormat="1" applyFont="1" applyFill="1" applyBorder="1" applyAlignment="1">
      <alignment horizontal="center" vertical="center" wrapText="1"/>
    </xf>
    <xf numFmtId="1" fontId="7" fillId="0" borderId="0" xfId="1" applyNumberFormat="1" applyFont="1" applyFill="1" applyBorder="1" applyAlignment="1">
      <alignment horizontal="center" vertical="center" wrapText="1"/>
    </xf>
    <xf numFmtId="0" fontId="7" fillId="0" borderId="4" xfId="1" applyFont="1" applyFill="1" applyBorder="1" applyAlignment="1">
      <alignment horizontal="left" vertical="top"/>
    </xf>
    <xf numFmtId="0" fontId="8" fillId="0" borderId="0" xfId="1" applyFont="1" applyFill="1"/>
    <xf numFmtId="0" fontId="7" fillId="0" borderId="4" xfId="1" applyFont="1" applyFill="1" applyBorder="1" applyAlignment="1">
      <alignment vertical="top"/>
    </xf>
    <xf numFmtId="0" fontId="21" fillId="0" borderId="19" xfId="1" applyFont="1" applyFill="1" applyBorder="1" applyProtection="1">
      <protection hidden="1"/>
    </xf>
    <xf numFmtId="0" fontId="21" fillId="0" borderId="22" xfId="1" applyFont="1" applyFill="1" applyBorder="1" applyProtection="1">
      <protection hidden="1"/>
    </xf>
    <xf numFmtId="0" fontId="21" fillId="0" borderId="22" xfId="1" applyFont="1" applyFill="1" applyBorder="1"/>
    <xf numFmtId="0" fontId="14" fillId="0" borderId="4" xfId="1" applyFont="1" applyFill="1" applyBorder="1" applyAlignment="1" applyProtection="1">
      <alignment horizontal="center" wrapText="1"/>
      <protection locked="0"/>
    </xf>
    <xf numFmtId="0" fontId="16" fillId="0" borderId="22" xfId="3" applyNumberFormat="1" applyFont="1" applyFill="1" applyBorder="1" applyProtection="1">
      <protection hidden="1"/>
    </xf>
    <xf numFmtId="1" fontId="14" fillId="0" borderId="4" xfId="1" applyNumberFormat="1" applyFont="1" applyFill="1" applyBorder="1" applyAlignment="1" applyProtection="1">
      <alignment horizontal="center" wrapText="1"/>
      <protection locked="0"/>
    </xf>
    <xf numFmtId="1" fontId="12" fillId="0" borderId="22" xfId="3" applyNumberFormat="1" applyFont="1" applyFill="1" applyBorder="1"/>
    <xf numFmtId="1" fontId="12" fillId="0" borderId="22" xfId="3" applyNumberFormat="1" applyFont="1" applyFill="1" applyBorder="1" applyAlignment="1">
      <alignment horizontal="right"/>
    </xf>
    <xf numFmtId="1" fontId="12" fillId="0" borderId="26" xfId="3" applyNumberFormat="1" applyFont="1" applyFill="1" applyBorder="1"/>
    <xf numFmtId="0" fontId="7" fillId="0" borderId="0" xfId="2" applyFont="1" applyFill="1"/>
    <xf numFmtId="0" fontId="8" fillId="0" borderId="0" xfId="0" applyFont="1" applyFill="1" applyAlignment="1">
      <alignment horizontal="center" vertical="center"/>
    </xf>
    <xf numFmtId="0" fontId="11"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1" applyFont="1" applyFill="1" applyAlignment="1">
      <alignment horizontal="center" vertical="center"/>
    </xf>
    <xf numFmtId="1" fontId="8" fillId="0" borderId="0" xfId="1" applyNumberFormat="1" applyFont="1" applyFill="1" applyAlignment="1">
      <alignment horizontal="center" vertical="center"/>
    </xf>
    <xf numFmtId="0" fontId="14" fillId="0" borderId="0" xfId="0" applyFont="1" applyFill="1"/>
    <xf numFmtId="0" fontId="9" fillId="0" borderId="0" xfId="1" applyFont="1" applyFill="1" applyBorder="1" applyAlignment="1">
      <alignment vertical="top"/>
    </xf>
    <xf numFmtId="0" fontId="9" fillId="0" borderId="0" xfId="1" applyFont="1" applyFill="1" applyBorder="1" applyAlignment="1">
      <alignment vertical="top" wrapText="1"/>
    </xf>
    <xf numFmtId="0" fontId="11" fillId="0" borderId="0" xfId="1" applyFont="1" applyFill="1"/>
    <xf numFmtId="1" fontId="7" fillId="0" borderId="0" xfId="1" applyNumberFormat="1" applyFont="1" applyFill="1" applyBorder="1" applyAlignment="1">
      <alignment horizontal="center" vertical="center" wrapText="1"/>
    </xf>
    <xf numFmtId="0" fontId="8" fillId="0" borderId="27" xfId="0" applyFont="1" applyFill="1" applyBorder="1" applyAlignment="1">
      <alignment horizontal="center" vertical="center"/>
    </xf>
    <xf numFmtId="0" fontId="11" fillId="0" borderId="30" xfId="0" applyFont="1" applyFill="1" applyBorder="1" applyAlignment="1">
      <alignment horizontal="center" vertical="center"/>
    </xf>
    <xf numFmtId="1" fontId="7" fillId="0" borderId="0" xfId="1" applyNumberFormat="1" applyFont="1" applyFill="1" applyBorder="1" applyAlignment="1">
      <alignment horizontal="center" vertical="center" wrapText="1"/>
    </xf>
    <xf numFmtId="2" fontId="8" fillId="0" borderId="0" xfId="1" applyNumberFormat="1" applyFont="1" applyFill="1" applyAlignment="1">
      <alignment horizontal="center" vertical="center"/>
    </xf>
    <xf numFmtId="0" fontId="14" fillId="0" borderId="4" xfId="1" applyFont="1" applyFill="1" applyBorder="1" applyAlignment="1" applyProtection="1">
      <alignment horizontal="center" vertical="top" wrapText="1"/>
      <protection locked="0"/>
    </xf>
    <xf numFmtId="0" fontId="14" fillId="0" borderId="27" xfId="1" applyFont="1" applyFill="1" applyBorder="1" applyAlignment="1" applyProtection="1">
      <alignment horizontal="center" wrapText="1"/>
      <protection locked="0"/>
    </xf>
    <xf numFmtId="14" fontId="8" fillId="0" borderId="0" xfId="1" applyNumberFormat="1" applyFont="1" applyFill="1"/>
    <xf numFmtId="1" fontId="7" fillId="0" borderId="0" xfId="1" applyNumberFormat="1" applyFont="1" applyFill="1" applyBorder="1" applyAlignment="1">
      <alignment horizontal="center" vertical="center" wrapText="1"/>
    </xf>
    <xf numFmtId="0" fontId="14" fillId="0" borderId="4" xfId="1" applyFont="1" applyFill="1" applyBorder="1" applyAlignment="1" applyProtection="1">
      <alignment horizontal="center" vertical="top" wrapText="1"/>
      <protection locked="0"/>
    </xf>
    <xf numFmtId="9" fontId="14" fillId="0" borderId="4" xfId="1" applyNumberFormat="1" applyFont="1" applyFill="1" applyBorder="1" applyAlignment="1" applyProtection="1">
      <alignment horizontal="center" vertical="center" wrapText="1"/>
      <protection hidden="1"/>
    </xf>
    <xf numFmtId="0" fontId="14" fillId="0" borderId="27" xfId="1" applyFont="1" applyFill="1" applyBorder="1" applyAlignment="1" applyProtection="1">
      <alignment horizontal="center" vertical="top" wrapText="1"/>
      <protection locked="0"/>
    </xf>
    <xf numFmtId="9" fontId="14" fillId="0" borderId="27" xfId="1" applyNumberFormat="1" applyFont="1" applyFill="1" applyBorder="1" applyAlignment="1" applyProtection="1">
      <alignment horizontal="center" vertical="center" wrapText="1"/>
      <protection hidden="1"/>
    </xf>
    <xf numFmtId="0" fontId="9" fillId="0" borderId="34" xfId="1" applyFont="1" applyFill="1" applyBorder="1" applyAlignment="1" applyProtection="1">
      <alignment horizontal="center" vertical="top" wrapText="1"/>
      <protection locked="0"/>
    </xf>
    <xf numFmtId="0" fontId="9" fillId="0" borderId="34" xfId="1" applyFont="1" applyFill="1" applyBorder="1" applyAlignment="1" applyProtection="1">
      <alignment horizontal="left" vertical="top" wrapText="1"/>
      <protection locked="0"/>
    </xf>
    <xf numFmtId="0" fontId="14" fillId="0" borderId="4" xfId="1" applyFont="1" applyFill="1" applyBorder="1" applyAlignment="1" applyProtection="1">
      <alignment horizontal="center" vertical="top"/>
      <protection locked="0"/>
    </xf>
    <xf numFmtId="0" fontId="15" fillId="0" borderId="35" xfId="1" applyFont="1" applyFill="1" applyBorder="1" applyAlignment="1" applyProtection="1">
      <alignment horizontal="center" vertical="center"/>
      <protection locked="0"/>
    </xf>
    <xf numFmtId="0" fontId="15" fillId="0" borderId="36" xfId="1" applyFont="1" applyFill="1" applyBorder="1" applyAlignment="1" applyProtection="1">
      <alignment horizontal="center" vertical="center"/>
      <protection locked="0"/>
    </xf>
    <xf numFmtId="9" fontId="15" fillId="0" borderId="28" xfId="1" applyNumberFormat="1" applyFont="1" applyFill="1" applyBorder="1" applyAlignment="1" applyProtection="1">
      <alignment horizontal="center" vertical="center" wrapText="1"/>
      <protection locked="0"/>
    </xf>
    <xf numFmtId="0" fontId="15" fillId="0" borderId="29" xfId="1" applyFont="1" applyFill="1" applyBorder="1" applyAlignment="1" applyProtection="1">
      <alignment horizontal="center" vertical="center" wrapText="1"/>
      <protection locked="0"/>
    </xf>
    <xf numFmtId="0" fontId="15" fillId="0" borderId="33" xfId="1" applyFont="1" applyFill="1" applyBorder="1" applyAlignment="1" applyProtection="1">
      <alignment horizontal="center" vertical="center" wrapText="1"/>
      <protection locked="0"/>
    </xf>
    <xf numFmtId="0" fontId="15" fillId="0" borderId="28" xfId="1" applyFont="1" applyFill="1" applyBorder="1" applyAlignment="1" applyProtection="1">
      <alignment horizontal="center" vertical="center" wrapText="1"/>
      <protection locked="0"/>
    </xf>
    <xf numFmtId="1" fontId="7" fillId="0" borderId="1" xfId="1" applyNumberFormat="1" applyFont="1" applyFill="1" applyBorder="1" applyAlignment="1">
      <alignment horizontal="center" vertical="center" wrapText="1"/>
    </xf>
    <xf numFmtId="1" fontId="7" fillId="0" borderId="3" xfId="1" applyNumberFormat="1" applyFont="1" applyFill="1" applyBorder="1" applyAlignment="1">
      <alignment horizontal="center" vertical="center" wrapText="1"/>
    </xf>
    <xf numFmtId="1" fontId="9" fillId="0" borderId="1"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wrapText="1"/>
    </xf>
    <xf numFmtId="1" fontId="9" fillId="0" borderId="3" xfId="1" applyNumberFormat="1" applyFont="1" applyFill="1" applyBorder="1" applyAlignment="1">
      <alignment horizontal="center" vertical="center" wrapText="1"/>
    </xf>
    <xf numFmtId="1" fontId="7" fillId="0" borderId="5" xfId="1" applyNumberFormat="1" applyFont="1" applyFill="1" applyBorder="1" applyAlignment="1">
      <alignment horizontal="center" vertical="center" wrapText="1"/>
    </xf>
    <xf numFmtId="1" fontId="7" fillId="0" borderId="7" xfId="1" applyNumberFormat="1" applyFont="1" applyFill="1" applyBorder="1" applyAlignment="1">
      <alignment horizontal="center" vertical="center" wrapText="1"/>
    </xf>
    <xf numFmtId="1" fontId="7" fillId="0" borderId="11" xfId="1" applyNumberFormat="1" applyFont="1" applyFill="1" applyBorder="1" applyAlignment="1">
      <alignment horizontal="center" vertical="center" wrapText="1"/>
    </xf>
    <xf numFmtId="1" fontId="7" fillId="0" borderId="12" xfId="1" applyNumberFormat="1" applyFont="1" applyFill="1" applyBorder="1" applyAlignment="1">
      <alignment horizontal="center" vertical="center" wrapText="1"/>
    </xf>
    <xf numFmtId="1" fontId="7" fillId="0" borderId="8" xfId="1" applyNumberFormat="1" applyFont="1" applyFill="1" applyBorder="1" applyAlignment="1">
      <alignment horizontal="center" vertical="center" wrapText="1"/>
    </xf>
    <xf numFmtId="1" fontId="7" fillId="0" borderId="10" xfId="1" applyNumberFormat="1" applyFont="1" applyFill="1" applyBorder="1" applyAlignment="1">
      <alignment horizontal="center" vertical="center" wrapText="1"/>
    </xf>
    <xf numFmtId="0" fontId="7" fillId="0" borderId="1" xfId="1" applyFont="1" applyFill="1" applyBorder="1" applyAlignment="1">
      <alignment horizontal="left" vertical="top"/>
    </xf>
    <xf numFmtId="0" fontId="7" fillId="0" borderId="2" xfId="1" applyFont="1" applyFill="1" applyBorder="1" applyAlignment="1">
      <alignment horizontal="left" vertical="top"/>
    </xf>
    <xf numFmtId="0" fontId="7" fillId="0" borderId="3" xfId="1" applyFont="1" applyFill="1" applyBorder="1" applyAlignment="1">
      <alignment horizontal="left" vertical="top"/>
    </xf>
    <xf numFmtId="0" fontId="14" fillId="0" borderId="1" xfId="1" applyFont="1" applyFill="1" applyBorder="1" applyAlignment="1">
      <alignment horizontal="left" vertical="top"/>
    </xf>
    <xf numFmtId="0" fontId="14" fillId="0" borderId="2" xfId="1" applyFont="1" applyFill="1" applyBorder="1" applyAlignment="1">
      <alignment horizontal="left" vertical="top"/>
    </xf>
    <xf numFmtId="0" fontId="7" fillId="0" borderId="1"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9" fillId="0" borderId="13" xfId="1" applyFont="1" applyFill="1" applyBorder="1" applyAlignment="1" applyProtection="1">
      <alignment horizontal="center" vertical="top" wrapText="1"/>
      <protection locked="0"/>
    </xf>
    <xf numFmtId="0" fontId="9" fillId="0" borderId="14" xfId="1" applyFont="1" applyFill="1" applyBorder="1" applyAlignment="1" applyProtection="1">
      <alignment horizontal="center" vertical="top" wrapText="1"/>
      <protection locked="0"/>
    </xf>
    <xf numFmtId="0" fontId="9" fillId="0" borderId="15" xfId="1" applyFont="1" applyFill="1" applyBorder="1" applyAlignment="1" applyProtection="1">
      <alignment horizontal="left" vertical="top" wrapText="1"/>
      <protection locked="0"/>
    </xf>
    <xf numFmtId="0" fontId="9" fillId="0" borderId="16" xfId="1" applyFont="1" applyFill="1" applyBorder="1" applyAlignment="1" applyProtection="1">
      <alignment horizontal="left" vertical="top" wrapText="1"/>
      <protection locked="0"/>
    </xf>
    <xf numFmtId="0" fontId="9" fillId="0" borderId="17" xfId="1" applyFont="1" applyFill="1" applyBorder="1" applyAlignment="1" applyProtection="1">
      <alignment horizontal="left" vertical="top" wrapText="1"/>
      <protection locked="0"/>
    </xf>
    <xf numFmtId="0" fontId="14" fillId="0" borderId="1" xfId="1" applyFont="1" applyFill="1" applyBorder="1" applyAlignment="1" applyProtection="1">
      <alignment horizontal="center" vertical="top"/>
      <protection locked="0"/>
    </xf>
    <xf numFmtId="0" fontId="14" fillId="0" borderId="3" xfId="1" applyFont="1" applyFill="1" applyBorder="1" applyAlignment="1" applyProtection="1">
      <alignment horizontal="center" vertical="top"/>
      <protection locked="0"/>
    </xf>
    <xf numFmtId="0" fontId="14" fillId="0" borderId="21" xfId="1" applyFont="1" applyFill="1" applyBorder="1" applyAlignment="1" applyProtection="1">
      <alignment horizontal="center" vertical="top"/>
      <protection locked="0"/>
    </xf>
    <xf numFmtId="0" fontId="14" fillId="0" borderId="3" xfId="1" applyFont="1" applyFill="1" applyBorder="1" applyAlignment="1">
      <alignment horizontal="left" vertical="top"/>
    </xf>
    <xf numFmtId="0" fontId="15" fillId="0" borderId="1"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3" xfId="1" applyFont="1" applyFill="1" applyBorder="1" applyAlignment="1">
      <alignment horizontal="left" vertical="top" wrapText="1"/>
    </xf>
    <xf numFmtId="0" fontId="14" fillId="0" borderId="1" xfId="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23" xfId="1" applyFont="1" applyFill="1" applyBorder="1" applyAlignment="1" applyProtection="1">
      <alignment horizontal="center" vertical="top" wrapText="1"/>
      <protection locked="0"/>
    </xf>
    <xf numFmtId="0" fontId="14" fillId="0" borderId="3" xfId="1" applyFont="1" applyFill="1" applyBorder="1" applyAlignment="1" applyProtection="1">
      <alignment horizontal="center" vertical="top" wrapText="1"/>
      <protection locked="0"/>
    </xf>
    <xf numFmtId="0" fontId="14" fillId="0" borderId="24" xfId="1" applyFont="1" applyFill="1" applyBorder="1" applyAlignment="1" applyProtection="1">
      <alignment horizontal="center" vertical="top" wrapText="1"/>
      <protection locked="0"/>
    </xf>
    <xf numFmtId="2" fontId="7" fillId="0" borderId="1" xfId="1" applyNumberFormat="1" applyFont="1" applyFill="1" applyBorder="1" applyAlignment="1">
      <alignment horizontal="left" vertical="top"/>
    </xf>
    <xf numFmtId="2" fontId="7" fillId="0" borderId="2" xfId="1" applyNumberFormat="1" applyFont="1" applyFill="1" applyBorder="1" applyAlignment="1">
      <alignment horizontal="left" vertical="top"/>
    </xf>
    <xf numFmtId="2" fontId="7" fillId="0" borderId="3" xfId="1" applyNumberFormat="1" applyFont="1" applyFill="1" applyBorder="1" applyAlignment="1">
      <alignment horizontal="left" vertical="top"/>
    </xf>
    <xf numFmtId="0" fontId="9" fillId="0" borderId="1" xfId="1" applyFont="1" applyFill="1" applyBorder="1" applyAlignment="1">
      <alignment horizontal="left" vertical="top"/>
    </xf>
    <xf numFmtId="0" fontId="9" fillId="0" borderId="2" xfId="1" applyFont="1" applyFill="1" applyBorder="1" applyAlignment="1">
      <alignment horizontal="left" vertical="top"/>
    </xf>
    <xf numFmtId="0" fontId="9" fillId="0" borderId="3" xfId="1" applyFont="1" applyFill="1" applyBorder="1" applyAlignment="1">
      <alignment horizontal="left" vertical="top"/>
    </xf>
    <xf numFmtId="0" fontId="7" fillId="0" borderId="1" xfId="1" applyFont="1" applyFill="1" applyBorder="1" applyAlignment="1">
      <alignment vertical="top"/>
    </xf>
    <xf numFmtId="0" fontId="7" fillId="0" borderId="2" xfId="1" applyFont="1" applyFill="1" applyBorder="1" applyAlignment="1">
      <alignment vertical="top"/>
    </xf>
    <xf numFmtId="0" fontId="7" fillId="0" borderId="3" xfId="1" applyFont="1" applyFill="1" applyBorder="1" applyAlignment="1">
      <alignment vertical="top"/>
    </xf>
    <xf numFmtId="1" fontId="17" fillId="0" borderId="0" xfId="1" applyNumberFormat="1" applyFont="1" applyFill="1" applyBorder="1" applyAlignment="1">
      <alignment horizontal="center" vertical="center" wrapText="1"/>
    </xf>
    <xf numFmtId="0" fontId="9" fillId="0" borderId="1" xfId="1" applyFont="1" applyFill="1" applyBorder="1" applyAlignment="1">
      <alignment horizontal="center" vertical="top"/>
    </xf>
    <xf numFmtId="0" fontId="9" fillId="0" borderId="2" xfId="1" applyFont="1" applyFill="1" applyBorder="1" applyAlignment="1">
      <alignment horizontal="center" vertical="top"/>
    </xf>
    <xf numFmtId="0" fontId="9" fillId="0" borderId="3" xfId="1" applyFont="1" applyFill="1" applyBorder="1" applyAlignment="1">
      <alignment horizontal="center" vertical="top"/>
    </xf>
    <xf numFmtId="1" fontId="7" fillId="0" borderId="1"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8" fillId="0" borderId="1" xfId="0" applyNumberFormat="1" applyFont="1" applyFill="1" applyBorder="1" applyAlignment="1">
      <alignment horizontal="center" vertical="top" wrapText="1"/>
    </xf>
    <xf numFmtId="1" fontId="8" fillId="0" borderId="2" xfId="0" applyNumberFormat="1"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1" fontId="7" fillId="0" borderId="5"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8" fillId="0" borderId="5" xfId="0" applyNumberFormat="1" applyFont="1" applyFill="1" applyBorder="1" applyAlignment="1">
      <alignment horizontal="center" vertical="top" wrapText="1"/>
    </xf>
    <xf numFmtId="1" fontId="8" fillId="0" borderId="6" xfId="0" applyNumberFormat="1" applyFont="1" applyFill="1" applyBorder="1" applyAlignment="1">
      <alignment horizontal="center" vertical="top" wrapText="1"/>
    </xf>
    <xf numFmtId="1" fontId="8" fillId="0" borderId="7" xfId="0" applyNumberFormat="1" applyFont="1" applyFill="1" applyBorder="1" applyAlignment="1">
      <alignment horizontal="center" vertical="top" wrapText="1"/>
    </xf>
    <xf numFmtId="1" fontId="9" fillId="0" borderId="1" xfId="0" applyNumberFormat="1" applyFont="1" applyFill="1" applyBorder="1" applyAlignment="1">
      <alignment horizontal="center" vertical="top" wrapText="1"/>
    </xf>
    <xf numFmtId="1" fontId="9" fillId="0" borderId="2" xfId="0" applyNumberFormat="1" applyFont="1" applyFill="1" applyBorder="1" applyAlignment="1">
      <alignment horizontal="center" vertical="top" wrapText="1"/>
    </xf>
    <xf numFmtId="1" fontId="9" fillId="0" borderId="3" xfId="0" applyNumberFormat="1" applyFont="1" applyFill="1" applyBorder="1" applyAlignment="1">
      <alignment horizontal="center" vertical="top" wrapText="1"/>
    </xf>
    <xf numFmtId="1" fontId="9" fillId="0" borderId="28" xfId="0" applyNumberFormat="1" applyFont="1" applyFill="1" applyBorder="1" applyAlignment="1">
      <alignment horizontal="center" vertical="center" wrapText="1"/>
    </xf>
    <xf numFmtId="1" fontId="9" fillId="0" borderId="29" xfId="0" applyNumberFormat="1" applyFont="1" applyFill="1" applyBorder="1" applyAlignment="1">
      <alignment horizontal="center" vertical="center" wrapText="1"/>
    </xf>
    <xf numFmtId="1" fontId="15" fillId="0" borderId="31" xfId="0" applyNumberFormat="1" applyFont="1" applyFill="1" applyBorder="1" applyAlignment="1">
      <alignment horizontal="center" vertical="top" wrapText="1"/>
    </xf>
    <xf numFmtId="1" fontId="15" fillId="0" borderId="29" xfId="0" applyNumberFormat="1" applyFont="1" applyFill="1" applyBorder="1" applyAlignment="1">
      <alignment horizontal="center" vertical="top" wrapText="1"/>
    </xf>
    <xf numFmtId="1" fontId="15" fillId="0" borderId="32" xfId="0" applyNumberFormat="1" applyFont="1" applyFill="1" applyBorder="1" applyAlignment="1">
      <alignment horizontal="center" vertical="top" wrapText="1"/>
    </xf>
    <xf numFmtId="1" fontId="9" fillId="0" borderId="31" xfId="0" applyNumberFormat="1" applyFont="1" applyFill="1" applyBorder="1" applyAlignment="1">
      <alignment horizontal="center" vertical="top" wrapText="1"/>
    </xf>
    <xf numFmtId="1" fontId="9" fillId="0" borderId="29" xfId="0" applyNumberFormat="1" applyFont="1" applyFill="1" applyBorder="1" applyAlignment="1">
      <alignment horizontal="center" vertical="top" wrapText="1"/>
    </xf>
    <xf numFmtId="1" fontId="9" fillId="0" borderId="33" xfId="0" applyNumberFormat="1" applyFont="1" applyFill="1" applyBorder="1" applyAlignment="1">
      <alignment horizontal="center" vertical="top" wrapText="1"/>
    </xf>
    <xf numFmtId="0" fontId="9" fillId="0" borderId="8" xfId="1" applyFont="1" applyFill="1" applyBorder="1" applyAlignment="1">
      <alignment horizontal="center" vertical="top"/>
    </xf>
    <xf numFmtId="0" fontId="9" fillId="0" borderId="9" xfId="1" applyFont="1" applyFill="1" applyBorder="1" applyAlignment="1">
      <alignment horizontal="center" vertical="top"/>
    </xf>
    <xf numFmtId="0" fontId="9" fillId="0" borderId="10" xfId="1" applyFont="1" applyFill="1" applyBorder="1" applyAlignment="1">
      <alignment horizontal="center" vertical="top"/>
    </xf>
    <xf numFmtId="14" fontId="9" fillId="0" borderId="1" xfId="1" applyNumberFormat="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1" xfId="1" applyFont="1" applyFill="1" applyBorder="1" applyAlignment="1">
      <alignment horizontal="left" vertical="top" wrapText="1"/>
    </xf>
    <xf numFmtId="0" fontId="7" fillId="0" borderId="4" xfId="1" applyFont="1" applyFill="1" applyBorder="1" applyAlignment="1">
      <alignment horizontal="left" vertical="top"/>
    </xf>
    <xf numFmtId="14" fontId="7" fillId="0" borderId="4" xfId="1" applyNumberFormat="1" applyFont="1" applyFill="1" applyBorder="1" applyAlignment="1">
      <alignment horizontal="center" vertical="top"/>
    </xf>
    <xf numFmtId="0" fontId="8" fillId="0" borderId="3" xfId="1" applyFont="1" applyFill="1" applyBorder="1" applyAlignment="1">
      <alignment horizontal="left"/>
    </xf>
    <xf numFmtId="14" fontId="14" fillId="0" borderId="1" xfId="1" applyNumberFormat="1" applyFont="1" applyFill="1" applyBorder="1" applyAlignment="1">
      <alignment horizontal="left" vertical="top" wrapText="1"/>
    </xf>
    <xf numFmtId="2" fontId="7" fillId="0" borderId="1" xfId="1" applyNumberFormat="1" applyFont="1" applyFill="1" applyBorder="1" applyAlignment="1">
      <alignment horizontal="left" vertical="top" wrapText="1"/>
    </xf>
    <xf numFmtId="2" fontId="7" fillId="0" borderId="2" xfId="1" applyNumberFormat="1" applyFont="1" applyFill="1" applyBorder="1" applyAlignment="1">
      <alignment horizontal="left" vertical="top" wrapText="1"/>
    </xf>
    <xf numFmtId="2" fontId="7" fillId="0" borderId="3" xfId="1" applyNumberFormat="1" applyFont="1" applyFill="1" applyBorder="1" applyAlignment="1">
      <alignment horizontal="left" vertical="top" wrapText="1"/>
    </xf>
    <xf numFmtId="14" fontId="7" fillId="0" borderId="1" xfId="1" applyNumberFormat="1" applyFont="1" applyFill="1" applyBorder="1" applyAlignment="1">
      <alignment horizontal="left" vertical="top" wrapText="1"/>
    </xf>
    <xf numFmtId="165" fontId="7" fillId="0" borderId="1" xfId="1" applyNumberFormat="1" applyFont="1" applyFill="1" applyBorder="1" applyAlignment="1">
      <alignment horizontal="left" vertical="top"/>
    </xf>
    <xf numFmtId="165" fontId="7" fillId="0" borderId="2" xfId="1" applyNumberFormat="1" applyFont="1" applyFill="1" applyBorder="1" applyAlignment="1">
      <alignment horizontal="left" vertical="top"/>
    </xf>
    <xf numFmtId="165" fontId="7" fillId="0" borderId="3" xfId="1" applyNumberFormat="1" applyFont="1" applyFill="1" applyBorder="1" applyAlignment="1">
      <alignment horizontal="left" vertical="top"/>
    </xf>
    <xf numFmtId="14" fontId="7" fillId="0" borderId="1" xfId="1" applyNumberFormat="1" applyFont="1" applyFill="1" applyBorder="1" applyAlignment="1">
      <alignment horizontal="left" vertical="top"/>
    </xf>
    <xf numFmtId="0" fontId="14" fillId="0" borderId="4" xfId="1" applyFont="1" applyFill="1" applyBorder="1" applyAlignment="1">
      <alignment horizontal="left" vertical="top"/>
    </xf>
    <xf numFmtId="0" fontId="7" fillId="0" borderId="5" xfId="1" applyFont="1" applyFill="1" applyBorder="1" applyAlignment="1">
      <alignment horizontal="left" vertical="top" wrapText="1"/>
    </xf>
    <xf numFmtId="0" fontId="7" fillId="0" borderId="7" xfId="1" applyFont="1" applyFill="1" applyBorder="1" applyAlignment="1">
      <alignment horizontal="left" vertical="top" wrapText="1"/>
    </xf>
    <xf numFmtId="0" fontId="8" fillId="0" borderId="1" xfId="1" applyFont="1" applyFill="1" applyBorder="1" applyAlignment="1" applyProtection="1">
      <alignment horizontal="left" vertical="center" wrapText="1"/>
      <protection locked="0"/>
    </xf>
    <xf numFmtId="0" fontId="8" fillId="0" borderId="2" xfId="1" applyFont="1" applyFill="1" applyBorder="1" applyAlignment="1" applyProtection="1">
      <alignment horizontal="left" vertical="center" wrapText="1"/>
      <protection locked="0"/>
    </xf>
    <xf numFmtId="0" fontId="8" fillId="0" borderId="3" xfId="1" applyFont="1" applyFill="1" applyBorder="1" applyAlignment="1" applyProtection="1">
      <alignment horizontal="left" vertical="center" wrapText="1"/>
      <protection locked="0"/>
    </xf>
    <xf numFmtId="0" fontId="7" fillId="0" borderId="4" xfId="1" applyFont="1" applyFill="1" applyBorder="1" applyAlignment="1">
      <alignment horizontal="left" vertical="top" wrapText="1"/>
    </xf>
    <xf numFmtId="0" fontId="7" fillId="0" borderId="6"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5" xfId="1" applyFont="1" applyFill="1" applyBorder="1" applyAlignment="1">
      <alignment horizontal="left" vertical="top"/>
    </xf>
    <xf numFmtId="0" fontId="7" fillId="0" borderId="6" xfId="1" applyFont="1" applyFill="1" applyBorder="1" applyAlignment="1">
      <alignment horizontal="left" vertical="top"/>
    </xf>
    <xf numFmtId="0" fontId="7" fillId="0" borderId="7" xfId="1" applyFont="1" applyFill="1" applyBorder="1" applyAlignment="1">
      <alignment horizontal="left" vertical="top"/>
    </xf>
    <xf numFmtId="0" fontId="7" fillId="0" borderId="8" xfId="1" applyFont="1" applyFill="1" applyBorder="1" applyAlignment="1">
      <alignment horizontal="left" vertical="top"/>
    </xf>
    <xf numFmtId="0" fontId="7" fillId="0" borderId="9" xfId="1" applyFont="1" applyFill="1" applyBorder="1" applyAlignment="1">
      <alignment horizontal="left" vertical="top"/>
    </xf>
    <xf numFmtId="0" fontId="7" fillId="0" borderId="10" xfId="1" applyFont="1" applyFill="1" applyBorder="1" applyAlignment="1">
      <alignment horizontal="left" vertical="top"/>
    </xf>
    <xf numFmtId="0" fontId="22" fillId="0" borderId="2" xfId="1" applyFont="1" applyFill="1" applyBorder="1" applyAlignment="1">
      <alignment horizontal="left" vertical="top"/>
    </xf>
    <xf numFmtId="0" fontId="22" fillId="0" borderId="3" xfId="1" applyFont="1" applyFill="1" applyBorder="1" applyAlignment="1">
      <alignment horizontal="left" vertical="top"/>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0" fontId="13" fillId="0" borderId="1" xfId="1" applyFont="1" applyFill="1" applyBorder="1" applyAlignment="1">
      <alignment horizontal="center" vertical="top" wrapText="1"/>
    </xf>
    <xf numFmtId="0" fontId="13" fillId="0" borderId="2" xfId="1" applyFont="1" applyFill="1" applyBorder="1" applyAlignment="1">
      <alignment horizontal="center" vertical="top" wrapText="1"/>
    </xf>
    <xf numFmtId="0" fontId="13" fillId="0" borderId="3" xfId="1" applyFont="1" applyFill="1" applyBorder="1" applyAlignment="1">
      <alignment horizontal="center" vertical="top" wrapText="1"/>
    </xf>
    <xf numFmtId="14" fontId="7" fillId="0" borderId="2" xfId="1" applyNumberFormat="1" applyFont="1" applyFill="1" applyBorder="1" applyAlignment="1">
      <alignment horizontal="left" vertical="top"/>
    </xf>
    <xf numFmtId="14" fontId="7" fillId="0" borderId="3" xfId="1" applyNumberFormat="1" applyFont="1" applyFill="1" applyBorder="1" applyAlignment="1">
      <alignment horizontal="left" vertical="top"/>
    </xf>
    <xf numFmtId="0" fontId="14" fillId="0" borderId="4" xfId="1" applyFont="1" applyFill="1" applyBorder="1" applyAlignment="1">
      <alignment horizontal="left"/>
    </xf>
    <xf numFmtId="0" fontId="8" fillId="0" borderId="1" xfId="1" applyFont="1" applyFill="1" applyBorder="1" applyAlignment="1">
      <alignment horizontal="center" vertical="top"/>
    </xf>
    <xf numFmtId="0" fontId="8" fillId="0" borderId="3" xfId="1" applyFont="1" applyFill="1" applyBorder="1" applyAlignment="1">
      <alignment horizontal="center" vertical="top"/>
    </xf>
    <xf numFmtId="0" fontId="14" fillId="0" borderId="1" xfId="1" applyFont="1" applyFill="1" applyBorder="1" applyAlignment="1" applyProtection="1">
      <alignment horizontal="left" vertical="center" wrapText="1"/>
      <protection locked="0"/>
    </xf>
    <xf numFmtId="0" fontId="14" fillId="0" borderId="2" xfId="1" applyFont="1" applyFill="1" applyBorder="1" applyAlignment="1" applyProtection="1">
      <alignment horizontal="left" vertical="center" wrapText="1"/>
      <protection locked="0"/>
    </xf>
    <xf numFmtId="0" fontId="14" fillId="0" borderId="3" xfId="1" applyFont="1" applyFill="1" applyBorder="1" applyAlignment="1" applyProtection="1">
      <alignment horizontal="left" vertical="center" wrapText="1"/>
      <protection locked="0"/>
    </xf>
    <xf numFmtId="0" fontId="7" fillId="0" borderId="1" xfId="1" applyFont="1" applyFill="1" applyBorder="1" applyAlignment="1">
      <alignment horizontal="center" vertical="top" wrapText="1"/>
    </xf>
    <xf numFmtId="0" fontId="7" fillId="0" borderId="3" xfId="1" applyFont="1" applyFill="1" applyBorder="1" applyAlignment="1">
      <alignment horizontal="center" vertical="top" wrapText="1"/>
    </xf>
    <xf numFmtId="0" fontId="23" fillId="0" borderId="1" xfId="7" applyFill="1" applyBorder="1" applyAlignment="1">
      <alignment horizontal="left" vertical="top"/>
    </xf>
    <xf numFmtId="0" fontId="9" fillId="0" borderId="1" xfId="1" applyFont="1" applyFill="1" applyBorder="1" applyAlignment="1">
      <alignment vertical="top"/>
    </xf>
    <xf numFmtId="0" fontId="9" fillId="0" borderId="2" xfId="1" applyFont="1" applyFill="1" applyBorder="1" applyAlignment="1">
      <alignment vertical="top"/>
    </xf>
    <xf numFmtId="0" fontId="9" fillId="0" borderId="3" xfId="1" applyFont="1" applyFill="1" applyBorder="1" applyAlignment="1">
      <alignment vertical="top"/>
    </xf>
    <xf numFmtId="0" fontId="14" fillId="0" borderId="1" xfId="1" applyFont="1" applyFill="1" applyBorder="1" applyAlignment="1">
      <alignment horizontal="center" vertical="top" wrapText="1"/>
    </xf>
    <xf numFmtId="0" fontId="14" fillId="0" borderId="3" xfId="1" applyFont="1" applyFill="1" applyBorder="1" applyAlignment="1">
      <alignment horizontal="center" vertical="top" wrapText="1"/>
    </xf>
    <xf numFmtId="0" fontId="14" fillId="0" borderId="2" xfId="1" applyFont="1" applyFill="1" applyBorder="1" applyAlignment="1">
      <alignment horizontal="center" vertical="top" wrapText="1"/>
    </xf>
    <xf numFmtId="0" fontId="15" fillId="0" borderId="1" xfId="1" applyFont="1" applyFill="1" applyBorder="1" applyAlignment="1">
      <alignment horizontal="left" vertical="top"/>
    </xf>
    <xf numFmtId="0" fontId="15" fillId="0" borderId="3" xfId="1" applyFont="1" applyFill="1" applyBorder="1" applyAlignment="1">
      <alignment horizontal="left" vertical="top"/>
    </xf>
    <xf numFmtId="0" fontId="14" fillId="0" borderId="8" xfId="1" applyFont="1" applyFill="1" applyBorder="1" applyAlignment="1">
      <alignment horizontal="left" vertical="top"/>
    </xf>
    <xf numFmtId="0" fontId="14" fillId="0" borderId="9" xfId="1" applyFont="1" applyFill="1" applyBorder="1" applyAlignment="1">
      <alignment horizontal="left" vertical="top"/>
    </xf>
    <xf numFmtId="0" fontId="14" fillId="0" borderId="10" xfId="1" applyFont="1" applyFill="1" applyBorder="1" applyAlignment="1">
      <alignment horizontal="left" vertical="top"/>
    </xf>
    <xf numFmtId="1" fontId="9" fillId="0" borderId="1" xfId="0" applyNumberFormat="1" applyFont="1" applyFill="1" applyBorder="1" applyAlignment="1">
      <alignment horizontal="center" vertical="center" wrapText="1"/>
    </xf>
    <xf numFmtId="1" fontId="9" fillId="0" borderId="2" xfId="0" applyNumberFormat="1" applyFont="1" applyFill="1" applyBorder="1" applyAlignment="1">
      <alignment horizontal="center" vertical="center" wrapText="1"/>
    </xf>
    <xf numFmtId="1" fontId="9" fillId="0" borderId="3" xfId="0" applyNumberFormat="1" applyFont="1" applyFill="1" applyBorder="1" applyAlignment="1">
      <alignment horizontal="center" vertical="center" wrapText="1"/>
    </xf>
    <xf numFmtId="0" fontId="11" fillId="0" borderId="1"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3" xfId="0" applyFont="1" applyFill="1" applyBorder="1" applyAlignment="1">
      <alignment horizontal="center" vertical="top" wrapText="1"/>
    </xf>
    <xf numFmtId="0" fontId="9" fillId="0" borderId="4" xfId="1" applyFont="1" applyFill="1" applyBorder="1" applyAlignment="1">
      <alignment horizontal="center" vertical="top" wrapText="1"/>
    </xf>
    <xf numFmtId="0" fontId="5" fillId="0" borderId="4" xfId="1" applyFont="1" applyFill="1" applyBorder="1" applyAlignment="1">
      <alignment horizontal="center" vertical="top" wrapText="1"/>
    </xf>
    <xf numFmtId="1" fontId="7" fillId="0" borderId="2" xfId="1" applyNumberFormat="1" applyFont="1" applyFill="1" applyBorder="1" applyAlignment="1">
      <alignment horizontal="center" vertical="center" wrapText="1"/>
    </xf>
    <xf numFmtId="0" fontId="18" fillId="0" borderId="4" xfId="1" applyFont="1" applyFill="1" applyBorder="1" applyAlignment="1">
      <alignment horizontal="center" vertical="top" wrapText="1"/>
    </xf>
    <xf numFmtId="1" fontId="9" fillId="0" borderId="4" xfId="0" applyNumberFormat="1" applyFont="1" applyFill="1" applyBorder="1" applyAlignment="1">
      <alignment horizontal="left" vertical="top" wrapText="1"/>
    </xf>
    <xf numFmtId="0" fontId="15" fillId="0" borderId="4" xfId="2" applyFont="1" applyFill="1" applyBorder="1" applyAlignment="1">
      <alignment horizontal="left" vertical="top" wrapText="1"/>
    </xf>
    <xf numFmtId="0" fontId="10" fillId="0" borderId="4" xfId="5" applyFont="1" applyBorder="1" applyAlignment="1">
      <alignment horizontal="left"/>
    </xf>
    <xf numFmtId="0" fontId="0" fillId="2" borderId="4" xfId="0" applyFill="1" applyBorder="1" applyAlignment="1">
      <alignment horizontal="center" wrapText="1"/>
    </xf>
    <xf numFmtId="0" fontId="10" fillId="0" borderId="4" xfId="0" applyFont="1" applyBorder="1" applyAlignment="1">
      <alignment horizontal="center"/>
    </xf>
    <xf numFmtId="0" fontId="15" fillId="0" borderId="20" xfId="1" applyFont="1" applyFill="1" applyBorder="1" applyAlignment="1" applyProtection="1">
      <alignment horizontal="left" vertical="center"/>
      <protection locked="0"/>
    </xf>
    <xf numFmtId="0" fontId="15" fillId="0" borderId="4" xfId="1" applyFont="1" applyFill="1" applyBorder="1" applyAlignment="1" applyProtection="1">
      <alignment horizontal="left" vertical="center"/>
      <protection locked="0"/>
    </xf>
    <xf numFmtId="0" fontId="15" fillId="0" borderId="1" xfId="1" applyFont="1" applyFill="1" applyBorder="1" applyAlignment="1" applyProtection="1">
      <alignment horizontal="left" vertical="center" wrapText="1"/>
      <protection locked="0"/>
    </xf>
    <xf numFmtId="0" fontId="15" fillId="0" borderId="2" xfId="1" applyFont="1" applyFill="1" applyBorder="1" applyAlignment="1" applyProtection="1">
      <alignment horizontal="left" vertical="center" wrapText="1"/>
      <protection locked="0"/>
    </xf>
    <xf numFmtId="0" fontId="15" fillId="0" borderId="21" xfId="1" applyFont="1" applyFill="1" applyBorder="1" applyAlignment="1" applyProtection="1">
      <alignment horizontal="left" vertical="center" wrapText="1"/>
      <protection locked="0"/>
    </xf>
    <xf numFmtId="0" fontId="15" fillId="0" borderId="4" xfId="1" applyFont="1" applyFill="1" applyBorder="1" applyAlignment="1" applyProtection="1">
      <alignment horizontal="left" vertical="center" wrapText="1"/>
      <protection locked="0"/>
    </xf>
    <xf numFmtId="0" fontId="9" fillId="0" borderId="4" xfId="1" applyFont="1" applyFill="1" applyBorder="1" applyAlignment="1">
      <alignment horizontal="center" vertical="top"/>
    </xf>
    <xf numFmtId="1" fontId="9" fillId="0" borderId="4" xfId="1" applyNumberFormat="1" applyFont="1" applyFill="1" applyBorder="1" applyAlignment="1">
      <alignment horizontal="center" vertical="top" wrapText="1"/>
    </xf>
    <xf numFmtId="1" fontId="9" fillId="0" borderId="4" xfId="1" applyNumberFormat="1" applyFont="1" applyFill="1" applyBorder="1" applyAlignment="1">
      <alignment horizontal="center" vertical="center" wrapText="1"/>
    </xf>
    <xf numFmtId="1" fontId="7" fillId="0" borderId="4" xfId="1" applyNumberFormat="1" applyFont="1" applyFill="1" applyBorder="1" applyAlignment="1">
      <alignment horizontal="center" vertical="center" wrapText="1"/>
    </xf>
  </cellXfs>
  <cellStyles count="8">
    <cellStyle name="Comma 2" xfId="6"/>
    <cellStyle name="Excel Built-in Normal" xfId="2"/>
    <cellStyle name="Excel Built-in Normal 2" xfId="4"/>
    <cellStyle name="Hyperlink" xfId="7" builtinId="8"/>
    <cellStyle name="Normal" xfId="0" builtinId="0"/>
    <cellStyle name="Normal 2" xfId="3"/>
    <cellStyle name="Normal 3" xfId="1"/>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258</xdr:row>
      <xdr:rowOff>22073</xdr:rowOff>
    </xdr:from>
    <xdr:to>
      <xdr:col>8</xdr:col>
      <xdr:colOff>590550</xdr:colOff>
      <xdr:row>276</xdr:row>
      <xdr:rowOff>21624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61950" y="54609848"/>
          <a:ext cx="5867400" cy="3600000"/>
        </a:xfrm>
        <a:prstGeom prst="rect">
          <a:avLst/>
        </a:prstGeom>
        <a:ln>
          <a:solidFill>
            <a:schemeClr val="tx1"/>
          </a:solidFill>
        </a:ln>
      </xdr:spPr>
    </xdr:pic>
    <xdr:clientData/>
  </xdr:twoCellAnchor>
  <xdr:twoCellAnchor editAs="oneCell">
    <xdr:from>
      <xdr:col>0</xdr:col>
      <xdr:colOff>361950</xdr:colOff>
      <xdr:row>239</xdr:row>
      <xdr:rowOff>0</xdr:rowOff>
    </xdr:from>
    <xdr:to>
      <xdr:col>8</xdr:col>
      <xdr:colOff>590550</xdr:colOff>
      <xdr:row>257</xdr:row>
      <xdr:rowOff>2352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361950" y="50787300"/>
          <a:ext cx="5867400" cy="3600000"/>
        </a:xfrm>
        <a:prstGeom prst="rect">
          <a:avLst/>
        </a:prstGeom>
        <a:ln>
          <a:solidFill>
            <a:schemeClr val="tx1"/>
          </a:solidFill>
        </a:ln>
      </xdr:spPr>
    </xdr:pic>
    <xdr:clientData/>
  </xdr:twoCellAnchor>
  <xdr:twoCellAnchor>
    <xdr:from>
      <xdr:col>0</xdr:col>
      <xdr:colOff>152400</xdr:colOff>
      <xdr:row>194</xdr:row>
      <xdr:rowOff>107950</xdr:rowOff>
    </xdr:from>
    <xdr:to>
      <xdr:col>9</xdr:col>
      <xdr:colOff>349662</xdr:colOff>
      <xdr:row>222</xdr:row>
      <xdr:rowOff>180408</xdr:rowOff>
    </xdr:to>
    <xdr:grpSp>
      <xdr:nvGrpSpPr>
        <xdr:cNvPr id="5" name="Group 4"/>
        <xdr:cNvGrpSpPr/>
      </xdr:nvGrpSpPr>
      <xdr:grpSpPr>
        <a:xfrm>
          <a:off x="152400" y="38893750"/>
          <a:ext cx="6471062" cy="5584258"/>
          <a:chOff x="152400" y="38893750"/>
          <a:chExt cx="6471062" cy="5584258"/>
        </a:xfrm>
      </xdr:grpSpPr>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359069" y="41742008"/>
            <a:ext cx="2057724" cy="2736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570025" y="41742008"/>
            <a:ext cx="2049150" cy="2736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52400" y="38893750"/>
            <a:ext cx="2057724" cy="2736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359069" y="38893750"/>
            <a:ext cx="2057724" cy="2736000"/>
          </a:xfrm>
          <a:prstGeom prst="rect">
            <a:avLst/>
          </a:prstGeom>
          <a:ln>
            <a:solidFill>
              <a:schemeClr val="tx1"/>
            </a:solidFill>
          </a:ln>
        </xdr:spPr>
      </xdr:pic>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565738" y="38893750"/>
            <a:ext cx="2057724" cy="2736000"/>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52400" y="41742008"/>
            <a:ext cx="2057724"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6</xdr:col>
      <xdr:colOff>354145</xdr:colOff>
      <xdr:row>28</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1025" y="1905000"/>
          <a:ext cx="6754945" cy="3600000"/>
        </a:xfrm>
        <a:prstGeom prst="rect">
          <a:avLst/>
        </a:prstGeom>
        <a:ln>
          <a:solidFill>
            <a:schemeClr val="tx1"/>
          </a:solidFill>
        </a:ln>
      </xdr:spPr>
    </xdr:pic>
    <xdr:clientData/>
  </xdr:twoCellAnchor>
  <xdr:twoCellAnchor editAs="oneCell">
    <xdr:from>
      <xdr:col>1</xdr:col>
      <xdr:colOff>0</xdr:colOff>
      <xdr:row>29</xdr:row>
      <xdr:rowOff>15134</xdr:rowOff>
    </xdr:from>
    <xdr:to>
      <xdr:col>6</xdr:col>
      <xdr:colOff>354145</xdr:colOff>
      <xdr:row>47</xdr:row>
      <xdr:rowOff>186134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1025" y="5539634"/>
          <a:ext cx="675494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11</xdr:col>
      <xdr:colOff>523200</xdr:colOff>
      <xdr:row>23</xdr:row>
      <xdr:rowOff>21015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2659012" y="-494932"/>
          <a:ext cx="4044375" cy="54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wPQTwvASBGrAzmQ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8"/>
  <sheetViews>
    <sheetView tabSelected="1" view="pageBreakPreview" topLeftCell="A58" zoomScaleNormal="100" zoomScaleSheetLayoutView="100" zoomScalePageLayoutView="70" workbookViewId="0">
      <selection activeCell="A87" sqref="A87:J87"/>
    </sheetView>
  </sheetViews>
  <sheetFormatPr defaultRowHeight="15.5" x14ac:dyDescent="0.35"/>
  <cols>
    <col min="1" max="1" width="9.26953125" style="33" customWidth="1"/>
    <col min="2" max="2" width="11.26953125" style="33" customWidth="1"/>
    <col min="3" max="3" width="14.7265625" style="33" customWidth="1"/>
    <col min="4" max="4" width="7.26953125" style="33" customWidth="1"/>
    <col min="5" max="5" width="5.54296875" style="33" customWidth="1"/>
    <col min="6" max="6" width="9.81640625" style="33" customWidth="1"/>
    <col min="7" max="7" width="10.1796875" style="33" customWidth="1"/>
    <col min="8" max="8" width="10.54296875" style="33" customWidth="1"/>
    <col min="9" max="9" width="11.1796875" style="33" customWidth="1"/>
    <col min="10" max="10" width="8.453125" style="33" customWidth="1"/>
    <col min="11" max="12" width="9.1796875" style="33"/>
    <col min="13" max="13" width="11.26953125" style="33" bestFit="1" customWidth="1"/>
    <col min="14" max="254" width="9.1796875" style="33"/>
    <col min="255" max="255" width="8.7265625" style="33" customWidth="1"/>
    <col min="256" max="256" width="9.81640625" style="33" customWidth="1"/>
    <col min="257" max="257" width="14.453125" style="33" customWidth="1"/>
    <col min="258" max="258" width="7.26953125" style="33" customWidth="1"/>
    <col min="259" max="259" width="5.54296875" style="33" customWidth="1"/>
    <col min="260" max="260" width="9" style="33" customWidth="1"/>
    <col min="261" max="262" width="9.81640625" style="33" customWidth="1"/>
    <col min="263" max="263" width="11.1796875" style="33" customWidth="1"/>
    <col min="264" max="264" width="2.81640625" style="33" customWidth="1"/>
    <col min="265" max="265" width="3.54296875" style="33" customWidth="1"/>
    <col min="266" max="510" width="9.1796875" style="33"/>
    <col min="511" max="511" width="8.7265625" style="33" customWidth="1"/>
    <col min="512" max="512" width="9.81640625" style="33" customWidth="1"/>
    <col min="513" max="513" width="14.453125" style="33" customWidth="1"/>
    <col min="514" max="514" width="7.26953125" style="33" customWidth="1"/>
    <col min="515" max="515" width="5.54296875" style="33" customWidth="1"/>
    <col min="516" max="516" width="9" style="33" customWidth="1"/>
    <col min="517" max="518" width="9.81640625" style="33" customWidth="1"/>
    <col min="519" max="519" width="11.1796875" style="33" customWidth="1"/>
    <col min="520" max="520" width="2.81640625" style="33" customWidth="1"/>
    <col min="521" max="521" width="3.54296875" style="33" customWidth="1"/>
    <col min="522" max="766" width="9.1796875" style="33"/>
    <col min="767" max="767" width="8.7265625" style="33" customWidth="1"/>
    <col min="768" max="768" width="9.81640625" style="33" customWidth="1"/>
    <col min="769" max="769" width="14.453125" style="33" customWidth="1"/>
    <col min="770" max="770" width="7.26953125" style="33" customWidth="1"/>
    <col min="771" max="771" width="5.54296875" style="33" customWidth="1"/>
    <col min="772" max="772" width="9" style="33" customWidth="1"/>
    <col min="773" max="774" width="9.81640625" style="33" customWidth="1"/>
    <col min="775" max="775" width="11.1796875" style="33" customWidth="1"/>
    <col min="776" max="776" width="2.81640625" style="33" customWidth="1"/>
    <col min="777" max="777" width="3.54296875" style="33" customWidth="1"/>
    <col min="778" max="1022" width="9.1796875" style="33"/>
    <col min="1023" max="1023" width="8.7265625" style="33" customWidth="1"/>
    <col min="1024" max="1024" width="9.81640625" style="33" customWidth="1"/>
    <col min="1025" max="1025" width="14.453125" style="33" customWidth="1"/>
    <col min="1026" max="1026" width="7.26953125" style="33" customWidth="1"/>
    <col min="1027" max="1027" width="5.54296875" style="33" customWidth="1"/>
    <col min="1028" max="1028" width="9" style="33" customWidth="1"/>
    <col min="1029" max="1030" width="9.81640625" style="33" customWidth="1"/>
    <col min="1031" max="1031" width="11.1796875" style="33" customWidth="1"/>
    <col min="1032" max="1032" width="2.81640625" style="33" customWidth="1"/>
    <col min="1033" max="1033" width="3.54296875" style="33" customWidth="1"/>
    <col min="1034" max="1278" width="9.1796875" style="33"/>
    <col min="1279" max="1279" width="8.7265625" style="33" customWidth="1"/>
    <col min="1280" max="1280" width="9.81640625" style="33" customWidth="1"/>
    <col min="1281" max="1281" width="14.453125" style="33" customWidth="1"/>
    <col min="1282" max="1282" width="7.26953125" style="33" customWidth="1"/>
    <col min="1283" max="1283" width="5.54296875" style="33" customWidth="1"/>
    <col min="1284" max="1284" width="9" style="33" customWidth="1"/>
    <col min="1285" max="1286" width="9.81640625" style="33" customWidth="1"/>
    <col min="1287" max="1287" width="11.1796875" style="33" customWidth="1"/>
    <col min="1288" max="1288" width="2.81640625" style="33" customWidth="1"/>
    <col min="1289" max="1289" width="3.54296875" style="33" customWidth="1"/>
    <col min="1290" max="1534" width="9.1796875" style="33"/>
    <col min="1535" max="1535" width="8.7265625" style="33" customWidth="1"/>
    <col min="1536" max="1536" width="9.81640625" style="33" customWidth="1"/>
    <col min="1537" max="1537" width="14.453125" style="33" customWidth="1"/>
    <col min="1538" max="1538" width="7.26953125" style="33" customWidth="1"/>
    <col min="1539" max="1539" width="5.54296875" style="33" customWidth="1"/>
    <col min="1540" max="1540" width="9" style="33" customWidth="1"/>
    <col min="1541" max="1542" width="9.81640625" style="33" customWidth="1"/>
    <col min="1543" max="1543" width="11.1796875" style="33" customWidth="1"/>
    <col min="1544" max="1544" width="2.81640625" style="33" customWidth="1"/>
    <col min="1545" max="1545" width="3.54296875" style="33" customWidth="1"/>
    <col min="1546" max="1790" width="9.1796875" style="33"/>
    <col min="1791" max="1791" width="8.7265625" style="33" customWidth="1"/>
    <col min="1792" max="1792" width="9.81640625" style="33" customWidth="1"/>
    <col min="1793" max="1793" width="14.453125" style="33" customWidth="1"/>
    <col min="1794" max="1794" width="7.26953125" style="33" customWidth="1"/>
    <col min="1795" max="1795" width="5.54296875" style="33" customWidth="1"/>
    <col min="1796" max="1796" width="9" style="33" customWidth="1"/>
    <col min="1797" max="1798" width="9.81640625" style="33" customWidth="1"/>
    <col min="1799" max="1799" width="11.1796875" style="33" customWidth="1"/>
    <col min="1800" max="1800" width="2.81640625" style="33" customWidth="1"/>
    <col min="1801" max="1801" width="3.54296875" style="33" customWidth="1"/>
    <col min="1802" max="2046" width="9.1796875" style="33"/>
    <col min="2047" max="2047" width="8.7265625" style="33" customWidth="1"/>
    <col min="2048" max="2048" width="9.81640625" style="33" customWidth="1"/>
    <col min="2049" max="2049" width="14.453125" style="33" customWidth="1"/>
    <col min="2050" max="2050" width="7.26953125" style="33" customWidth="1"/>
    <col min="2051" max="2051" width="5.54296875" style="33" customWidth="1"/>
    <col min="2052" max="2052" width="9" style="33" customWidth="1"/>
    <col min="2053" max="2054" width="9.81640625" style="33" customWidth="1"/>
    <col min="2055" max="2055" width="11.1796875" style="33" customWidth="1"/>
    <col min="2056" max="2056" width="2.81640625" style="33" customWidth="1"/>
    <col min="2057" max="2057" width="3.54296875" style="33" customWidth="1"/>
    <col min="2058" max="2302" width="9.1796875" style="33"/>
    <col min="2303" max="2303" width="8.7265625" style="33" customWidth="1"/>
    <col min="2304" max="2304" width="9.81640625" style="33" customWidth="1"/>
    <col min="2305" max="2305" width="14.453125" style="33" customWidth="1"/>
    <col min="2306" max="2306" width="7.26953125" style="33" customWidth="1"/>
    <col min="2307" max="2307" width="5.54296875" style="33" customWidth="1"/>
    <col min="2308" max="2308" width="9" style="33" customWidth="1"/>
    <col min="2309" max="2310" width="9.81640625" style="33" customWidth="1"/>
    <col min="2311" max="2311" width="11.1796875" style="33" customWidth="1"/>
    <col min="2312" max="2312" width="2.81640625" style="33" customWidth="1"/>
    <col min="2313" max="2313" width="3.54296875" style="33" customWidth="1"/>
    <col min="2314" max="2558" width="9.1796875" style="33"/>
    <col min="2559" max="2559" width="8.7265625" style="33" customWidth="1"/>
    <col min="2560" max="2560" width="9.81640625" style="33" customWidth="1"/>
    <col min="2561" max="2561" width="14.453125" style="33" customWidth="1"/>
    <col min="2562" max="2562" width="7.26953125" style="33" customWidth="1"/>
    <col min="2563" max="2563" width="5.54296875" style="33" customWidth="1"/>
    <col min="2564" max="2564" width="9" style="33" customWidth="1"/>
    <col min="2565" max="2566" width="9.81640625" style="33" customWidth="1"/>
    <col min="2567" max="2567" width="11.1796875" style="33" customWidth="1"/>
    <col min="2568" max="2568" width="2.81640625" style="33" customWidth="1"/>
    <col min="2569" max="2569" width="3.54296875" style="33" customWidth="1"/>
    <col min="2570" max="2814" width="9.1796875" style="33"/>
    <col min="2815" max="2815" width="8.7265625" style="33" customWidth="1"/>
    <col min="2816" max="2816" width="9.81640625" style="33" customWidth="1"/>
    <col min="2817" max="2817" width="14.453125" style="33" customWidth="1"/>
    <col min="2818" max="2818" width="7.26953125" style="33" customWidth="1"/>
    <col min="2819" max="2819" width="5.54296875" style="33" customWidth="1"/>
    <col min="2820" max="2820" width="9" style="33" customWidth="1"/>
    <col min="2821" max="2822" width="9.81640625" style="33" customWidth="1"/>
    <col min="2823" max="2823" width="11.1796875" style="33" customWidth="1"/>
    <col min="2824" max="2824" width="2.81640625" style="33" customWidth="1"/>
    <col min="2825" max="2825" width="3.54296875" style="33" customWidth="1"/>
    <col min="2826" max="3070" width="9.1796875" style="33"/>
    <col min="3071" max="3071" width="8.7265625" style="33" customWidth="1"/>
    <col min="3072" max="3072" width="9.81640625" style="33" customWidth="1"/>
    <col min="3073" max="3073" width="14.453125" style="33" customWidth="1"/>
    <col min="3074" max="3074" width="7.26953125" style="33" customWidth="1"/>
    <col min="3075" max="3075" width="5.54296875" style="33" customWidth="1"/>
    <col min="3076" max="3076" width="9" style="33" customWidth="1"/>
    <col min="3077" max="3078" width="9.81640625" style="33" customWidth="1"/>
    <col min="3079" max="3079" width="11.1796875" style="33" customWidth="1"/>
    <col min="3080" max="3080" width="2.81640625" style="33" customWidth="1"/>
    <col min="3081" max="3081" width="3.54296875" style="33" customWidth="1"/>
    <col min="3082" max="3326" width="9.1796875" style="33"/>
    <col min="3327" max="3327" width="8.7265625" style="33" customWidth="1"/>
    <col min="3328" max="3328" width="9.81640625" style="33" customWidth="1"/>
    <col min="3329" max="3329" width="14.453125" style="33" customWidth="1"/>
    <col min="3330" max="3330" width="7.26953125" style="33" customWidth="1"/>
    <col min="3331" max="3331" width="5.54296875" style="33" customWidth="1"/>
    <col min="3332" max="3332" width="9" style="33" customWidth="1"/>
    <col min="3333" max="3334" width="9.81640625" style="33" customWidth="1"/>
    <col min="3335" max="3335" width="11.1796875" style="33" customWidth="1"/>
    <col min="3336" max="3336" width="2.81640625" style="33" customWidth="1"/>
    <col min="3337" max="3337" width="3.54296875" style="33" customWidth="1"/>
    <col min="3338" max="3582" width="9.1796875" style="33"/>
    <col min="3583" max="3583" width="8.7265625" style="33" customWidth="1"/>
    <col min="3584" max="3584" width="9.81640625" style="33" customWidth="1"/>
    <col min="3585" max="3585" width="14.453125" style="33" customWidth="1"/>
    <col min="3586" max="3586" width="7.26953125" style="33" customWidth="1"/>
    <col min="3587" max="3587" width="5.54296875" style="33" customWidth="1"/>
    <col min="3588" max="3588" width="9" style="33" customWidth="1"/>
    <col min="3589" max="3590" width="9.81640625" style="33" customWidth="1"/>
    <col min="3591" max="3591" width="11.1796875" style="33" customWidth="1"/>
    <col min="3592" max="3592" width="2.81640625" style="33" customWidth="1"/>
    <col min="3593" max="3593" width="3.54296875" style="33" customWidth="1"/>
    <col min="3594" max="3838" width="9.1796875" style="33"/>
    <col min="3839" max="3839" width="8.7265625" style="33" customWidth="1"/>
    <col min="3840" max="3840" width="9.81640625" style="33" customWidth="1"/>
    <col min="3841" max="3841" width="14.453125" style="33" customWidth="1"/>
    <col min="3842" max="3842" width="7.26953125" style="33" customWidth="1"/>
    <col min="3843" max="3843" width="5.54296875" style="33" customWidth="1"/>
    <col min="3844" max="3844" width="9" style="33" customWidth="1"/>
    <col min="3845" max="3846" width="9.81640625" style="33" customWidth="1"/>
    <col min="3847" max="3847" width="11.1796875" style="33" customWidth="1"/>
    <col min="3848" max="3848" width="2.81640625" style="33" customWidth="1"/>
    <col min="3849" max="3849" width="3.54296875" style="33" customWidth="1"/>
    <col min="3850" max="4094" width="9.1796875" style="33"/>
    <col min="4095" max="4095" width="8.7265625" style="33" customWidth="1"/>
    <col min="4096" max="4096" width="9.81640625" style="33" customWidth="1"/>
    <col min="4097" max="4097" width="14.453125" style="33" customWidth="1"/>
    <col min="4098" max="4098" width="7.26953125" style="33" customWidth="1"/>
    <col min="4099" max="4099" width="5.54296875" style="33" customWidth="1"/>
    <col min="4100" max="4100" width="9" style="33" customWidth="1"/>
    <col min="4101" max="4102" width="9.81640625" style="33" customWidth="1"/>
    <col min="4103" max="4103" width="11.1796875" style="33" customWidth="1"/>
    <col min="4104" max="4104" width="2.81640625" style="33" customWidth="1"/>
    <col min="4105" max="4105" width="3.54296875" style="33" customWidth="1"/>
    <col min="4106" max="4350" width="9.1796875" style="33"/>
    <col min="4351" max="4351" width="8.7265625" style="33" customWidth="1"/>
    <col min="4352" max="4352" width="9.81640625" style="33" customWidth="1"/>
    <col min="4353" max="4353" width="14.453125" style="33" customWidth="1"/>
    <col min="4354" max="4354" width="7.26953125" style="33" customWidth="1"/>
    <col min="4355" max="4355" width="5.54296875" style="33" customWidth="1"/>
    <col min="4356" max="4356" width="9" style="33" customWidth="1"/>
    <col min="4357" max="4358" width="9.81640625" style="33" customWidth="1"/>
    <col min="4359" max="4359" width="11.1796875" style="33" customWidth="1"/>
    <col min="4360" max="4360" width="2.81640625" style="33" customWidth="1"/>
    <col min="4361" max="4361" width="3.54296875" style="33" customWidth="1"/>
    <col min="4362" max="4606" width="9.1796875" style="33"/>
    <col min="4607" max="4607" width="8.7265625" style="33" customWidth="1"/>
    <col min="4608" max="4608" width="9.81640625" style="33" customWidth="1"/>
    <col min="4609" max="4609" width="14.453125" style="33" customWidth="1"/>
    <col min="4610" max="4610" width="7.26953125" style="33" customWidth="1"/>
    <col min="4611" max="4611" width="5.54296875" style="33" customWidth="1"/>
    <col min="4612" max="4612" width="9" style="33" customWidth="1"/>
    <col min="4613" max="4614" width="9.81640625" style="33" customWidth="1"/>
    <col min="4615" max="4615" width="11.1796875" style="33" customWidth="1"/>
    <col min="4616" max="4616" width="2.81640625" style="33" customWidth="1"/>
    <col min="4617" max="4617" width="3.54296875" style="33" customWidth="1"/>
    <col min="4618" max="4862" width="9.1796875" style="33"/>
    <col min="4863" max="4863" width="8.7265625" style="33" customWidth="1"/>
    <col min="4864" max="4864" width="9.81640625" style="33" customWidth="1"/>
    <col min="4865" max="4865" width="14.453125" style="33" customWidth="1"/>
    <col min="4866" max="4866" width="7.26953125" style="33" customWidth="1"/>
    <col min="4867" max="4867" width="5.54296875" style="33" customWidth="1"/>
    <col min="4868" max="4868" width="9" style="33" customWidth="1"/>
    <col min="4869" max="4870" width="9.81640625" style="33" customWidth="1"/>
    <col min="4871" max="4871" width="11.1796875" style="33" customWidth="1"/>
    <col min="4872" max="4872" width="2.81640625" style="33" customWidth="1"/>
    <col min="4873" max="4873" width="3.54296875" style="33" customWidth="1"/>
    <col min="4874" max="5118" width="9.1796875" style="33"/>
    <col min="5119" max="5119" width="8.7265625" style="33" customWidth="1"/>
    <col min="5120" max="5120" width="9.81640625" style="33" customWidth="1"/>
    <col min="5121" max="5121" width="14.453125" style="33" customWidth="1"/>
    <col min="5122" max="5122" width="7.26953125" style="33" customWidth="1"/>
    <col min="5123" max="5123" width="5.54296875" style="33" customWidth="1"/>
    <col min="5124" max="5124" width="9" style="33" customWidth="1"/>
    <col min="5125" max="5126" width="9.81640625" style="33" customWidth="1"/>
    <col min="5127" max="5127" width="11.1796875" style="33" customWidth="1"/>
    <col min="5128" max="5128" width="2.81640625" style="33" customWidth="1"/>
    <col min="5129" max="5129" width="3.54296875" style="33" customWidth="1"/>
    <col min="5130" max="5374" width="9.1796875" style="33"/>
    <col min="5375" max="5375" width="8.7265625" style="33" customWidth="1"/>
    <col min="5376" max="5376" width="9.81640625" style="33" customWidth="1"/>
    <col min="5377" max="5377" width="14.453125" style="33" customWidth="1"/>
    <col min="5378" max="5378" width="7.26953125" style="33" customWidth="1"/>
    <col min="5379" max="5379" width="5.54296875" style="33" customWidth="1"/>
    <col min="5380" max="5380" width="9" style="33" customWidth="1"/>
    <col min="5381" max="5382" width="9.81640625" style="33" customWidth="1"/>
    <col min="5383" max="5383" width="11.1796875" style="33" customWidth="1"/>
    <col min="5384" max="5384" width="2.81640625" style="33" customWidth="1"/>
    <col min="5385" max="5385" width="3.54296875" style="33" customWidth="1"/>
    <col min="5386" max="5630" width="9.1796875" style="33"/>
    <col min="5631" max="5631" width="8.7265625" style="33" customWidth="1"/>
    <col min="5632" max="5632" width="9.81640625" style="33" customWidth="1"/>
    <col min="5633" max="5633" width="14.453125" style="33" customWidth="1"/>
    <col min="5634" max="5634" width="7.26953125" style="33" customWidth="1"/>
    <col min="5635" max="5635" width="5.54296875" style="33" customWidth="1"/>
    <col min="5636" max="5636" width="9" style="33" customWidth="1"/>
    <col min="5637" max="5638" width="9.81640625" style="33" customWidth="1"/>
    <col min="5639" max="5639" width="11.1796875" style="33" customWidth="1"/>
    <col min="5640" max="5640" width="2.81640625" style="33" customWidth="1"/>
    <col min="5641" max="5641" width="3.54296875" style="33" customWidth="1"/>
    <col min="5642" max="5886" width="9.1796875" style="33"/>
    <col min="5887" max="5887" width="8.7265625" style="33" customWidth="1"/>
    <col min="5888" max="5888" width="9.81640625" style="33" customWidth="1"/>
    <col min="5889" max="5889" width="14.453125" style="33" customWidth="1"/>
    <col min="5890" max="5890" width="7.26953125" style="33" customWidth="1"/>
    <col min="5891" max="5891" width="5.54296875" style="33" customWidth="1"/>
    <col min="5892" max="5892" width="9" style="33" customWidth="1"/>
    <col min="5893" max="5894" width="9.81640625" style="33" customWidth="1"/>
    <col min="5895" max="5895" width="11.1796875" style="33" customWidth="1"/>
    <col min="5896" max="5896" width="2.81640625" style="33" customWidth="1"/>
    <col min="5897" max="5897" width="3.54296875" style="33" customWidth="1"/>
    <col min="5898" max="6142" width="9.1796875" style="33"/>
    <col min="6143" max="6143" width="8.7265625" style="33" customWidth="1"/>
    <col min="6144" max="6144" width="9.81640625" style="33" customWidth="1"/>
    <col min="6145" max="6145" width="14.453125" style="33" customWidth="1"/>
    <col min="6146" max="6146" width="7.26953125" style="33" customWidth="1"/>
    <col min="6147" max="6147" width="5.54296875" style="33" customWidth="1"/>
    <col min="6148" max="6148" width="9" style="33" customWidth="1"/>
    <col min="6149" max="6150" width="9.81640625" style="33" customWidth="1"/>
    <col min="6151" max="6151" width="11.1796875" style="33" customWidth="1"/>
    <col min="6152" max="6152" width="2.81640625" style="33" customWidth="1"/>
    <col min="6153" max="6153" width="3.54296875" style="33" customWidth="1"/>
    <col min="6154" max="6398" width="9.1796875" style="33"/>
    <col min="6399" max="6399" width="8.7265625" style="33" customWidth="1"/>
    <col min="6400" max="6400" width="9.81640625" style="33" customWidth="1"/>
    <col min="6401" max="6401" width="14.453125" style="33" customWidth="1"/>
    <col min="6402" max="6402" width="7.26953125" style="33" customWidth="1"/>
    <col min="6403" max="6403" width="5.54296875" style="33" customWidth="1"/>
    <col min="6404" max="6404" width="9" style="33" customWidth="1"/>
    <col min="6405" max="6406" width="9.81640625" style="33" customWidth="1"/>
    <col min="6407" max="6407" width="11.1796875" style="33" customWidth="1"/>
    <col min="6408" max="6408" width="2.81640625" style="33" customWidth="1"/>
    <col min="6409" max="6409" width="3.54296875" style="33" customWidth="1"/>
    <col min="6410" max="6654" width="9.1796875" style="33"/>
    <col min="6655" max="6655" width="8.7265625" style="33" customWidth="1"/>
    <col min="6656" max="6656" width="9.81640625" style="33" customWidth="1"/>
    <col min="6657" max="6657" width="14.453125" style="33" customWidth="1"/>
    <col min="6658" max="6658" width="7.26953125" style="33" customWidth="1"/>
    <col min="6659" max="6659" width="5.54296875" style="33" customWidth="1"/>
    <col min="6660" max="6660" width="9" style="33" customWidth="1"/>
    <col min="6661" max="6662" width="9.81640625" style="33" customWidth="1"/>
    <col min="6663" max="6663" width="11.1796875" style="33" customWidth="1"/>
    <col min="6664" max="6664" width="2.81640625" style="33" customWidth="1"/>
    <col min="6665" max="6665" width="3.54296875" style="33" customWidth="1"/>
    <col min="6666" max="6910" width="9.1796875" style="33"/>
    <col min="6911" max="6911" width="8.7265625" style="33" customWidth="1"/>
    <col min="6912" max="6912" width="9.81640625" style="33" customWidth="1"/>
    <col min="6913" max="6913" width="14.453125" style="33" customWidth="1"/>
    <col min="6914" max="6914" width="7.26953125" style="33" customWidth="1"/>
    <col min="6915" max="6915" width="5.54296875" style="33" customWidth="1"/>
    <col min="6916" max="6916" width="9" style="33" customWidth="1"/>
    <col min="6917" max="6918" width="9.81640625" style="33" customWidth="1"/>
    <col min="6919" max="6919" width="11.1796875" style="33" customWidth="1"/>
    <col min="6920" max="6920" width="2.81640625" style="33" customWidth="1"/>
    <col min="6921" max="6921" width="3.54296875" style="33" customWidth="1"/>
    <col min="6922" max="7166" width="9.1796875" style="33"/>
    <col min="7167" max="7167" width="8.7265625" style="33" customWidth="1"/>
    <col min="7168" max="7168" width="9.81640625" style="33" customWidth="1"/>
    <col min="7169" max="7169" width="14.453125" style="33" customWidth="1"/>
    <col min="7170" max="7170" width="7.26953125" style="33" customWidth="1"/>
    <col min="7171" max="7171" width="5.54296875" style="33" customWidth="1"/>
    <col min="7172" max="7172" width="9" style="33" customWidth="1"/>
    <col min="7173" max="7174" width="9.81640625" style="33" customWidth="1"/>
    <col min="7175" max="7175" width="11.1796875" style="33" customWidth="1"/>
    <col min="7176" max="7176" width="2.81640625" style="33" customWidth="1"/>
    <col min="7177" max="7177" width="3.54296875" style="33" customWidth="1"/>
    <col min="7178" max="7422" width="9.1796875" style="33"/>
    <col min="7423" max="7423" width="8.7265625" style="33" customWidth="1"/>
    <col min="7424" max="7424" width="9.81640625" style="33" customWidth="1"/>
    <col min="7425" max="7425" width="14.453125" style="33" customWidth="1"/>
    <col min="7426" max="7426" width="7.26953125" style="33" customWidth="1"/>
    <col min="7427" max="7427" width="5.54296875" style="33" customWidth="1"/>
    <col min="7428" max="7428" width="9" style="33" customWidth="1"/>
    <col min="7429" max="7430" width="9.81640625" style="33" customWidth="1"/>
    <col min="7431" max="7431" width="11.1796875" style="33" customWidth="1"/>
    <col min="7432" max="7432" width="2.81640625" style="33" customWidth="1"/>
    <col min="7433" max="7433" width="3.54296875" style="33" customWidth="1"/>
    <col min="7434" max="7678" width="9.1796875" style="33"/>
    <col min="7679" max="7679" width="8.7265625" style="33" customWidth="1"/>
    <col min="7680" max="7680" width="9.81640625" style="33" customWidth="1"/>
    <col min="7681" max="7681" width="14.453125" style="33" customWidth="1"/>
    <col min="7682" max="7682" width="7.26953125" style="33" customWidth="1"/>
    <col min="7683" max="7683" width="5.54296875" style="33" customWidth="1"/>
    <col min="7684" max="7684" width="9" style="33" customWidth="1"/>
    <col min="7685" max="7686" width="9.81640625" style="33" customWidth="1"/>
    <col min="7687" max="7687" width="11.1796875" style="33" customWidth="1"/>
    <col min="7688" max="7688" width="2.81640625" style="33" customWidth="1"/>
    <col min="7689" max="7689" width="3.54296875" style="33" customWidth="1"/>
    <col min="7690" max="7934" width="9.1796875" style="33"/>
    <col min="7935" max="7935" width="8.7265625" style="33" customWidth="1"/>
    <col min="7936" max="7936" width="9.81640625" style="33" customWidth="1"/>
    <col min="7937" max="7937" width="14.453125" style="33" customWidth="1"/>
    <col min="7938" max="7938" width="7.26953125" style="33" customWidth="1"/>
    <col min="7939" max="7939" width="5.54296875" style="33" customWidth="1"/>
    <col min="7940" max="7940" width="9" style="33" customWidth="1"/>
    <col min="7941" max="7942" width="9.81640625" style="33" customWidth="1"/>
    <col min="7943" max="7943" width="11.1796875" style="33" customWidth="1"/>
    <col min="7944" max="7944" width="2.81640625" style="33" customWidth="1"/>
    <col min="7945" max="7945" width="3.54296875" style="33" customWidth="1"/>
    <col min="7946" max="8190" width="9.1796875" style="33"/>
    <col min="8191" max="8191" width="8.7265625" style="33" customWidth="1"/>
    <col min="8192" max="8192" width="9.81640625" style="33" customWidth="1"/>
    <col min="8193" max="8193" width="14.453125" style="33" customWidth="1"/>
    <col min="8194" max="8194" width="7.26953125" style="33" customWidth="1"/>
    <col min="8195" max="8195" width="5.54296875" style="33" customWidth="1"/>
    <col min="8196" max="8196" width="9" style="33" customWidth="1"/>
    <col min="8197" max="8198" width="9.81640625" style="33" customWidth="1"/>
    <col min="8199" max="8199" width="11.1796875" style="33" customWidth="1"/>
    <col min="8200" max="8200" width="2.81640625" style="33" customWidth="1"/>
    <col min="8201" max="8201" width="3.54296875" style="33" customWidth="1"/>
    <col min="8202" max="8446" width="9.1796875" style="33"/>
    <col min="8447" max="8447" width="8.7265625" style="33" customWidth="1"/>
    <col min="8448" max="8448" width="9.81640625" style="33" customWidth="1"/>
    <col min="8449" max="8449" width="14.453125" style="33" customWidth="1"/>
    <col min="8450" max="8450" width="7.26953125" style="33" customWidth="1"/>
    <col min="8451" max="8451" width="5.54296875" style="33" customWidth="1"/>
    <col min="8452" max="8452" width="9" style="33" customWidth="1"/>
    <col min="8453" max="8454" width="9.81640625" style="33" customWidth="1"/>
    <col min="8455" max="8455" width="11.1796875" style="33" customWidth="1"/>
    <col min="8456" max="8456" width="2.81640625" style="33" customWidth="1"/>
    <col min="8457" max="8457" width="3.54296875" style="33" customWidth="1"/>
    <col min="8458" max="8702" width="9.1796875" style="33"/>
    <col min="8703" max="8703" width="8.7265625" style="33" customWidth="1"/>
    <col min="8704" max="8704" width="9.81640625" style="33" customWidth="1"/>
    <col min="8705" max="8705" width="14.453125" style="33" customWidth="1"/>
    <col min="8706" max="8706" width="7.26953125" style="33" customWidth="1"/>
    <col min="8707" max="8707" width="5.54296875" style="33" customWidth="1"/>
    <col min="8708" max="8708" width="9" style="33" customWidth="1"/>
    <col min="8709" max="8710" width="9.81640625" style="33" customWidth="1"/>
    <col min="8711" max="8711" width="11.1796875" style="33" customWidth="1"/>
    <col min="8712" max="8712" width="2.81640625" style="33" customWidth="1"/>
    <col min="8713" max="8713" width="3.54296875" style="33" customWidth="1"/>
    <col min="8714" max="8958" width="9.1796875" style="33"/>
    <col min="8959" max="8959" width="8.7265625" style="33" customWidth="1"/>
    <col min="8960" max="8960" width="9.81640625" style="33" customWidth="1"/>
    <col min="8961" max="8961" width="14.453125" style="33" customWidth="1"/>
    <col min="8962" max="8962" width="7.26953125" style="33" customWidth="1"/>
    <col min="8963" max="8963" width="5.54296875" style="33" customWidth="1"/>
    <col min="8964" max="8964" width="9" style="33" customWidth="1"/>
    <col min="8965" max="8966" width="9.81640625" style="33" customWidth="1"/>
    <col min="8967" max="8967" width="11.1796875" style="33" customWidth="1"/>
    <col min="8968" max="8968" width="2.81640625" style="33" customWidth="1"/>
    <col min="8969" max="8969" width="3.54296875" style="33" customWidth="1"/>
    <col min="8970" max="9214" width="9.1796875" style="33"/>
    <col min="9215" max="9215" width="8.7265625" style="33" customWidth="1"/>
    <col min="9216" max="9216" width="9.81640625" style="33" customWidth="1"/>
    <col min="9217" max="9217" width="14.453125" style="33" customWidth="1"/>
    <col min="9218" max="9218" width="7.26953125" style="33" customWidth="1"/>
    <col min="9219" max="9219" width="5.54296875" style="33" customWidth="1"/>
    <col min="9220" max="9220" width="9" style="33" customWidth="1"/>
    <col min="9221" max="9222" width="9.81640625" style="33" customWidth="1"/>
    <col min="9223" max="9223" width="11.1796875" style="33" customWidth="1"/>
    <col min="9224" max="9224" width="2.81640625" style="33" customWidth="1"/>
    <col min="9225" max="9225" width="3.54296875" style="33" customWidth="1"/>
    <col min="9226" max="9470" width="9.1796875" style="33"/>
    <col min="9471" max="9471" width="8.7265625" style="33" customWidth="1"/>
    <col min="9472" max="9472" width="9.81640625" style="33" customWidth="1"/>
    <col min="9473" max="9473" width="14.453125" style="33" customWidth="1"/>
    <col min="9474" max="9474" width="7.26953125" style="33" customWidth="1"/>
    <col min="9475" max="9475" width="5.54296875" style="33" customWidth="1"/>
    <col min="9476" max="9476" width="9" style="33" customWidth="1"/>
    <col min="9477" max="9478" width="9.81640625" style="33" customWidth="1"/>
    <col min="9479" max="9479" width="11.1796875" style="33" customWidth="1"/>
    <col min="9480" max="9480" width="2.81640625" style="33" customWidth="1"/>
    <col min="9481" max="9481" width="3.54296875" style="33" customWidth="1"/>
    <col min="9482" max="9726" width="9.1796875" style="33"/>
    <col min="9727" max="9727" width="8.7265625" style="33" customWidth="1"/>
    <col min="9728" max="9728" width="9.81640625" style="33" customWidth="1"/>
    <col min="9729" max="9729" width="14.453125" style="33" customWidth="1"/>
    <col min="9730" max="9730" width="7.26953125" style="33" customWidth="1"/>
    <col min="9731" max="9731" width="5.54296875" style="33" customWidth="1"/>
    <col min="9732" max="9732" width="9" style="33" customWidth="1"/>
    <col min="9733" max="9734" width="9.81640625" style="33" customWidth="1"/>
    <col min="9735" max="9735" width="11.1796875" style="33" customWidth="1"/>
    <col min="9736" max="9736" width="2.81640625" style="33" customWidth="1"/>
    <col min="9737" max="9737" width="3.54296875" style="33" customWidth="1"/>
    <col min="9738" max="9982" width="9.1796875" style="33"/>
    <col min="9983" max="9983" width="8.7265625" style="33" customWidth="1"/>
    <col min="9984" max="9984" width="9.81640625" style="33" customWidth="1"/>
    <col min="9985" max="9985" width="14.453125" style="33" customWidth="1"/>
    <col min="9986" max="9986" width="7.26953125" style="33" customWidth="1"/>
    <col min="9987" max="9987" width="5.54296875" style="33" customWidth="1"/>
    <col min="9988" max="9988" width="9" style="33" customWidth="1"/>
    <col min="9989" max="9990" width="9.81640625" style="33" customWidth="1"/>
    <col min="9991" max="9991" width="11.1796875" style="33" customWidth="1"/>
    <col min="9992" max="9992" width="2.81640625" style="33" customWidth="1"/>
    <col min="9993" max="9993" width="3.54296875" style="33" customWidth="1"/>
    <col min="9994" max="10238" width="9.1796875" style="33"/>
    <col min="10239" max="10239" width="8.7265625" style="33" customWidth="1"/>
    <col min="10240" max="10240" width="9.81640625" style="33" customWidth="1"/>
    <col min="10241" max="10241" width="14.453125" style="33" customWidth="1"/>
    <col min="10242" max="10242" width="7.26953125" style="33" customWidth="1"/>
    <col min="10243" max="10243" width="5.54296875" style="33" customWidth="1"/>
    <col min="10244" max="10244" width="9" style="33" customWidth="1"/>
    <col min="10245" max="10246" width="9.81640625" style="33" customWidth="1"/>
    <col min="10247" max="10247" width="11.1796875" style="33" customWidth="1"/>
    <col min="10248" max="10248" width="2.81640625" style="33" customWidth="1"/>
    <col min="10249" max="10249" width="3.54296875" style="33" customWidth="1"/>
    <col min="10250" max="10494" width="9.1796875" style="33"/>
    <col min="10495" max="10495" width="8.7265625" style="33" customWidth="1"/>
    <col min="10496" max="10496" width="9.81640625" style="33" customWidth="1"/>
    <col min="10497" max="10497" width="14.453125" style="33" customWidth="1"/>
    <col min="10498" max="10498" width="7.26953125" style="33" customWidth="1"/>
    <col min="10499" max="10499" width="5.54296875" style="33" customWidth="1"/>
    <col min="10500" max="10500" width="9" style="33" customWidth="1"/>
    <col min="10501" max="10502" width="9.81640625" style="33" customWidth="1"/>
    <col min="10503" max="10503" width="11.1796875" style="33" customWidth="1"/>
    <col min="10504" max="10504" width="2.81640625" style="33" customWidth="1"/>
    <col min="10505" max="10505" width="3.54296875" style="33" customWidth="1"/>
    <col min="10506" max="10750" width="9.1796875" style="33"/>
    <col min="10751" max="10751" width="8.7265625" style="33" customWidth="1"/>
    <col min="10752" max="10752" width="9.81640625" style="33" customWidth="1"/>
    <col min="10753" max="10753" width="14.453125" style="33" customWidth="1"/>
    <col min="10754" max="10754" width="7.26953125" style="33" customWidth="1"/>
    <col min="10755" max="10755" width="5.54296875" style="33" customWidth="1"/>
    <col min="10756" max="10756" width="9" style="33" customWidth="1"/>
    <col min="10757" max="10758" width="9.81640625" style="33" customWidth="1"/>
    <col min="10759" max="10759" width="11.1796875" style="33" customWidth="1"/>
    <col min="10760" max="10760" width="2.81640625" style="33" customWidth="1"/>
    <col min="10761" max="10761" width="3.54296875" style="33" customWidth="1"/>
    <col min="10762" max="11006" width="9.1796875" style="33"/>
    <col min="11007" max="11007" width="8.7265625" style="33" customWidth="1"/>
    <col min="11008" max="11008" width="9.81640625" style="33" customWidth="1"/>
    <col min="11009" max="11009" width="14.453125" style="33" customWidth="1"/>
    <col min="11010" max="11010" width="7.26953125" style="33" customWidth="1"/>
    <col min="11011" max="11011" width="5.54296875" style="33" customWidth="1"/>
    <col min="11012" max="11012" width="9" style="33" customWidth="1"/>
    <col min="11013" max="11014" width="9.81640625" style="33" customWidth="1"/>
    <col min="11015" max="11015" width="11.1796875" style="33" customWidth="1"/>
    <col min="11016" max="11016" width="2.81640625" style="33" customWidth="1"/>
    <col min="11017" max="11017" width="3.54296875" style="33" customWidth="1"/>
    <col min="11018" max="11262" width="9.1796875" style="33"/>
    <col min="11263" max="11263" width="8.7265625" style="33" customWidth="1"/>
    <col min="11264" max="11264" width="9.81640625" style="33" customWidth="1"/>
    <col min="11265" max="11265" width="14.453125" style="33" customWidth="1"/>
    <col min="11266" max="11266" width="7.26953125" style="33" customWidth="1"/>
    <col min="11267" max="11267" width="5.54296875" style="33" customWidth="1"/>
    <col min="11268" max="11268" width="9" style="33" customWidth="1"/>
    <col min="11269" max="11270" width="9.81640625" style="33" customWidth="1"/>
    <col min="11271" max="11271" width="11.1796875" style="33" customWidth="1"/>
    <col min="11272" max="11272" width="2.81640625" style="33" customWidth="1"/>
    <col min="11273" max="11273" width="3.54296875" style="33" customWidth="1"/>
    <col min="11274" max="11518" width="9.1796875" style="33"/>
    <col min="11519" max="11519" width="8.7265625" style="33" customWidth="1"/>
    <col min="11520" max="11520" width="9.81640625" style="33" customWidth="1"/>
    <col min="11521" max="11521" width="14.453125" style="33" customWidth="1"/>
    <col min="11522" max="11522" width="7.26953125" style="33" customWidth="1"/>
    <col min="11523" max="11523" width="5.54296875" style="33" customWidth="1"/>
    <col min="11524" max="11524" width="9" style="33" customWidth="1"/>
    <col min="11525" max="11526" width="9.81640625" style="33" customWidth="1"/>
    <col min="11527" max="11527" width="11.1796875" style="33" customWidth="1"/>
    <col min="11528" max="11528" width="2.81640625" style="33" customWidth="1"/>
    <col min="11529" max="11529" width="3.54296875" style="33" customWidth="1"/>
    <col min="11530" max="11774" width="9.1796875" style="33"/>
    <col min="11775" max="11775" width="8.7265625" style="33" customWidth="1"/>
    <col min="11776" max="11776" width="9.81640625" style="33" customWidth="1"/>
    <col min="11777" max="11777" width="14.453125" style="33" customWidth="1"/>
    <col min="11778" max="11778" width="7.26953125" style="33" customWidth="1"/>
    <col min="11779" max="11779" width="5.54296875" style="33" customWidth="1"/>
    <col min="11780" max="11780" width="9" style="33" customWidth="1"/>
    <col min="11781" max="11782" width="9.81640625" style="33" customWidth="1"/>
    <col min="11783" max="11783" width="11.1796875" style="33" customWidth="1"/>
    <col min="11784" max="11784" width="2.81640625" style="33" customWidth="1"/>
    <col min="11785" max="11785" width="3.54296875" style="33" customWidth="1"/>
    <col min="11786" max="12030" width="9.1796875" style="33"/>
    <col min="12031" max="12031" width="8.7265625" style="33" customWidth="1"/>
    <col min="12032" max="12032" width="9.81640625" style="33" customWidth="1"/>
    <col min="12033" max="12033" width="14.453125" style="33" customWidth="1"/>
    <col min="12034" max="12034" width="7.26953125" style="33" customWidth="1"/>
    <col min="12035" max="12035" width="5.54296875" style="33" customWidth="1"/>
    <col min="12036" max="12036" width="9" style="33" customWidth="1"/>
    <col min="12037" max="12038" width="9.81640625" style="33" customWidth="1"/>
    <col min="12039" max="12039" width="11.1796875" style="33" customWidth="1"/>
    <col min="12040" max="12040" width="2.81640625" style="33" customWidth="1"/>
    <col min="12041" max="12041" width="3.54296875" style="33" customWidth="1"/>
    <col min="12042" max="12286" width="9.1796875" style="33"/>
    <col min="12287" max="12287" width="8.7265625" style="33" customWidth="1"/>
    <col min="12288" max="12288" width="9.81640625" style="33" customWidth="1"/>
    <col min="12289" max="12289" width="14.453125" style="33" customWidth="1"/>
    <col min="12290" max="12290" width="7.26953125" style="33" customWidth="1"/>
    <col min="12291" max="12291" width="5.54296875" style="33" customWidth="1"/>
    <col min="12292" max="12292" width="9" style="33" customWidth="1"/>
    <col min="12293" max="12294" width="9.81640625" style="33" customWidth="1"/>
    <col min="12295" max="12295" width="11.1796875" style="33" customWidth="1"/>
    <col min="12296" max="12296" width="2.81640625" style="33" customWidth="1"/>
    <col min="12297" max="12297" width="3.54296875" style="33" customWidth="1"/>
    <col min="12298" max="12542" width="9.1796875" style="33"/>
    <col min="12543" max="12543" width="8.7265625" style="33" customWidth="1"/>
    <col min="12544" max="12544" width="9.81640625" style="33" customWidth="1"/>
    <col min="12545" max="12545" width="14.453125" style="33" customWidth="1"/>
    <col min="12546" max="12546" width="7.26953125" style="33" customWidth="1"/>
    <col min="12547" max="12547" width="5.54296875" style="33" customWidth="1"/>
    <col min="12548" max="12548" width="9" style="33" customWidth="1"/>
    <col min="12549" max="12550" width="9.81640625" style="33" customWidth="1"/>
    <col min="12551" max="12551" width="11.1796875" style="33" customWidth="1"/>
    <col min="12552" max="12552" width="2.81640625" style="33" customWidth="1"/>
    <col min="12553" max="12553" width="3.54296875" style="33" customWidth="1"/>
    <col min="12554" max="12798" width="9.1796875" style="33"/>
    <col min="12799" max="12799" width="8.7265625" style="33" customWidth="1"/>
    <col min="12800" max="12800" width="9.81640625" style="33" customWidth="1"/>
    <col min="12801" max="12801" width="14.453125" style="33" customWidth="1"/>
    <col min="12802" max="12802" width="7.26953125" style="33" customWidth="1"/>
    <col min="12803" max="12803" width="5.54296875" style="33" customWidth="1"/>
    <col min="12804" max="12804" width="9" style="33" customWidth="1"/>
    <col min="12805" max="12806" width="9.81640625" style="33" customWidth="1"/>
    <col min="12807" max="12807" width="11.1796875" style="33" customWidth="1"/>
    <col min="12808" max="12808" width="2.81640625" style="33" customWidth="1"/>
    <col min="12809" max="12809" width="3.54296875" style="33" customWidth="1"/>
    <col min="12810" max="13054" width="9.1796875" style="33"/>
    <col min="13055" max="13055" width="8.7265625" style="33" customWidth="1"/>
    <col min="13056" max="13056" width="9.81640625" style="33" customWidth="1"/>
    <col min="13057" max="13057" width="14.453125" style="33" customWidth="1"/>
    <col min="13058" max="13058" width="7.26953125" style="33" customWidth="1"/>
    <col min="13059" max="13059" width="5.54296875" style="33" customWidth="1"/>
    <col min="13060" max="13060" width="9" style="33" customWidth="1"/>
    <col min="13061" max="13062" width="9.81640625" style="33" customWidth="1"/>
    <col min="13063" max="13063" width="11.1796875" style="33" customWidth="1"/>
    <col min="13064" max="13064" width="2.81640625" style="33" customWidth="1"/>
    <col min="13065" max="13065" width="3.54296875" style="33" customWidth="1"/>
    <col min="13066" max="13310" width="9.1796875" style="33"/>
    <col min="13311" max="13311" width="8.7265625" style="33" customWidth="1"/>
    <col min="13312" max="13312" width="9.81640625" style="33" customWidth="1"/>
    <col min="13313" max="13313" width="14.453125" style="33" customWidth="1"/>
    <col min="13314" max="13314" width="7.26953125" style="33" customWidth="1"/>
    <col min="13315" max="13315" width="5.54296875" style="33" customWidth="1"/>
    <col min="13316" max="13316" width="9" style="33" customWidth="1"/>
    <col min="13317" max="13318" width="9.81640625" style="33" customWidth="1"/>
    <col min="13319" max="13319" width="11.1796875" style="33" customWidth="1"/>
    <col min="13320" max="13320" width="2.81640625" style="33" customWidth="1"/>
    <col min="13321" max="13321" width="3.54296875" style="33" customWidth="1"/>
    <col min="13322" max="13566" width="9.1796875" style="33"/>
    <col min="13567" max="13567" width="8.7265625" style="33" customWidth="1"/>
    <col min="13568" max="13568" width="9.81640625" style="33" customWidth="1"/>
    <col min="13569" max="13569" width="14.453125" style="33" customWidth="1"/>
    <col min="13570" max="13570" width="7.26953125" style="33" customWidth="1"/>
    <col min="13571" max="13571" width="5.54296875" style="33" customWidth="1"/>
    <col min="13572" max="13572" width="9" style="33" customWidth="1"/>
    <col min="13573" max="13574" width="9.81640625" style="33" customWidth="1"/>
    <col min="13575" max="13575" width="11.1796875" style="33" customWidth="1"/>
    <col min="13576" max="13576" width="2.81640625" style="33" customWidth="1"/>
    <col min="13577" max="13577" width="3.54296875" style="33" customWidth="1"/>
    <col min="13578" max="13822" width="9.1796875" style="33"/>
    <col min="13823" max="13823" width="8.7265625" style="33" customWidth="1"/>
    <col min="13824" max="13824" width="9.81640625" style="33" customWidth="1"/>
    <col min="13825" max="13825" width="14.453125" style="33" customWidth="1"/>
    <col min="13826" max="13826" width="7.26953125" style="33" customWidth="1"/>
    <col min="13827" max="13827" width="5.54296875" style="33" customWidth="1"/>
    <col min="13828" max="13828" width="9" style="33" customWidth="1"/>
    <col min="13829" max="13830" width="9.81640625" style="33" customWidth="1"/>
    <col min="13831" max="13831" width="11.1796875" style="33" customWidth="1"/>
    <col min="13832" max="13832" width="2.81640625" style="33" customWidth="1"/>
    <col min="13833" max="13833" width="3.54296875" style="33" customWidth="1"/>
    <col min="13834" max="14078" width="9.1796875" style="33"/>
    <col min="14079" max="14079" width="8.7265625" style="33" customWidth="1"/>
    <col min="14080" max="14080" width="9.81640625" style="33" customWidth="1"/>
    <col min="14081" max="14081" width="14.453125" style="33" customWidth="1"/>
    <col min="14082" max="14082" width="7.26953125" style="33" customWidth="1"/>
    <col min="14083" max="14083" width="5.54296875" style="33" customWidth="1"/>
    <col min="14084" max="14084" width="9" style="33" customWidth="1"/>
    <col min="14085" max="14086" width="9.81640625" style="33" customWidth="1"/>
    <col min="14087" max="14087" width="11.1796875" style="33" customWidth="1"/>
    <col min="14088" max="14088" width="2.81640625" style="33" customWidth="1"/>
    <col min="14089" max="14089" width="3.54296875" style="33" customWidth="1"/>
    <col min="14090" max="14334" width="9.1796875" style="33"/>
    <col min="14335" max="14335" width="8.7265625" style="33" customWidth="1"/>
    <col min="14336" max="14336" width="9.81640625" style="33" customWidth="1"/>
    <col min="14337" max="14337" width="14.453125" style="33" customWidth="1"/>
    <col min="14338" max="14338" width="7.26953125" style="33" customWidth="1"/>
    <col min="14339" max="14339" width="5.54296875" style="33" customWidth="1"/>
    <col min="14340" max="14340" width="9" style="33" customWidth="1"/>
    <col min="14341" max="14342" width="9.81640625" style="33" customWidth="1"/>
    <col min="14343" max="14343" width="11.1796875" style="33" customWidth="1"/>
    <col min="14344" max="14344" width="2.81640625" style="33" customWidth="1"/>
    <col min="14345" max="14345" width="3.54296875" style="33" customWidth="1"/>
    <col min="14346" max="14590" width="9.1796875" style="33"/>
    <col min="14591" max="14591" width="8.7265625" style="33" customWidth="1"/>
    <col min="14592" max="14592" width="9.81640625" style="33" customWidth="1"/>
    <col min="14593" max="14593" width="14.453125" style="33" customWidth="1"/>
    <col min="14594" max="14594" width="7.26953125" style="33" customWidth="1"/>
    <col min="14595" max="14595" width="5.54296875" style="33" customWidth="1"/>
    <col min="14596" max="14596" width="9" style="33" customWidth="1"/>
    <col min="14597" max="14598" width="9.81640625" style="33" customWidth="1"/>
    <col min="14599" max="14599" width="11.1796875" style="33" customWidth="1"/>
    <col min="14600" max="14600" width="2.81640625" style="33" customWidth="1"/>
    <col min="14601" max="14601" width="3.54296875" style="33" customWidth="1"/>
    <col min="14602" max="14846" width="9.1796875" style="33"/>
    <col min="14847" max="14847" width="8.7265625" style="33" customWidth="1"/>
    <col min="14848" max="14848" width="9.81640625" style="33" customWidth="1"/>
    <col min="14849" max="14849" width="14.453125" style="33" customWidth="1"/>
    <col min="14850" max="14850" width="7.26953125" style="33" customWidth="1"/>
    <col min="14851" max="14851" width="5.54296875" style="33" customWidth="1"/>
    <col min="14852" max="14852" width="9" style="33" customWidth="1"/>
    <col min="14853" max="14854" width="9.81640625" style="33" customWidth="1"/>
    <col min="14855" max="14855" width="11.1796875" style="33" customWidth="1"/>
    <col min="14856" max="14856" width="2.81640625" style="33" customWidth="1"/>
    <col min="14857" max="14857" width="3.54296875" style="33" customWidth="1"/>
    <col min="14858" max="15102" width="9.1796875" style="33"/>
    <col min="15103" max="15103" width="8.7265625" style="33" customWidth="1"/>
    <col min="15104" max="15104" width="9.81640625" style="33" customWidth="1"/>
    <col min="15105" max="15105" width="14.453125" style="33" customWidth="1"/>
    <col min="15106" max="15106" width="7.26953125" style="33" customWidth="1"/>
    <col min="15107" max="15107" width="5.54296875" style="33" customWidth="1"/>
    <col min="15108" max="15108" width="9" style="33" customWidth="1"/>
    <col min="15109" max="15110" width="9.81640625" style="33" customWidth="1"/>
    <col min="15111" max="15111" width="11.1796875" style="33" customWidth="1"/>
    <col min="15112" max="15112" width="2.81640625" style="33" customWidth="1"/>
    <col min="15113" max="15113" width="3.54296875" style="33" customWidth="1"/>
    <col min="15114" max="15358" width="9.1796875" style="33"/>
    <col min="15359" max="15359" width="8.7265625" style="33" customWidth="1"/>
    <col min="15360" max="15360" width="9.81640625" style="33" customWidth="1"/>
    <col min="15361" max="15361" width="14.453125" style="33" customWidth="1"/>
    <col min="15362" max="15362" width="7.26953125" style="33" customWidth="1"/>
    <col min="15363" max="15363" width="5.54296875" style="33" customWidth="1"/>
    <col min="15364" max="15364" width="9" style="33" customWidth="1"/>
    <col min="15365" max="15366" width="9.81640625" style="33" customWidth="1"/>
    <col min="15367" max="15367" width="11.1796875" style="33" customWidth="1"/>
    <col min="15368" max="15368" width="2.81640625" style="33" customWidth="1"/>
    <col min="15369" max="15369" width="3.54296875" style="33" customWidth="1"/>
    <col min="15370" max="15614" width="9.1796875" style="33"/>
    <col min="15615" max="15615" width="8.7265625" style="33" customWidth="1"/>
    <col min="15616" max="15616" width="9.81640625" style="33" customWidth="1"/>
    <col min="15617" max="15617" width="14.453125" style="33" customWidth="1"/>
    <col min="15618" max="15618" width="7.26953125" style="33" customWidth="1"/>
    <col min="15619" max="15619" width="5.54296875" style="33" customWidth="1"/>
    <col min="15620" max="15620" width="9" style="33" customWidth="1"/>
    <col min="15621" max="15622" width="9.81640625" style="33" customWidth="1"/>
    <col min="15623" max="15623" width="11.1796875" style="33" customWidth="1"/>
    <col min="15624" max="15624" width="2.81640625" style="33" customWidth="1"/>
    <col min="15625" max="15625" width="3.54296875" style="33" customWidth="1"/>
    <col min="15626" max="15870" width="9.1796875" style="33"/>
    <col min="15871" max="15871" width="8.7265625" style="33" customWidth="1"/>
    <col min="15872" max="15872" width="9.81640625" style="33" customWidth="1"/>
    <col min="15873" max="15873" width="14.453125" style="33" customWidth="1"/>
    <col min="15874" max="15874" width="7.26953125" style="33" customWidth="1"/>
    <col min="15875" max="15875" width="5.54296875" style="33" customWidth="1"/>
    <col min="15876" max="15876" width="9" style="33" customWidth="1"/>
    <col min="15877" max="15878" width="9.81640625" style="33" customWidth="1"/>
    <col min="15879" max="15879" width="11.1796875" style="33" customWidth="1"/>
    <col min="15880" max="15880" width="2.81640625" style="33" customWidth="1"/>
    <col min="15881" max="15881" width="3.54296875" style="33" customWidth="1"/>
    <col min="15882" max="16126" width="9.1796875" style="33"/>
    <col min="16127" max="16127" width="8.7265625" style="33" customWidth="1"/>
    <col min="16128" max="16128" width="9.81640625" style="33" customWidth="1"/>
    <col min="16129" max="16129" width="14.453125" style="33" customWidth="1"/>
    <col min="16130" max="16130" width="7.26953125" style="33" customWidth="1"/>
    <col min="16131" max="16131" width="5.54296875" style="33" customWidth="1"/>
    <col min="16132" max="16132" width="9" style="33" customWidth="1"/>
    <col min="16133" max="16134" width="9.81640625" style="33" customWidth="1"/>
    <col min="16135" max="16135" width="11.1796875" style="33" customWidth="1"/>
    <col min="16136" max="16136" width="2.81640625" style="33" customWidth="1"/>
    <col min="16137" max="16137" width="3.54296875" style="33" customWidth="1"/>
    <col min="16138" max="16384" width="9.1796875" style="33"/>
  </cols>
  <sheetData>
    <row r="1" spans="1:13" ht="46.5" customHeight="1" x14ac:dyDescent="0.35">
      <c r="A1" s="187" t="s">
        <v>227</v>
      </c>
      <c r="B1" s="188"/>
      <c r="C1" s="188"/>
      <c r="D1" s="188"/>
      <c r="E1" s="188"/>
      <c r="F1" s="188"/>
      <c r="G1" s="188"/>
      <c r="H1" s="188"/>
      <c r="I1" s="188"/>
      <c r="J1" s="189"/>
    </row>
    <row r="2" spans="1:13" ht="16.5" customHeight="1" x14ac:dyDescent="0.35">
      <c r="A2" s="123" t="s">
        <v>0</v>
      </c>
      <c r="B2" s="124"/>
      <c r="C2" s="124"/>
      <c r="D2" s="124"/>
      <c r="E2" s="124"/>
      <c r="F2" s="124"/>
      <c r="G2" s="124"/>
      <c r="H2" s="124"/>
      <c r="I2" s="124"/>
      <c r="J2" s="125"/>
    </row>
    <row r="3" spans="1:13" x14ac:dyDescent="0.35">
      <c r="A3" s="87" t="s">
        <v>1</v>
      </c>
      <c r="B3" s="88"/>
      <c r="C3" s="88"/>
      <c r="D3" s="88"/>
      <c r="E3" s="89"/>
      <c r="F3" s="165" t="str">
        <f ca="1">TEXT(TODAY(),"DD/MM/YYYY")</f>
        <v>25/08/2025</v>
      </c>
      <c r="G3" s="190"/>
      <c r="H3" s="190"/>
      <c r="I3" s="190"/>
      <c r="J3" s="191"/>
    </row>
    <row r="4" spans="1:13" ht="15" customHeight="1" x14ac:dyDescent="0.35">
      <c r="A4" s="87" t="s">
        <v>2</v>
      </c>
      <c r="B4" s="88"/>
      <c r="C4" s="88"/>
      <c r="D4" s="88"/>
      <c r="E4" s="89"/>
      <c r="F4" s="169" t="s">
        <v>139</v>
      </c>
      <c r="G4" s="170"/>
      <c r="H4" s="170"/>
      <c r="I4" s="170"/>
      <c r="J4" s="171"/>
    </row>
    <row r="5" spans="1:13" x14ac:dyDescent="0.35">
      <c r="A5" s="87" t="s">
        <v>3</v>
      </c>
      <c r="B5" s="88"/>
      <c r="C5" s="88"/>
      <c r="D5" s="88"/>
      <c r="E5" s="89"/>
      <c r="F5" s="165">
        <v>45894</v>
      </c>
      <c r="G5" s="190"/>
      <c r="H5" s="190"/>
      <c r="I5" s="190"/>
      <c r="J5" s="191"/>
      <c r="M5" s="61"/>
    </row>
    <row r="6" spans="1:13" ht="16.5" customHeight="1" x14ac:dyDescent="0.35">
      <c r="A6" s="87" t="s">
        <v>4</v>
      </c>
      <c r="B6" s="88"/>
      <c r="C6" s="88"/>
      <c r="D6" s="88"/>
      <c r="E6" s="89"/>
      <c r="F6" s="92" t="s">
        <v>140</v>
      </c>
      <c r="G6" s="93"/>
      <c r="H6" s="93"/>
      <c r="I6" s="93"/>
      <c r="J6" s="94"/>
    </row>
    <row r="7" spans="1:13" ht="15" customHeight="1" x14ac:dyDescent="0.35">
      <c r="A7" s="87" t="s">
        <v>5</v>
      </c>
      <c r="B7" s="88"/>
      <c r="C7" s="88"/>
      <c r="D7" s="88"/>
      <c r="E7" s="89"/>
      <c r="F7" s="92" t="str">
        <f>F6</f>
        <v xml:space="preserve">M/s.Vakratund Enterprises
</v>
      </c>
      <c r="G7" s="93"/>
      <c r="H7" s="93"/>
      <c r="I7" s="93"/>
      <c r="J7" s="94"/>
    </row>
    <row r="8" spans="1:13" x14ac:dyDescent="0.35">
      <c r="A8" s="87" t="s">
        <v>6</v>
      </c>
      <c r="B8" s="88"/>
      <c r="C8" s="88"/>
      <c r="D8" s="88"/>
      <c r="E8" s="89"/>
      <c r="F8" s="153" t="s">
        <v>222</v>
      </c>
      <c r="G8" s="117"/>
      <c r="H8" s="117"/>
      <c r="I8" s="117"/>
      <c r="J8" s="118"/>
    </row>
    <row r="9" spans="1:13" x14ac:dyDescent="0.35">
      <c r="A9" s="87" t="s">
        <v>228</v>
      </c>
      <c r="B9" s="88"/>
      <c r="C9" s="88"/>
      <c r="D9" s="88"/>
      <c r="E9" s="89"/>
      <c r="F9" s="87">
        <v>7888089400</v>
      </c>
      <c r="G9" s="88"/>
      <c r="H9" s="88"/>
      <c r="I9" s="88"/>
      <c r="J9" s="89"/>
    </row>
    <row r="10" spans="1:13" x14ac:dyDescent="0.35">
      <c r="A10" s="87" t="s">
        <v>7</v>
      </c>
      <c r="B10" s="88"/>
      <c r="C10" s="88"/>
      <c r="D10" s="88"/>
      <c r="E10" s="89"/>
      <c r="F10" s="90" t="s">
        <v>223</v>
      </c>
      <c r="G10" s="91"/>
      <c r="H10" s="91"/>
      <c r="I10" s="91"/>
      <c r="J10" s="103"/>
    </row>
    <row r="11" spans="1:13" ht="16.5" customHeight="1" x14ac:dyDescent="0.35">
      <c r="A11" s="87" t="s">
        <v>8</v>
      </c>
      <c r="B11" s="88"/>
      <c r="C11" s="88"/>
      <c r="D11" s="88"/>
      <c r="E11" s="89"/>
      <c r="F11" s="107" t="s">
        <v>9</v>
      </c>
      <c r="G11" s="108"/>
      <c r="H11" s="108"/>
      <c r="I11" s="108"/>
      <c r="J11" s="109"/>
    </row>
    <row r="12" spans="1:13" x14ac:dyDescent="0.35">
      <c r="A12" s="87" t="s">
        <v>10</v>
      </c>
      <c r="B12" s="88"/>
      <c r="C12" s="88"/>
      <c r="D12" s="88"/>
      <c r="E12" s="89"/>
      <c r="F12" s="107" t="s">
        <v>218</v>
      </c>
      <c r="G12" s="183"/>
      <c r="H12" s="183"/>
      <c r="I12" s="183"/>
      <c r="J12" s="184"/>
    </row>
    <row r="13" spans="1:13" ht="31.5" customHeight="1" x14ac:dyDescent="0.35">
      <c r="A13" s="172" t="s">
        <v>11</v>
      </c>
      <c r="B13" s="172"/>
      <c r="C13" s="92" t="str">
        <f>CONCATENATE((IF(OR(F8="",F8="NA"),"",F8)),", ",(IF(OR(A14="",A14="NA"),"",A14)),".",(IF(OR(C14="",C14="NA"),"",C14)),", ",(IF(OR(F14="",F14="NA"),"",F14)),".",(IF(OR(H14="",H14="NA"),"",H14)),", ",(IF(OR(C15="",C15="NA"),"",C15)),", ",(IF(OR(H15="",H15="NA"),"",H15)),", ",(IF(OR(C16="",C16="NA"),"",C16)),", ",(IF(OR(C17="",C17="NA"),"",C17)),", ",(IF(OR(H16="",H16="NA"),"",H16)),".")</f>
        <v>Paradise Park Phase 1, Survey No.41, Hissa No.6 &amp; 7(PT), Bridge Road, Belavali, Badlapur, Ambarnath, Thane.</v>
      </c>
      <c r="D13" s="93"/>
      <c r="E13" s="93"/>
      <c r="F13" s="93"/>
      <c r="G13" s="93"/>
      <c r="H13" s="93"/>
      <c r="I13" s="93"/>
      <c r="J13" s="94"/>
    </row>
    <row r="14" spans="1:13" ht="15.75" customHeight="1" x14ac:dyDescent="0.35">
      <c r="A14" s="92" t="s">
        <v>152</v>
      </c>
      <c r="B14" s="94"/>
      <c r="C14" s="107">
        <v>41</v>
      </c>
      <c r="D14" s="108"/>
      <c r="E14" s="108"/>
      <c r="F14" s="167" t="s">
        <v>156</v>
      </c>
      <c r="G14" s="168"/>
      <c r="H14" s="107" t="s">
        <v>151</v>
      </c>
      <c r="I14" s="108"/>
      <c r="J14" s="109"/>
    </row>
    <row r="15" spans="1:13" ht="15.75" customHeight="1" x14ac:dyDescent="0.35">
      <c r="A15" s="92" t="s">
        <v>12</v>
      </c>
      <c r="B15" s="94"/>
      <c r="C15" s="166" t="s">
        <v>153</v>
      </c>
      <c r="D15" s="166"/>
      <c r="E15" s="166"/>
      <c r="F15" s="167" t="s">
        <v>122</v>
      </c>
      <c r="G15" s="168"/>
      <c r="H15" s="107" t="s">
        <v>141</v>
      </c>
      <c r="I15" s="108"/>
      <c r="J15" s="109"/>
    </row>
    <row r="16" spans="1:13" x14ac:dyDescent="0.35">
      <c r="A16" s="154" t="s">
        <v>14</v>
      </c>
      <c r="B16" s="154"/>
      <c r="C16" s="166" t="s">
        <v>154</v>
      </c>
      <c r="D16" s="166"/>
      <c r="E16" s="166"/>
      <c r="F16" s="167" t="s">
        <v>13</v>
      </c>
      <c r="G16" s="168"/>
      <c r="H16" s="192" t="s">
        <v>150</v>
      </c>
      <c r="I16" s="192"/>
      <c r="J16" s="192"/>
    </row>
    <row r="17" spans="1:10" x14ac:dyDescent="0.35">
      <c r="A17" s="154" t="s">
        <v>123</v>
      </c>
      <c r="B17" s="154"/>
      <c r="C17" s="107" t="s">
        <v>142</v>
      </c>
      <c r="D17" s="108"/>
      <c r="E17" s="109"/>
      <c r="F17" s="167" t="s">
        <v>15</v>
      </c>
      <c r="G17" s="168"/>
      <c r="H17" s="107">
        <v>421503</v>
      </c>
      <c r="I17" s="108"/>
      <c r="J17" s="109"/>
    </row>
    <row r="18" spans="1:10" ht="32.25" customHeight="1" x14ac:dyDescent="0.35">
      <c r="A18" s="154" t="s">
        <v>16</v>
      </c>
      <c r="B18" s="154"/>
      <c r="C18" s="172" t="s">
        <v>155</v>
      </c>
      <c r="D18" s="172"/>
      <c r="E18" s="172"/>
      <c r="F18" s="172" t="s">
        <v>17</v>
      </c>
      <c r="G18" s="172"/>
      <c r="H18" s="108" t="s">
        <v>211</v>
      </c>
      <c r="I18" s="108"/>
      <c r="J18" s="109"/>
    </row>
    <row r="19" spans="1:10" ht="15" customHeight="1" x14ac:dyDescent="0.35">
      <c r="A19" s="167" t="s">
        <v>134</v>
      </c>
      <c r="B19" s="173"/>
      <c r="C19" s="173"/>
      <c r="D19" s="173"/>
      <c r="E19" s="168"/>
      <c r="F19" s="177" t="s">
        <v>18</v>
      </c>
      <c r="G19" s="178"/>
      <c r="H19" s="178"/>
      <c r="I19" s="178"/>
      <c r="J19" s="179"/>
    </row>
    <row r="20" spans="1:10" ht="18.75" customHeight="1" x14ac:dyDescent="0.35">
      <c r="A20" s="174"/>
      <c r="B20" s="175"/>
      <c r="C20" s="175"/>
      <c r="D20" s="175"/>
      <c r="E20" s="176"/>
      <c r="F20" s="180"/>
      <c r="G20" s="181"/>
      <c r="H20" s="181"/>
      <c r="I20" s="181"/>
      <c r="J20" s="182"/>
    </row>
    <row r="21" spans="1:10" ht="15" customHeight="1" x14ac:dyDescent="0.35">
      <c r="A21" s="167" t="s">
        <v>19</v>
      </c>
      <c r="B21" s="173"/>
      <c r="C21" s="173"/>
      <c r="D21" s="173"/>
      <c r="E21" s="168"/>
      <c r="F21" s="167" t="s">
        <v>20</v>
      </c>
      <c r="G21" s="173"/>
      <c r="H21" s="173"/>
      <c r="I21" s="173"/>
      <c r="J21" s="168"/>
    </row>
    <row r="22" spans="1:10" x14ac:dyDescent="0.35">
      <c r="A22" s="174"/>
      <c r="B22" s="175"/>
      <c r="C22" s="175"/>
      <c r="D22" s="175"/>
      <c r="E22" s="176"/>
      <c r="F22" s="174"/>
      <c r="G22" s="175"/>
      <c r="H22" s="175"/>
      <c r="I22" s="175"/>
      <c r="J22" s="176"/>
    </row>
    <row r="23" spans="1:10" ht="15" customHeight="1" x14ac:dyDescent="0.35">
      <c r="A23" s="87" t="s">
        <v>21</v>
      </c>
      <c r="B23" s="88"/>
      <c r="C23" s="88"/>
      <c r="D23" s="88"/>
      <c r="E23" s="89"/>
      <c r="F23" s="169" t="s">
        <v>22</v>
      </c>
      <c r="G23" s="170"/>
      <c r="H23" s="170"/>
      <c r="I23" s="170"/>
      <c r="J23" s="171"/>
    </row>
    <row r="24" spans="1:10" x14ac:dyDescent="0.35">
      <c r="A24" s="87" t="s">
        <v>23</v>
      </c>
      <c r="B24" s="88"/>
      <c r="C24" s="88"/>
      <c r="D24" s="88"/>
      <c r="E24" s="89"/>
      <c r="F24" s="169" t="s">
        <v>24</v>
      </c>
      <c r="G24" s="170"/>
      <c r="H24" s="170"/>
      <c r="I24" s="170"/>
      <c r="J24" s="171"/>
    </row>
    <row r="25" spans="1:10" ht="15" customHeight="1" x14ac:dyDescent="0.35">
      <c r="A25" s="87" t="s">
        <v>25</v>
      </c>
      <c r="B25" s="88"/>
      <c r="C25" s="88"/>
      <c r="D25" s="88"/>
      <c r="E25" s="89"/>
      <c r="F25" s="169" t="s">
        <v>26</v>
      </c>
      <c r="G25" s="170"/>
      <c r="H25" s="170"/>
      <c r="I25" s="170"/>
      <c r="J25" s="171"/>
    </row>
    <row r="26" spans="1:10" x14ac:dyDescent="0.35">
      <c r="A26" s="87" t="s">
        <v>27</v>
      </c>
      <c r="B26" s="88"/>
      <c r="C26" s="88"/>
      <c r="D26" s="88"/>
      <c r="E26" s="89"/>
      <c r="F26" s="169" t="s">
        <v>28</v>
      </c>
      <c r="G26" s="170"/>
      <c r="H26" s="170"/>
      <c r="I26" s="170"/>
      <c r="J26" s="171"/>
    </row>
    <row r="27" spans="1:10" x14ac:dyDescent="0.35">
      <c r="A27" s="193" t="s">
        <v>29</v>
      </c>
      <c r="B27" s="194"/>
      <c r="C27" s="193" t="s">
        <v>30</v>
      </c>
      <c r="D27" s="194"/>
      <c r="E27" s="193" t="s">
        <v>31</v>
      </c>
      <c r="F27" s="194"/>
      <c r="G27" s="193" t="s">
        <v>33</v>
      </c>
      <c r="H27" s="194"/>
      <c r="I27" s="193" t="s">
        <v>32</v>
      </c>
      <c r="J27" s="194"/>
    </row>
    <row r="28" spans="1:10" x14ac:dyDescent="0.35">
      <c r="A28" s="185" t="s">
        <v>34</v>
      </c>
      <c r="B28" s="186"/>
      <c r="C28" s="185" t="s">
        <v>35</v>
      </c>
      <c r="D28" s="186"/>
      <c r="E28" s="185" t="s">
        <v>35</v>
      </c>
      <c r="F28" s="186"/>
      <c r="G28" s="185" t="s">
        <v>35</v>
      </c>
      <c r="H28" s="186"/>
      <c r="I28" s="185" t="s">
        <v>35</v>
      </c>
      <c r="J28" s="186"/>
    </row>
    <row r="29" spans="1:10" x14ac:dyDescent="0.35">
      <c r="A29" s="185" t="s">
        <v>36</v>
      </c>
      <c r="B29" s="186"/>
      <c r="C29" s="198" t="s">
        <v>157</v>
      </c>
      <c r="D29" s="199"/>
      <c r="E29" s="198" t="s">
        <v>158</v>
      </c>
      <c r="F29" s="199"/>
      <c r="G29" s="198" t="s">
        <v>12</v>
      </c>
      <c r="H29" s="199"/>
      <c r="I29" s="198" t="s">
        <v>12</v>
      </c>
      <c r="J29" s="199"/>
    </row>
    <row r="30" spans="1:10" x14ac:dyDescent="0.35">
      <c r="A30" s="87" t="s">
        <v>37</v>
      </c>
      <c r="B30" s="88"/>
      <c r="C30" s="88"/>
      <c r="D30" s="88"/>
      <c r="E30" s="88"/>
      <c r="F30" s="88"/>
      <c r="G30" s="88"/>
      <c r="H30" s="88"/>
      <c r="I30" s="88"/>
      <c r="J30" s="89"/>
    </row>
    <row r="31" spans="1:10" x14ac:dyDescent="0.35">
      <c r="A31" s="87" t="s">
        <v>38</v>
      </c>
      <c r="B31" s="88"/>
      <c r="C31" s="88"/>
      <c r="D31" s="88"/>
      <c r="E31" s="88"/>
      <c r="F31" s="88"/>
      <c r="G31" s="88"/>
      <c r="H31" s="88"/>
      <c r="I31" s="88"/>
      <c r="J31" s="89"/>
    </row>
    <row r="32" spans="1:10" x14ac:dyDescent="0.35">
      <c r="A32" s="87" t="s">
        <v>39</v>
      </c>
      <c r="B32" s="89"/>
      <c r="C32" s="87" t="s">
        <v>229</v>
      </c>
      <c r="D32" s="88"/>
      <c r="E32" s="88"/>
      <c r="F32" s="88"/>
      <c r="G32" s="88"/>
      <c r="H32" s="88"/>
      <c r="I32" s="88"/>
      <c r="J32" s="88"/>
    </row>
    <row r="33" spans="1:10" x14ac:dyDescent="0.35">
      <c r="A33" s="87" t="s">
        <v>224</v>
      </c>
      <c r="B33" s="89"/>
      <c r="C33" s="200" t="s">
        <v>225</v>
      </c>
      <c r="D33" s="88"/>
      <c r="E33" s="88"/>
      <c r="F33" s="88"/>
      <c r="G33" s="88"/>
      <c r="H33" s="88"/>
      <c r="I33" s="88"/>
      <c r="J33" s="89"/>
    </row>
    <row r="34" spans="1:10" x14ac:dyDescent="0.35">
      <c r="A34" s="116" t="s">
        <v>40</v>
      </c>
      <c r="B34" s="117"/>
      <c r="C34" s="117"/>
      <c r="D34" s="117"/>
      <c r="E34" s="117"/>
      <c r="F34" s="117"/>
      <c r="G34" s="117"/>
      <c r="H34" s="117"/>
      <c r="I34" s="117"/>
      <c r="J34" s="118"/>
    </row>
    <row r="35" spans="1:10" ht="15" customHeight="1" x14ac:dyDescent="0.35">
      <c r="A35" s="92" t="s">
        <v>41</v>
      </c>
      <c r="B35" s="93"/>
      <c r="C35" s="93"/>
      <c r="D35" s="93"/>
      <c r="E35" s="94"/>
      <c r="F35" s="195" t="s">
        <v>149</v>
      </c>
      <c r="G35" s="196"/>
      <c r="H35" s="196"/>
      <c r="I35" s="196"/>
      <c r="J35" s="197"/>
    </row>
    <row r="36" spans="1:10" ht="15" customHeight="1" x14ac:dyDescent="0.35">
      <c r="A36" s="174" t="s">
        <v>42</v>
      </c>
      <c r="B36" s="175"/>
      <c r="C36" s="175"/>
      <c r="D36" s="175"/>
      <c r="E36" s="175"/>
      <c r="F36" s="92" t="s">
        <v>43</v>
      </c>
      <c r="G36" s="93"/>
      <c r="H36" s="93"/>
      <c r="I36" s="93"/>
      <c r="J36" s="94"/>
    </row>
    <row r="37" spans="1:10" x14ac:dyDescent="0.35">
      <c r="A37" s="116" t="s">
        <v>44</v>
      </c>
      <c r="B37" s="117"/>
      <c r="C37" s="117"/>
      <c r="D37" s="117"/>
      <c r="E37" s="117"/>
      <c r="F37" s="117"/>
      <c r="G37" s="117"/>
      <c r="H37" s="117"/>
      <c r="I37" s="117"/>
      <c r="J37" s="118"/>
    </row>
    <row r="38" spans="1:10" x14ac:dyDescent="0.35">
      <c r="A38" s="87" t="s">
        <v>45</v>
      </c>
      <c r="B38" s="88"/>
      <c r="C38" s="88"/>
      <c r="D38" s="88"/>
      <c r="E38" s="89"/>
      <c r="F38" s="158">
        <v>5615</v>
      </c>
      <c r="G38" s="159"/>
      <c r="H38" s="159"/>
      <c r="I38" s="159"/>
      <c r="J38" s="160"/>
    </row>
    <row r="39" spans="1:10" x14ac:dyDescent="0.35">
      <c r="A39" s="87" t="s">
        <v>46</v>
      </c>
      <c r="B39" s="88"/>
      <c r="C39" s="88"/>
      <c r="D39" s="88"/>
      <c r="E39" s="89"/>
      <c r="F39" s="162">
        <v>1.1000000000000001</v>
      </c>
      <c r="G39" s="163"/>
      <c r="H39" s="163"/>
      <c r="I39" s="163"/>
      <c r="J39" s="164"/>
    </row>
    <row r="40" spans="1:10" x14ac:dyDescent="0.35">
      <c r="A40" s="87" t="s">
        <v>47</v>
      </c>
      <c r="B40" s="88"/>
      <c r="C40" s="88"/>
      <c r="D40" s="88"/>
      <c r="E40" s="89"/>
      <c r="F40" s="162">
        <f>F42/F38-F39</f>
        <v>0.7498379341050756</v>
      </c>
      <c r="G40" s="163"/>
      <c r="H40" s="163"/>
      <c r="I40" s="163"/>
      <c r="J40" s="164"/>
    </row>
    <row r="41" spans="1:10" x14ac:dyDescent="0.35">
      <c r="A41" s="87" t="s">
        <v>48</v>
      </c>
      <c r="B41" s="88"/>
      <c r="C41" s="88"/>
      <c r="D41" s="88"/>
      <c r="E41" s="89"/>
      <c r="F41" s="162">
        <f>F39+F40</f>
        <v>1.8498379341050757</v>
      </c>
      <c r="G41" s="163"/>
      <c r="H41" s="163"/>
      <c r="I41" s="163"/>
      <c r="J41" s="164"/>
    </row>
    <row r="42" spans="1:10" x14ac:dyDescent="0.35">
      <c r="A42" s="87" t="s">
        <v>49</v>
      </c>
      <c r="B42" s="88"/>
      <c r="C42" s="88"/>
      <c r="D42" s="88"/>
      <c r="E42" s="89"/>
      <c r="F42" s="113">
        <v>10386.84</v>
      </c>
      <c r="G42" s="114"/>
      <c r="H42" s="114"/>
      <c r="I42" s="114"/>
      <c r="J42" s="115"/>
    </row>
    <row r="43" spans="1:10" x14ac:dyDescent="0.35">
      <c r="A43" s="87" t="s">
        <v>50</v>
      </c>
      <c r="B43" s="88"/>
      <c r="C43" s="88"/>
      <c r="D43" s="88"/>
      <c r="E43" s="89"/>
      <c r="F43" s="90" t="s">
        <v>212</v>
      </c>
      <c r="G43" s="91"/>
      <c r="H43" s="91"/>
      <c r="I43" s="91"/>
      <c r="J43" s="103"/>
    </row>
    <row r="44" spans="1:10" x14ac:dyDescent="0.35">
      <c r="A44" s="116" t="s">
        <v>51</v>
      </c>
      <c r="B44" s="117"/>
      <c r="C44" s="117"/>
      <c r="D44" s="117"/>
      <c r="E44" s="117"/>
      <c r="F44" s="117"/>
      <c r="G44" s="117"/>
      <c r="H44" s="117"/>
      <c r="I44" s="117"/>
      <c r="J44" s="118"/>
    </row>
    <row r="45" spans="1:10" x14ac:dyDescent="0.35">
      <c r="A45" s="92" t="s">
        <v>52</v>
      </c>
      <c r="B45" s="94"/>
      <c r="C45" s="92" t="s">
        <v>213</v>
      </c>
      <c r="D45" s="93"/>
      <c r="E45" s="93"/>
      <c r="F45" s="94"/>
      <c r="G45" s="32" t="s">
        <v>53</v>
      </c>
      <c r="H45" s="161">
        <v>44435</v>
      </c>
      <c r="I45" s="93"/>
      <c r="J45" s="94"/>
    </row>
    <row r="46" spans="1:10" ht="31.5" customHeight="1" x14ac:dyDescent="0.35">
      <c r="A46" s="92" t="s">
        <v>214</v>
      </c>
      <c r="B46" s="94"/>
      <c r="C46" s="92" t="s">
        <v>213</v>
      </c>
      <c r="D46" s="93"/>
      <c r="E46" s="93"/>
      <c r="F46" s="94"/>
      <c r="G46" s="32" t="s">
        <v>53</v>
      </c>
      <c r="H46" s="161">
        <v>44435</v>
      </c>
      <c r="I46" s="93"/>
      <c r="J46" s="94"/>
    </row>
    <row r="47" spans="1:10" ht="64.5" customHeight="1" x14ac:dyDescent="0.35">
      <c r="A47" s="92" t="s">
        <v>54</v>
      </c>
      <c r="B47" s="94"/>
      <c r="C47" s="92" t="s">
        <v>215</v>
      </c>
      <c r="D47" s="88"/>
      <c r="E47" s="88"/>
      <c r="F47" s="89"/>
      <c r="G47" s="34" t="s">
        <v>53</v>
      </c>
      <c r="H47" s="165">
        <v>44435</v>
      </c>
      <c r="I47" s="88"/>
      <c r="J47" s="89"/>
    </row>
    <row r="48" spans="1:10" ht="50.25" customHeight="1" x14ac:dyDescent="0.35">
      <c r="A48" s="153" t="s">
        <v>55</v>
      </c>
      <c r="B48" s="152"/>
      <c r="C48" s="153" t="s">
        <v>234</v>
      </c>
      <c r="D48" s="117"/>
      <c r="E48" s="117"/>
      <c r="F48" s="118" t="s">
        <v>56</v>
      </c>
      <c r="G48" s="32" t="s">
        <v>53</v>
      </c>
      <c r="H48" s="150">
        <v>45705</v>
      </c>
      <c r="I48" s="151" t="s">
        <v>35</v>
      </c>
      <c r="J48" s="152"/>
    </row>
    <row r="49" spans="1:12" x14ac:dyDescent="0.35">
      <c r="A49" s="154" t="s">
        <v>57</v>
      </c>
      <c r="B49" s="154"/>
      <c r="C49" s="154"/>
      <c r="D49" s="155">
        <f>H47</f>
        <v>44435</v>
      </c>
      <c r="E49" s="155"/>
      <c r="F49" s="87" t="s">
        <v>58</v>
      </c>
      <c r="G49" s="156"/>
      <c r="H49" s="157" t="s">
        <v>231</v>
      </c>
      <c r="I49" s="91"/>
      <c r="J49" s="103"/>
    </row>
    <row r="50" spans="1:12" x14ac:dyDescent="0.35">
      <c r="A50" s="201" t="s">
        <v>59</v>
      </c>
      <c r="B50" s="202"/>
      <c r="C50" s="202"/>
      <c r="D50" s="202"/>
      <c r="E50" s="202"/>
      <c r="F50" s="202"/>
      <c r="G50" s="202"/>
      <c r="H50" s="202"/>
      <c r="I50" s="202"/>
      <c r="J50" s="203"/>
    </row>
    <row r="51" spans="1:12" ht="15.75" customHeight="1" x14ac:dyDescent="0.35">
      <c r="A51" s="87" t="s">
        <v>60</v>
      </c>
      <c r="B51" s="88"/>
      <c r="C51" s="89"/>
      <c r="D51" s="185">
        <f>F42</f>
        <v>10386.84</v>
      </c>
      <c r="E51" s="186"/>
      <c r="F51" s="204" t="s">
        <v>61</v>
      </c>
      <c r="G51" s="205"/>
      <c r="H51" s="204" t="s">
        <v>216</v>
      </c>
      <c r="I51" s="206"/>
      <c r="J51" s="205"/>
    </row>
    <row r="52" spans="1:12" ht="33.75" customHeight="1" x14ac:dyDescent="0.35">
      <c r="A52" s="90" t="s">
        <v>62</v>
      </c>
      <c r="B52" s="91"/>
      <c r="C52" s="107" t="s">
        <v>217</v>
      </c>
      <c r="D52" s="108"/>
      <c r="E52" s="108"/>
      <c r="F52" s="108"/>
      <c r="G52" s="108"/>
      <c r="H52" s="108"/>
      <c r="I52" s="108"/>
      <c r="J52" s="109"/>
    </row>
    <row r="53" spans="1:12" ht="15.75" customHeight="1" x14ac:dyDescent="0.35">
      <c r="A53" s="87" t="s">
        <v>63</v>
      </c>
      <c r="B53" s="88"/>
      <c r="C53" s="88"/>
      <c r="D53" s="92" t="s">
        <v>232</v>
      </c>
      <c r="E53" s="93"/>
      <c r="F53" s="93"/>
      <c r="G53" s="93"/>
      <c r="H53" s="93"/>
      <c r="I53" s="93"/>
      <c r="J53" s="94"/>
    </row>
    <row r="54" spans="1:12" x14ac:dyDescent="0.35">
      <c r="A54" s="90" t="s">
        <v>233</v>
      </c>
      <c r="B54" s="91"/>
      <c r="C54" s="91"/>
      <c r="D54" s="91"/>
      <c r="E54" s="91"/>
      <c r="F54" s="91"/>
      <c r="G54" s="91"/>
      <c r="H54" s="91"/>
      <c r="I54" s="91"/>
      <c r="J54" s="103"/>
    </row>
    <row r="55" spans="1:12" ht="15" customHeight="1" thickBot="1" x14ac:dyDescent="0.4">
      <c r="A55" s="104" t="s">
        <v>64</v>
      </c>
      <c r="B55" s="105"/>
      <c r="C55" s="105"/>
      <c r="D55" s="105"/>
      <c r="E55" s="105"/>
      <c r="F55" s="105"/>
      <c r="G55" s="105"/>
      <c r="H55" s="105"/>
      <c r="I55" s="105"/>
      <c r="J55" s="106"/>
    </row>
    <row r="56" spans="1:12" ht="15" customHeight="1" x14ac:dyDescent="0.35">
      <c r="A56" s="95" t="s">
        <v>180</v>
      </c>
      <c r="B56" s="96"/>
      <c r="C56" s="97" t="s">
        <v>226</v>
      </c>
      <c r="D56" s="98"/>
      <c r="E56" s="98"/>
      <c r="F56" s="98"/>
      <c r="G56" s="98"/>
      <c r="H56" s="98"/>
      <c r="I56" s="98"/>
      <c r="J56" s="99"/>
      <c r="K56" s="23" t="str">
        <f ca="1">(IF(F60&gt;99%,"All work completed. Please provide OC.",IF(F60&gt;89.8%,"Plinth, RCC, Brick, Plaster, Flooring, Painting work Completed. Finishing work is in process.",IF(F60&lt;94%,(IF(C60=0,"Work not yet Started.",IF(D60=25%,"Piling work in process",IF(D60=50%,"Excavation work in process",IF(D60=100%,"Excavation work Completed. ","0")))&amp;(IF(C61=0%,"",IF(C61=L62,"Footing work is process",IF(C61=L63,"Footing work Completed",IF(C61=L64,"1st Basement Completed",IF(C61=L65,"1st &amp; 2nd Basement Completed",IF(C61=L66,"1st to 3rd Basement Completed",IF(C61=L67,"1st to 4th Basement Completed",IF(C61=L68,"Plinth work is process",IF(C61=L69,"Plinth work completed","0")))))))))))&amp;(IF(C62=(D57+G57+I57),", RCC Slab",IF(C62&gt;0,", RCC upto "&amp;C62&amp;" Slab",""))&amp;(IF(C63=I57,", Brickwork",IF(C63&gt;0,", Brickwork upto "&amp;C63&amp;" Floor",""))&amp;(IF(C64=I57,", Internal Plaster",IF(C64&gt;0,", Internal Plaster upto "&amp;C64&amp;" Floor",""))&amp;(IF(C65=I57,", External Plaster",IF(C65&gt;0,", External Plaster upto "&amp;C65&amp;" Floor",""))&amp;(IF(C66=I57,", Flooring",IF(C66&gt;0,", Flooring upto "&amp;C66&amp;" Floor",""))&amp;(IF(C67=I57,", Painting",IF(C67&gt;0,", Painting upto "&amp;C67&amp;" Floor",""))&amp;(IF(C68&gt;0,", Finishing upto "&amp;C68&amp;" Floor","")&amp;(IF(C62&gt;0.5," Completed",""))))))))))))))</f>
        <v>All work completed. Please provide OC.</v>
      </c>
      <c r="L56" s="35"/>
    </row>
    <row r="57" spans="1:12" ht="15" customHeight="1" x14ac:dyDescent="0.35">
      <c r="A57" s="27" t="s">
        <v>119</v>
      </c>
      <c r="B57" s="28">
        <v>0</v>
      </c>
      <c r="C57" s="28" t="s">
        <v>121</v>
      </c>
      <c r="D57" s="28">
        <v>1</v>
      </c>
      <c r="E57" s="100" t="s">
        <v>120</v>
      </c>
      <c r="F57" s="101"/>
      <c r="G57" s="28">
        <v>0</v>
      </c>
      <c r="H57" s="28" t="s">
        <v>181</v>
      </c>
      <c r="I57" s="100">
        <f ca="1">--TRIM(RIGHT(SUBSTITUTE(LEFT(C56,_xlfn.AGGREGATE(16,6,FIND({0,1,2,3,4,5,6,7,8,9},C56,ROW(INDIRECT("1:"&amp;LEN(C56)))),1))," ",REPT(" ",LEN(C56))),LEN(C56)))</f>
        <v>12</v>
      </c>
      <c r="J57" s="102"/>
      <c r="K57" s="24"/>
      <c r="L57" s="36"/>
    </row>
    <row r="58" spans="1:12" ht="23.5" customHeight="1" thickBot="1" x14ac:dyDescent="0.4">
      <c r="A58" s="227" t="s">
        <v>182</v>
      </c>
      <c r="B58" s="228"/>
      <c r="C58" s="229" t="str">
        <f ca="1">K56</f>
        <v>All work completed. Please provide OC.</v>
      </c>
      <c r="D58" s="230"/>
      <c r="E58" s="230"/>
      <c r="F58" s="230"/>
      <c r="G58" s="230"/>
      <c r="H58" s="230"/>
      <c r="I58" s="230"/>
      <c r="J58" s="231"/>
      <c r="K58" s="24" t="s">
        <v>183</v>
      </c>
      <c r="L58" s="36"/>
    </row>
    <row r="59" spans="1:12" ht="15" hidden="1" customHeight="1" x14ac:dyDescent="0.35">
      <c r="A59" s="110" t="s">
        <v>65</v>
      </c>
      <c r="B59" s="111"/>
      <c r="C59" s="29" t="s">
        <v>184</v>
      </c>
      <c r="D59" s="63" t="s">
        <v>185</v>
      </c>
      <c r="E59" s="63"/>
      <c r="F59" s="63" t="s">
        <v>186</v>
      </c>
      <c r="G59" s="63"/>
      <c r="H59" s="63" t="s">
        <v>187</v>
      </c>
      <c r="I59" s="63"/>
      <c r="J59" s="112"/>
      <c r="K59" s="25" t="s">
        <v>188</v>
      </c>
      <c r="L59" s="37">
        <f ca="1">I57*25%</f>
        <v>3</v>
      </c>
    </row>
    <row r="60" spans="1:12" ht="15" hidden="1" customHeight="1" x14ac:dyDescent="0.35">
      <c r="A60" s="63" t="s">
        <v>189</v>
      </c>
      <c r="B60" s="63"/>
      <c r="C60" s="38">
        <f ca="1">L61</f>
        <v>12</v>
      </c>
      <c r="D60" s="64">
        <f ca="1">((100/I57)*C60)/100</f>
        <v>1</v>
      </c>
      <c r="E60" s="64"/>
      <c r="F60" s="64">
        <f ca="1">(((C61/I57*10)+(40/(D57+G57+I57)*C62)+(7.5/(I57)*C63)+(7.5/(I57)*C64)+(10/I57*C65)+(10/I57*C66)+(5/I57*C67)+(5/I57*C68)+(5/I57*C69))/100)</f>
        <v>1</v>
      </c>
      <c r="G60" s="64"/>
      <c r="H60" s="64">
        <f ca="1">((((C60/I57)*20)+((C61/I57)*25)+(30/(I57+G57+D57)*C62)+(5/I57*C63)+(5/I57*C64)+(5/I57*C65)+(5/I57*C66)+(0/I57*C67)+(0/I57*C68)+(5/I57*C69))/100)</f>
        <v>1</v>
      </c>
      <c r="I60" s="64"/>
      <c r="J60" s="64"/>
      <c r="K60" s="25" t="s">
        <v>126</v>
      </c>
      <c r="L60" s="39">
        <f ca="1">I57*50%</f>
        <v>6</v>
      </c>
    </row>
    <row r="61" spans="1:12" ht="15" hidden="1" customHeight="1" x14ac:dyDescent="0.35">
      <c r="A61" s="63" t="s">
        <v>66</v>
      </c>
      <c r="B61" s="63"/>
      <c r="C61" s="40">
        <f ca="1">L69</f>
        <v>12</v>
      </c>
      <c r="D61" s="64">
        <f ca="1">((100/I57)*C61)/100</f>
        <v>1</v>
      </c>
      <c r="E61" s="64"/>
      <c r="F61" s="64"/>
      <c r="G61" s="64"/>
      <c r="H61" s="64"/>
      <c r="I61" s="64"/>
      <c r="J61" s="64"/>
      <c r="K61" s="25" t="s">
        <v>127</v>
      </c>
      <c r="L61" s="39">
        <f ca="1">I57</f>
        <v>12</v>
      </c>
    </row>
    <row r="62" spans="1:12" ht="15" hidden="1" customHeight="1" x14ac:dyDescent="0.35">
      <c r="A62" s="63" t="s">
        <v>203</v>
      </c>
      <c r="B62" s="63"/>
      <c r="C62" s="40">
        <f ca="1">D57+I57</f>
        <v>13</v>
      </c>
      <c r="D62" s="64">
        <f ca="1">((100/(D57+G57+I57))*C62)/100</f>
        <v>1</v>
      </c>
      <c r="E62" s="64"/>
      <c r="F62" s="64"/>
      <c r="G62" s="64"/>
      <c r="H62" s="64"/>
      <c r="I62" s="64"/>
      <c r="J62" s="64"/>
      <c r="K62" s="25" t="s">
        <v>128</v>
      </c>
      <c r="L62" s="41">
        <f ca="1">(IF(B57&gt;1,(I57/(B57+2)),I57/4))</f>
        <v>3</v>
      </c>
    </row>
    <row r="63" spans="1:12" ht="15" hidden="1" customHeight="1" x14ac:dyDescent="0.35">
      <c r="A63" s="63" t="s">
        <v>190</v>
      </c>
      <c r="B63" s="63" t="s">
        <v>191</v>
      </c>
      <c r="C63" s="38">
        <v>12</v>
      </c>
      <c r="D63" s="64">
        <f ca="1">((100/I57)*C63)/100</f>
        <v>1</v>
      </c>
      <c r="E63" s="64"/>
      <c r="F63" s="64"/>
      <c r="G63" s="64"/>
      <c r="H63" s="64"/>
      <c r="I63" s="64"/>
      <c r="J63" s="64"/>
      <c r="K63" s="25" t="s">
        <v>129</v>
      </c>
      <c r="L63" s="41">
        <f ca="1">(IF(B57&gt;1,(I57/(B57+2)+L62),I57/4+L62))</f>
        <v>6</v>
      </c>
    </row>
    <row r="64" spans="1:12" ht="15" hidden="1" customHeight="1" x14ac:dyDescent="0.35">
      <c r="A64" s="63" t="s">
        <v>192</v>
      </c>
      <c r="B64" s="63" t="s">
        <v>191</v>
      </c>
      <c r="C64" s="38">
        <v>12</v>
      </c>
      <c r="D64" s="64">
        <f ca="1">((100/I57)*C64)/100</f>
        <v>1</v>
      </c>
      <c r="E64" s="64"/>
      <c r="F64" s="64"/>
      <c r="G64" s="64"/>
      <c r="H64" s="64"/>
      <c r="I64" s="64"/>
      <c r="J64" s="64"/>
      <c r="K64" s="25" t="s">
        <v>193</v>
      </c>
      <c r="L64" s="41">
        <f>(IF(B57&gt;1,(I57/(B57+2)+L63),0))</f>
        <v>0</v>
      </c>
    </row>
    <row r="65" spans="1:12" ht="15" hidden="1" customHeight="1" x14ac:dyDescent="0.35">
      <c r="A65" s="63" t="s">
        <v>194</v>
      </c>
      <c r="B65" s="63" t="s">
        <v>195</v>
      </c>
      <c r="C65" s="38">
        <v>12</v>
      </c>
      <c r="D65" s="64">
        <f ca="1">((100/(I57))*C65)/100</f>
        <v>1</v>
      </c>
      <c r="E65" s="64"/>
      <c r="F65" s="64"/>
      <c r="G65" s="64"/>
      <c r="H65" s="64"/>
      <c r="I65" s="64"/>
      <c r="J65" s="64"/>
      <c r="K65" s="25" t="s">
        <v>196</v>
      </c>
      <c r="L65" s="41">
        <f>(IF(B57&gt;2,(I57/(B57+2)+L64),0))</f>
        <v>0</v>
      </c>
    </row>
    <row r="66" spans="1:12" ht="15" hidden="1" customHeight="1" x14ac:dyDescent="0.35">
      <c r="A66" s="63" t="s">
        <v>197</v>
      </c>
      <c r="B66" s="63" t="s">
        <v>197</v>
      </c>
      <c r="C66" s="38">
        <v>12</v>
      </c>
      <c r="D66" s="64">
        <f ca="1">((100/I57)*C66)/100</f>
        <v>1</v>
      </c>
      <c r="E66" s="64"/>
      <c r="F66" s="64"/>
      <c r="G66" s="64"/>
      <c r="H66" s="64"/>
      <c r="I66" s="64"/>
      <c r="J66" s="64"/>
      <c r="K66" s="25" t="s">
        <v>198</v>
      </c>
      <c r="L66" s="42">
        <f>(IF(B57&gt;3,(I57/(B57+2)+L65),0))</f>
        <v>0</v>
      </c>
    </row>
    <row r="67" spans="1:12" ht="15" hidden="1" customHeight="1" x14ac:dyDescent="0.35">
      <c r="A67" s="63" t="s">
        <v>199</v>
      </c>
      <c r="B67" s="63"/>
      <c r="C67" s="38">
        <v>12</v>
      </c>
      <c r="D67" s="64">
        <f ca="1">((100/I57)*C67)/100</f>
        <v>1</v>
      </c>
      <c r="E67" s="64"/>
      <c r="F67" s="64"/>
      <c r="G67" s="64"/>
      <c r="H67" s="64"/>
      <c r="I67" s="64"/>
      <c r="J67" s="64"/>
      <c r="K67" s="25" t="s">
        <v>200</v>
      </c>
      <c r="L67" s="41">
        <f>(IF(B57&gt;4,(I57/(B57+2)+L66),0))</f>
        <v>0</v>
      </c>
    </row>
    <row r="68" spans="1:12" ht="15" hidden="1" customHeight="1" x14ac:dyDescent="0.35">
      <c r="A68" s="63" t="s">
        <v>201</v>
      </c>
      <c r="B68" s="63" t="s">
        <v>201</v>
      </c>
      <c r="C68" s="38">
        <v>12</v>
      </c>
      <c r="D68" s="64">
        <f ca="1">((100/(I57))*C68)/100</f>
        <v>1</v>
      </c>
      <c r="E68" s="64"/>
      <c r="F68" s="64"/>
      <c r="G68" s="64"/>
      <c r="H68" s="64"/>
      <c r="I68" s="64"/>
      <c r="J68" s="64"/>
      <c r="K68" s="25" t="s">
        <v>130</v>
      </c>
      <c r="L68" s="41">
        <f ca="1">(IF(B57=1,(I57/(B57+3)+L63),IF(B57=0,(I57/4+L63),IF(B57&gt;1,0))))</f>
        <v>9</v>
      </c>
    </row>
    <row r="69" spans="1:12" ht="15" hidden="1" customHeight="1" thickBot="1" x14ac:dyDescent="0.4">
      <c r="A69" s="65" t="s">
        <v>202</v>
      </c>
      <c r="B69" s="65"/>
      <c r="C69" s="60">
        <v>12</v>
      </c>
      <c r="D69" s="66">
        <f ca="1">((100/(I57))*C69)/100</f>
        <v>1</v>
      </c>
      <c r="E69" s="66"/>
      <c r="F69" s="66"/>
      <c r="G69" s="66"/>
      <c r="H69" s="66"/>
      <c r="I69" s="66"/>
      <c r="J69" s="66"/>
      <c r="K69" s="26" t="s">
        <v>131</v>
      </c>
      <c r="L69" s="43">
        <f ca="1">(IF(B57&gt;1.5,(I57/(B57+2)+L63+MAX(0,L64-L63)+MAX(0,L65-L64)+MAX(0,L66-L65)+MAX(0,L67-L66)+MAX(0,L68-L67)),IF(B57=1,(I57/(B57+3)+L68),IF(B57=0,I57/4+L68))))</f>
        <v>12</v>
      </c>
    </row>
    <row r="70" spans="1:12" ht="29.25" customHeight="1" thickBot="1" x14ac:dyDescent="0.4">
      <c r="A70" s="70" t="s">
        <v>230</v>
      </c>
      <c r="B70" s="71"/>
      <c r="C70" s="72">
        <f ca="1">F60</f>
        <v>1</v>
      </c>
      <c r="D70" s="73"/>
      <c r="E70" s="74"/>
      <c r="F70" s="75" t="s">
        <v>187</v>
      </c>
      <c r="G70" s="74"/>
      <c r="H70" s="72">
        <f ca="1">H60</f>
        <v>1</v>
      </c>
      <c r="I70" s="73"/>
      <c r="J70" s="74"/>
      <c r="K70" s="24" t="s">
        <v>183</v>
      </c>
      <c r="L70" s="36"/>
    </row>
    <row r="71" spans="1:12" ht="15" customHeight="1" x14ac:dyDescent="0.35">
      <c r="A71" s="67" t="s">
        <v>180</v>
      </c>
      <c r="B71" s="67"/>
      <c r="C71" s="68" t="s">
        <v>219</v>
      </c>
      <c r="D71" s="68"/>
      <c r="E71" s="68"/>
      <c r="F71" s="68"/>
      <c r="G71" s="68"/>
      <c r="H71" s="68"/>
      <c r="I71" s="68"/>
      <c r="J71" s="68"/>
      <c r="K71" s="23" t="str">
        <f ca="1">(IF(F76&gt;99%,"All work completed. Please provide OC.",IF(F76&gt;89.8%,"Plinth, RCC, Brick, Plaster, Flooring, Painting work Completed. Finishing work is in process.",IF(F76&lt;94%,(IF(C76=0,"Work not yet Started.",IF(D76=25%,"Piling work in process",IF(D76=50%,"Excavation work in process",IF(D76=100%,"Excavation work Completed. ","0")))&amp;(IF(C77=0%,"",IF(C77=L78,"Footing work is process",IF(C77=L79,"Footing work Completed",IF(C77=L80,"1st Basement Completed",IF(C77=L81,"1st &amp; 2nd Basement Completed",IF(C77=L82,"1st to 3rd Basement Completed",IF(C77=L83,"1st to 4th Basement Completed",IF(C77=L84,"Plinth work is process",IF(C77=L85,"Plinth work completed","0")))))))))))&amp;(IF(C78=(D72+G72+I72),", RCC Slab",IF(C78&gt;0,", RCC upto "&amp;C78&amp;" Slab",""))&amp;(IF(C79=I72,", Brickwork",IF(C79&gt;0,", Brickwork upto "&amp;C79&amp;" Floor",""))&amp;(IF(C80=I72,", Internal Plaster",IF(C80&gt;0,", Internal Plaster upto "&amp;C80&amp;" Floor",""))&amp;(IF(C81=I72,", External Plaster",IF(C81&gt;0,", External Plaster upto "&amp;C81&amp;" Floor",""))&amp;(IF(C82=I72,", Flooring",IF(C82&gt;0,", Flooring upto "&amp;C82&amp;" Floor",""))&amp;(IF(C83=I72,", Painting",IF(C83&gt;0,", Painting upto "&amp;C83&amp;" Floor",""))&amp;(IF(C84&gt;0,", Finishing upto "&amp;C84&amp;" Floor","")&amp;(IF(C78&gt;0.5," Completed",""))))))))))))))</f>
        <v>All work completed. Please provide OC.</v>
      </c>
      <c r="L71" s="35"/>
    </row>
    <row r="72" spans="1:12" ht="15" customHeight="1" x14ac:dyDescent="0.35">
      <c r="A72" s="28" t="s">
        <v>119</v>
      </c>
      <c r="B72" s="28">
        <v>0</v>
      </c>
      <c r="C72" s="28" t="s">
        <v>121</v>
      </c>
      <c r="D72" s="28">
        <v>1</v>
      </c>
      <c r="E72" s="69" t="s">
        <v>120</v>
      </c>
      <c r="F72" s="69"/>
      <c r="G72" s="28">
        <v>0</v>
      </c>
      <c r="H72" s="28" t="s">
        <v>181</v>
      </c>
      <c r="I72" s="69">
        <f ca="1">--TRIM(RIGHT(SUBSTITUTE(LEFT(C71,_xlfn.AGGREGATE(16,6,FIND({0,1,2,3,4,5,6,7,8,9},C71,ROW(INDIRECT("1:"&amp;LEN(C71)))),1))," ",REPT(" ",LEN(C71))),LEN(C71)))</f>
        <v>15</v>
      </c>
      <c r="J72" s="69"/>
      <c r="K72" s="24"/>
      <c r="L72" s="36"/>
    </row>
    <row r="73" spans="1:12" ht="23" customHeight="1" thickBot="1" x14ac:dyDescent="0.4">
      <c r="A73" s="228" t="s">
        <v>182</v>
      </c>
      <c r="B73" s="228"/>
      <c r="C73" s="232" t="str">
        <f>K73</f>
        <v>All work Completed. OC Received.</v>
      </c>
      <c r="D73" s="232"/>
      <c r="E73" s="232"/>
      <c r="F73" s="232"/>
      <c r="G73" s="232"/>
      <c r="H73" s="232"/>
      <c r="I73" s="232"/>
      <c r="J73" s="232"/>
      <c r="K73" s="24" t="s">
        <v>183</v>
      </c>
      <c r="L73" s="36"/>
    </row>
    <row r="74" spans="1:12" ht="29.25" customHeight="1" thickBot="1" x14ac:dyDescent="0.4">
      <c r="A74" s="70" t="s">
        <v>230</v>
      </c>
      <c r="B74" s="71"/>
      <c r="C74" s="72">
        <f>F64</f>
        <v>0</v>
      </c>
      <c r="D74" s="73"/>
      <c r="E74" s="74"/>
      <c r="F74" s="75" t="s">
        <v>187</v>
      </c>
      <c r="G74" s="74"/>
      <c r="H74" s="72">
        <f>H64</f>
        <v>0</v>
      </c>
      <c r="I74" s="73"/>
      <c r="J74" s="74"/>
      <c r="K74" s="24" t="s">
        <v>183</v>
      </c>
      <c r="L74" s="36"/>
    </row>
    <row r="75" spans="1:12" ht="15" hidden="1" customHeight="1" x14ac:dyDescent="0.35">
      <c r="A75" s="63" t="s">
        <v>65</v>
      </c>
      <c r="B75" s="63"/>
      <c r="C75" s="59" t="s">
        <v>184</v>
      </c>
      <c r="D75" s="63" t="s">
        <v>185</v>
      </c>
      <c r="E75" s="63"/>
      <c r="F75" s="63" t="s">
        <v>186</v>
      </c>
      <c r="G75" s="63"/>
      <c r="H75" s="63" t="s">
        <v>187</v>
      </c>
      <c r="I75" s="63"/>
      <c r="J75" s="63"/>
      <c r="K75" s="25" t="s">
        <v>188</v>
      </c>
      <c r="L75" s="37">
        <f ca="1">I72*25%</f>
        <v>3.75</v>
      </c>
    </row>
    <row r="76" spans="1:12" ht="15" hidden="1" customHeight="1" x14ac:dyDescent="0.35">
      <c r="A76" s="63" t="s">
        <v>189</v>
      </c>
      <c r="B76" s="63"/>
      <c r="C76" s="38">
        <v>15</v>
      </c>
      <c r="D76" s="64">
        <f ca="1">((100/I72)*C76)/100</f>
        <v>1</v>
      </c>
      <c r="E76" s="64"/>
      <c r="F76" s="64">
        <f ca="1">(((C77/I72*10)+(40/(D72+G72+I72)*C78)+(7.5/(I72)*C79)+(7.5/(I72)*C80)+(10/I72*C81)+(10/I72*C82)+(5/I72*C83)+(5/I72*C84)+(5/I72*C85))/100)</f>
        <v>1</v>
      </c>
      <c r="G76" s="64"/>
      <c r="H76" s="64">
        <f ca="1">((((C76/I72)*20)+((C77/I72)*25)+(30/(I72+G72+D72)*C78)+(5/I72*C79)+(5/I72*C80)+(5/I72*C81)+(5/I72*C82)+(0/I72*C83)+(0/I72*C84)+(5/I72*C85))/100)</f>
        <v>1</v>
      </c>
      <c r="I76" s="64"/>
      <c r="J76" s="64"/>
      <c r="K76" s="25" t="s">
        <v>126</v>
      </c>
      <c r="L76" s="39">
        <f ca="1">I72*50%</f>
        <v>7.5</v>
      </c>
    </row>
    <row r="77" spans="1:12" ht="15" hidden="1" customHeight="1" x14ac:dyDescent="0.35">
      <c r="A77" s="63" t="s">
        <v>66</v>
      </c>
      <c r="B77" s="63"/>
      <c r="C77" s="40">
        <f ca="1">L85</f>
        <v>15</v>
      </c>
      <c r="D77" s="64">
        <f ca="1">((100/I72)*C77)/100</f>
        <v>1</v>
      </c>
      <c r="E77" s="64"/>
      <c r="F77" s="64"/>
      <c r="G77" s="64"/>
      <c r="H77" s="64"/>
      <c r="I77" s="64"/>
      <c r="J77" s="64"/>
      <c r="K77" s="25" t="s">
        <v>127</v>
      </c>
      <c r="L77" s="39">
        <f ca="1">I72</f>
        <v>15</v>
      </c>
    </row>
    <row r="78" spans="1:12" ht="15" hidden="1" customHeight="1" x14ac:dyDescent="0.35">
      <c r="A78" s="63" t="s">
        <v>203</v>
      </c>
      <c r="B78" s="63"/>
      <c r="C78" s="40">
        <v>16</v>
      </c>
      <c r="D78" s="64">
        <f ca="1">((100/(D72+G72+I72))*C78)/100</f>
        <v>1</v>
      </c>
      <c r="E78" s="64"/>
      <c r="F78" s="64"/>
      <c r="G78" s="64"/>
      <c r="H78" s="64"/>
      <c r="I78" s="64"/>
      <c r="J78" s="64"/>
      <c r="K78" s="25" t="s">
        <v>128</v>
      </c>
      <c r="L78" s="41">
        <f ca="1">(IF(B72&gt;1,(I72/(B72+2)),I72/4))</f>
        <v>3.75</v>
      </c>
    </row>
    <row r="79" spans="1:12" ht="15" hidden="1" customHeight="1" x14ac:dyDescent="0.35">
      <c r="A79" s="63" t="s">
        <v>190</v>
      </c>
      <c r="B79" s="63" t="s">
        <v>191</v>
      </c>
      <c r="C79" s="38">
        <v>15</v>
      </c>
      <c r="D79" s="64">
        <f ca="1">((100/I72)*C79)/100</f>
        <v>1</v>
      </c>
      <c r="E79" s="64"/>
      <c r="F79" s="64"/>
      <c r="G79" s="64"/>
      <c r="H79" s="64"/>
      <c r="I79" s="64"/>
      <c r="J79" s="64"/>
      <c r="K79" s="25" t="s">
        <v>129</v>
      </c>
      <c r="L79" s="41">
        <f ca="1">(IF(B72&gt;1,(I72/(B72+2)+L78),I72/4+L78))</f>
        <v>7.5</v>
      </c>
    </row>
    <row r="80" spans="1:12" ht="15" hidden="1" customHeight="1" x14ac:dyDescent="0.35">
      <c r="A80" s="63" t="s">
        <v>192</v>
      </c>
      <c r="B80" s="63" t="s">
        <v>191</v>
      </c>
      <c r="C80" s="38">
        <v>15</v>
      </c>
      <c r="D80" s="64">
        <f ca="1">((100/I72)*C80)/100</f>
        <v>1</v>
      </c>
      <c r="E80" s="64"/>
      <c r="F80" s="64"/>
      <c r="G80" s="64"/>
      <c r="H80" s="64"/>
      <c r="I80" s="64"/>
      <c r="J80" s="64"/>
      <c r="K80" s="25" t="s">
        <v>193</v>
      </c>
      <c r="L80" s="41">
        <f>(IF(B72&gt;1,(I72/(B72+2)+L79),0))</f>
        <v>0</v>
      </c>
    </row>
    <row r="81" spans="1:16" ht="15" hidden="1" customHeight="1" x14ac:dyDescent="0.35">
      <c r="A81" s="63" t="s">
        <v>194</v>
      </c>
      <c r="B81" s="63" t="s">
        <v>195</v>
      </c>
      <c r="C81" s="38">
        <v>15</v>
      </c>
      <c r="D81" s="64">
        <f ca="1">((100/(I72))*C81)/100</f>
        <v>1</v>
      </c>
      <c r="E81" s="64"/>
      <c r="F81" s="64"/>
      <c r="G81" s="64"/>
      <c r="H81" s="64"/>
      <c r="I81" s="64"/>
      <c r="J81" s="64"/>
      <c r="K81" s="25" t="s">
        <v>196</v>
      </c>
      <c r="L81" s="41">
        <f>(IF(B72&gt;2,(I72/(B72+2)+L80),0))</f>
        <v>0</v>
      </c>
    </row>
    <row r="82" spans="1:16" ht="15" hidden="1" customHeight="1" x14ac:dyDescent="0.35">
      <c r="A82" s="63" t="s">
        <v>197</v>
      </c>
      <c r="B82" s="63" t="s">
        <v>197</v>
      </c>
      <c r="C82" s="38">
        <v>15</v>
      </c>
      <c r="D82" s="64">
        <f ca="1">((100/I72)*C82)/100</f>
        <v>1</v>
      </c>
      <c r="E82" s="64"/>
      <c r="F82" s="64"/>
      <c r="G82" s="64"/>
      <c r="H82" s="64"/>
      <c r="I82" s="64"/>
      <c r="J82" s="64"/>
      <c r="K82" s="25" t="s">
        <v>198</v>
      </c>
      <c r="L82" s="42">
        <f>(IF(B72&gt;3,(I72/(B72+2)+L81),0))</f>
        <v>0</v>
      </c>
    </row>
    <row r="83" spans="1:16" ht="15" hidden="1" customHeight="1" x14ac:dyDescent="0.35">
      <c r="A83" s="63" t="s">
        <v>199</v>
      </c>
      <c r="B83" s="63"/>
      <c r="C83" s="38">
        <v>15</v>
      </c>
      <c r="D83" s="64">
        <f ca="1">((100/I72)*C83)/100</f>
        <v>1</v>
      </c>
      <c r="E83" s="64"/>
      <c r="F83" s="64"/>
      <c r="G83" s="64"/>
      <c r="H83" s="64"/>
      <c r="I83" s="64"/>
      <c r="J83" s="64"/>
      <c r="K83" s="25" t="s">
        <v>200</v>
      </c>
      <c r="L83" s="41">
        <f>(IF(B72&gt;4,(I72/(B72+2)+L82),0))</f>
        <v>0</v>
      </c>
    </row>
    <row r="84" spans="1:16" ht="15" hidden="1" customHeight="1" x14ac:dyDescent="0.35">
      <c r="A84" s="63" t="s">
        <v>201</v>
      </c>
      <c r="B84" s="63" t="s">
        <v>201</v>
      </c>
      <c r="C84" s="38">
        <v>15</v>
      </c>
      <c r="D84" s="64">
        <f ca="1">((100/(I72))*C84)/100</f>
        <v>1</v>
      </c>
      <c r="E84" s="64"/>
      <c r="F84" s="64"/>
      <c r="G84" s="64"/>
      <c r="H84" s="64"/>
      <c r="I84" s="64"/>
      <c r="J84" s="64"/>
      <c r="K84" s="25" t="s">
        <v>130</v>
      </c>
      <c r="L84" s="41">
        <f ca="1">(IF(B72=1,(I72/(B72+3)+L79),IF(B72=0,(I72/4+L79),IF(B72&gt;1,0))))</f>
        <v>11.25</v>
      </c>
    </row>
    <row r="85" spans="1:16" ht="15" hidden="1" customHeight="1" thickBot="1" x14ac:dyDescent="0.4">
      <c r="A85" s="63" t="s">
        <v>202</v>
      </c>
      <c r="B85" s="63"/>
      <c r="C85" s="38">
        <v>15</v>
      </c>
      <c r="D85" s="64">
        <f ca="1">((100/(I72))*C85)/100</f>
        <v>1</v>
      </c>
      <c r="E85" s="64"/>
      <c r="F85" s="64"/>
      <c r="G85" s="64"/>
      <c r="H85" s="64"/>
      <c r="I85" s="64"/>
      <c r="J85" s="64"/>
      <c r="K85" s="26" t="s">
        <v>131</v>
      </c>
      <c r="L85" s="43">
        <f ca="1">(IF(B72&gt;1.5,(I72/(B72+2)+L79+MAX(0,L80-L79)+MAX(0,L81-L80)+MAX(0,L82-L81)+MAX(0,L83-L82)+MAX(0,L84-L83)),IF(B72=1,(I72/(B72+3)+L84),IF(B72=0,I72/4+L84))))</f>
        <v>15</v>
      </c>
    </row>
    <row r="86" spans="1:16" x14ac:dyDescent="0.35">
      <c r="A86" s="209" t="s">
        <v>237</v>
      </c>
      <c r="B86" s="210"/>
      <c r="C86" s="210"/>
      <c r="D86" s="210"/>
      <c r="E86" s="210"/>
      <c r="F86" s="210"/>
      <c r="G86" s="210"/>
      <c r="H86" s="210"/>
      <c r="I86" s="210"/>
      <c r="J86" s="211"/>
    </row>
    <row r="87" spans="1:16" x14ac:dyDescent="0.35">
      <c r="A87" s="87" t="s">
        <v>67</v>
      </c>
      <c r="B87" s="88"/>
      <c r="C87" s="88"/>
      <c r="D87" s="88"/>
      <c r="E87" s="88"/>
      <c r="F87" s="88"/>
      <c r="G87" s="88"/>
      <c r="H87" s="88"/>
      <c r="I87" s="88"/>
      <c r="J87" s="89"/>
    </row>
    <row r="88" spans="1:16" ht="15" hidden="1" customHeight="1" x14ac:dyDescent="0.35">
      <c r="A88" s="207" t="s">
        <v>124</v>
      </c>
      <c r="B88" s="208"/>
      <c r="C88" s="104" t="s">
        <v>125</v>
      </c>
      <c r="D88" s="105"/>
      <c r="E88" s="105"/>
      <c r="F88" s="105"/>
      <c r="G88" s="105"/>
      <c r="H88" s="105"/>
      <c r="I88" s="105"/>
      <c r="J88" s="106"/>
    </row>
    <row r="89" spans="1:16" x14ac:dyDescent="0.35">
      <c r="A89" s="116" t="s">
        <v>68</v>
      </c>
      <c r="B89" s="117"/>
      <c r="C89" s="117"/>
      <c r="D89" s="117"/>
      <c r="E89" s="117"/>
      <c r="F89" s="117"/>
      <c r="G89" s="117"/>
      <c r="H89" s="117"/>
      <c r="I89" s="117"/>
      <c r="J89" s="118"/>
    </row>
    <row r="90" spans="1:16" x14ac:dyDescent="0.35">
      <c r="A90" s="87" t="s">
        <v>132</v>
      </c>
      <c r="B90" s="88"/>
      <c r="C90" s="88"/>
      <c r="D90" s="88"/>
      <c r="E90" s="88"/>
      <c r="F90" s="89"/>
      <c r="G90" s="87">
        <v>5500</v>
      </c>
      <c r="H90" s="88"/>
      <c r="I90" s="88"/>
      <c r="J90" s="89"/>
      <c r="K90" s="33" t="s">
        <v>166</v>
      </c>
      <c r="P90" s="33" t="s">
        <v>178</v>
      </c>
    </row>
    <row r="91" spans="1:16" hidden="1" x14ac:dyDescent="0.35">
      <c r="A91" s="87" t="s">
        <v>69</v>
      </c>
      <c r="B91" s="88"/>
      <c r="C91" s="88"/>
      <c r="D91" s="88"/>
      <c r="E91" s="88"/>
      <c r="F91" s="89"/>
      <c r="G91" s="92" t="s">
        <v>35</v>
      </c>
      <c r="H91" s="93"/>
      <c r="I91" s="93"/>
      <c r="J91" s="94"/>
    </row>
    <row r="92" spans="1:16" x14ac:dyDescent="0.35">
      <c r="A92" s="87" t="s">
        <v>163</v>
      </c>
      <c r="B92" s="88"/>
      <c r="C92" s="88"/>
      <c r="D92" s="88"/>
      <c r="E92" s="88"/>
      <c r="F92" s="89"/>
      <c r="G92" s="92" t="s">
        <v>220</v>
      </c>
      <c r="H92" s="93"/>
      <c r="I92" s="93"/>
      <c r="J92" s="94"/>
    </row>
    <row r="93" spans="1:16" x14ac:dyDescent="0.35">
      <c r="A93" s="87" t="s">
        <v>70</v>
      </c>
      <c r="B93" s="88"/>
      <c r="C93" s="88"/>
      <c r="D93" s="88"/>
      <c r="E93" s="88"/>
      <c r="F93" s="89"/>
      <c r="G93" s="92" t="s">
        <v>221</v>
      </c>
      <c r="H93" s="93"/>
      <c r="I93" s="93"/>
      <c r="J93" s="94"/>
    </row>
    <row r="94" spans="1:16" s="44" customFormat="1" ht="14.5" customHeight="1" x14ac:dyDescent="0.35">
      <c r="A94" s="116" t="s">
        <v>71</v>
      </c>
      <c r="B94" s="117"/>
      <c r="C94" s="117"/>
      <c r="D94" s="117"/>
      <c r="E94" s="117"/>
      <c r="F94" s="118"/>
      <c r="G94" s="87">
        <f>G90*0.8</f>
        <v>4400</v>
      </c>
      <c r="H94" s="88"/>
      <c r="I94" s="88"/>
      <c r="J94" s="89"/>
    </row>
    <row r="95" spans="1:16" s="45" customFormat="1" x14ac:dyDescent="0.35">
      <c r="A95" s="212" t="s">
        <v>118</v>
      </c>
      <c r="B95" s="213"/>
      <c r="C95" s="213"/>
      <c r="D95" s="213"/>
      <c r="E95" s="213"/>
      <c r="F95" s="213"/>
      <c r="G95" s="213"/>
      <c r="H95" s="213"/>
      <c r="I95" s="213"/>
      <c r="J95" s="214"/>
    </row>
    <row r="96" spans="1:16" s="45" customFormat="1" x14ac:dyDescent="0.35">
      <c r="A96" s="136" t="s">
        <v>72</v>
      </c>
      <c r="B96" s="138"/>
      <c r="C96" s="46" t="s">
        <v>137</v>
      </c>
      <c r="D96" s="215" t="s">
        <v>73</v>
      </c>
      <c r="E96" s="216"/>
      <c r="F96" s="217"/>
      <c r="G96" s="136" t="s">
        <v>74</v>
      </c>
      <c r="H96" s="137"/>
      <c r="I96" s="137"/>
      <c r="J96" s="138"/>
    </row>
    <row r="97" spans="1:12" s="45" customFormat="1" x14ac:dyDescent="0.35">
      <c r="A97" s="126" t="s">
        <v>210</v>
      </c>
      <c r="B97" s="127"/>
      <c r="C97" s="47">
        <f>COUNT(D107:E114)*6+COUNT(D116:E123)*5+COUNT(D125:E132)</f>
        <v>96</v>
      </c>
      <c r="D97" s="128">
        <f>SUM(D107:E114)*6+SUM(D116:E123)*5+SUM(D125:E132)</f>
        <v>40252.995198000004</v>
      </c>
      <c r="E97" s="129"/>
      <c r="F97" s="130"/>
      <c r="G97" s="128">
        <f>SUM(G107:H114)*6+SUM(G116:H123)*5+SUM(G125:H132)</f>
        <v>63054.884997000001</v>
      </c>
      <c r="H97" s="129"/>
      <c r="I97" s="129"/>
      <c r="J97" s="130"/>
    </row>
    <row r="98" spans="1:12" s="45" customFormat="1" x14ac:dyDescent="0.35">
      <c r="A98" s="126" t="s">
        <v>148</v>
      </c>
      <c r="B98" s="127"/>
      <c r="C98" s="47">
        <f>COUNT(D136:E143)*6+COUNT(D145:E152)*5+COUNT(D154:E161)</f>
        <v>96</v>
      </c>
      <c r="D98" s="128">
        <f>SUM(D136:E143)*6+SUM(D145:E152)*5+SUM(D154:E161)</f>
        <v>41036.512139999999</v>
      </c>
      <c r="E98" s="129"/>
      <c r="F98" s="130"/>
      <c r="G98" s="128">
        <f>SUM(G136:H143)*6+SUM(G145:H152)*5+SUM(G154:H161)</f>
        <v>63789.051690000008</v>
      </c>
      <c r="H98" s="129"/>
      <c r="I98" s="129"/>
      <c r="J98" s="130"/>
    </row>
    <row r="99" spans="1:12" s="45" customFormat="1" ht="16" thickBot="1" x14ac:dyDescent="0.4">
      <c r="A99" s="131" t="s">
        <v>204</v>
      </c>
      <c r="B99" s="132"/>
      <c r="C99" s="55">
        <f>COUNT(D165:E171)*13+COUNT(D173,D175:E179)*2</f>
        <v>103</v>
      </c>
      <c r="D99" s="133">
        <f>SUM(D165:E171)*13+SUM(D173,D175:E179)*2</f>
        <v>65920.673519999982</v>
      </c>
      <c r="E99" s="134"/>
      <c r="F99" s="135"/>
      <c r="G99" s="133">
        <f>SUM(G165:H171)*13+SUM(G173,G175:H179)*2</f>
        <v>98881.010280000002</v>
      </c>
      <c r="H99" s="134"/>
      <c r="I99" s="134"/>
      <c r="J99" s="135"/>
    </row>
    <row r="100" spans="1:12" s="45" customFormat="1" ht="16" thickBot="1" x14ac:dyDescent="0.4">
      <c r="A100" s="139" t="s">
        <v>76</v>
      </c>
      <c r="B100" s="140"/>
      <c r="C100" s="56">
        <f>SUM(C97:C99)</f>
        <v>295</v>
      </c>
      <c r="D100" s="141">
        <f>SUM(D97:F99)</f>
        <v>147210.18085799998</v>
      </c>
      <c r="E100" s="142"/>
      <c r="F100" s="143"/>
      <c r="G100" s="144">
        <f>SUM(G97:J99)</f>
        <v>225724.94696700003</v>
      </c>
      <c r="H100" s="145"/>
      <c r="I100" s="145"/>
      <c r="J100" s="146"/>
    </row>
    <row r="101" spans="1:12" s="44" customFormat="1" x14ac:dyDescent="0.35">
      <c r="A101" s="147" t="s">
        <v>77</v>
      </c>
      <c r="B101" s="148"/>
      <c r="C101" s="148"/>
      <c r="D101" s="148"/>
      <c r="E101" s="148"/>
      <c r="F101" s="148"/>
      <c r="G101" s="148"/>
      <c r="H101" s="148"/>
      <c r="I101" s="148"/>
      <c r="J101" s="149"/>
    </row>
    <row r="102" spans="1:12" x14ac:dyDescent="0.35">
      <c r="A102" s="233" t="s">
        <v>78</v>
      </c>
      <c r="B102" s="233"/>
      <c r="C102" s="233"/>
      <c r="D102" s="233"/>
      <c r="E102" s="233"/>
      <c r="F102" s="233"/>
      <c r="G102" s="233"/>
      <c r="H102" s="233"/>
      <c r="I102" s="233"/>
      <c r="J102" s="233"/>
    </row>
    <row r="103" spans="1:12" ht="42" x14ac:dyDescent="0.35">
      <c r="A103" s="234" t="s">
        <v>133</v>
      </c>
      <c r="B103" s="234"/>
      <c r="C103" s="1" t="s">
        <v>79</v>
      </c>
      <c r="D103" s="234" t="s">
        <v>80</v>
      </c>
      <c r="E103" s="234"/>
      <c r="F103" s="8" t="s">
        <v>81</v>
      </c>
      <c r="G103" s="1" t="s">
        <v>82</v>
      </c>
      <c r="H103" s="1" t="s">
        <v>83</v>
      </c>
      <c r="I103" s="234" t="s">
        <v>84</v>
      </c>
      <c r="J103" s="234"/>
    </row>
    <row r="104" spans="1:12" s="48" customFormat="1" x14ac:dyDescent="0.35">
      <c r="A104" s="235" t="s">
        <v>143</v>
      </c>
      <c r="B104" s="235"/>
      <c r="C104" s="235"/>
      <c r="D104" s="235"/>
      <c r="E104" s="235"/>
      <c r="F104" s="235"/>
      <c r="G104" s="235"/>
      <c r="H104" s="235"/>
      <c r="I104" s="235"/>
      <c r="J104" s="235"/>
    </row>
    <row r="105" spans="1:12" s="48" customFormat="1" x14ac:dyDescent="0.35">
      <c r="A105" s="235" t="s">
        <v>205</v>
      </c>
      <c r="B105" s="235"/>
      <c r="C105" s="235"/>
      <c r="D105" s="235"/>
      <c r="E105" s="235"/>
      <c r="F105" s="235"/>
      <c r="G105" s="235"/>
      <c r="H105" s="235"/>
      <c r="I105" s="235"/>
      <c r="J105" s="235"/>
    </row>
    <row r="106" spans="1:12" s="48" customFormat="1" x14ac:dyDescent="0.35">
      <c r="A106" s="235" t="s">
        <v>144</v>
      </c>
      <c r="B106" s="235"/>
      <c r="C106" s="235"/>
      <c r="D106" s="235"/>
      <c r="E106" s="235"/>
      <c r="F106" s="235"/>
      <c r="G106" s="235"/>
      <c r="H106" s="235"/>
      <c r="I106" s="235"/>
      <c r="J106" s="235"/>
    </row>
    <row r="107" spans="1:12" s="48" customFormat="1" x14ac:dyDescent="0.35">
      <c r="A107" s="236">
        <v>1</v>
      </c>
      <c r="B107" s="236"/>
      <c r="C107" s="2" t="s">
        <v>145</v>
      </c>
      <c r="D107" s="236">
        <f>(2.9*3.75+2.2*1.5+2.8*3+1.8*1.2+1.2*1.8+0.9*2.2+0.4*1.2+0.4*1.1+0.4*1.4+1.1*2.2+0.75*2.8)*10.764</f>
        <v>375.39449999999999</v>
      </c>
      <c r="E107" s="236"/>
      <c r="F107" s="2">
        <f>(1.1*2.9)*10.764</f>
        <v>34.337159999999997</v>
      </c>
      <c r="G107" s="2">
        <f>D107*1.5+F107</f>
        <v>597.42891000000009</v>
      </c>
      <c r="H107" s="2" t="s">
        <v>85</v>
      </c>
      <c r="I107" s="236" t="str">
        <f>A106</f>
        <v>1st, 3rd, 5th,7th, 9th &amp; 11th Floor</v>
      </c>
      <c r="J107" s="236"/>
      <c r="K107" s="48">
        <f>(35.67)*10.764</f>
        <v>383.95188000000002</v>
      </c>
      <c r="L107" s="48">
        <f>(2.8*3.75+2.2*1.5+2.8*3+1.8*1.2+1.2*1.8+0.9*2.2+1.2*0.5+0.4*1.7+0.6*1.4)*10.764</f>
        <v>329.59368000000001</v>
      </c>
    </row>
    <row r="108" spans="1:12" s="48" customFormat="1" x14ac:dyDescent="0.35">
      <c r="A108" s="236">
        <v>2</v>
      </c>
      <c r="B108" s="236"/>
      <c r="C108" s="2" t="s">
        <v>145</v>
      </c>
      <c r="D108" s="236">
        <f>(2.9*3.75+2.2*1.5+2.8*3+1.8*1.2+1.2*1.8+0.9*2.2+0.4*1.2+0.4*1.1+0.4*1.4+1.1*2.2+0.75*2.8)*10.764</f>
        <v>375.39449999999999</v>
      </c>
      <c r="E108" s="236"/>
      <c r="F108" s="2">
        <f>(1.1*2.9)*10.764</f>
        <v>34.337159999999997</v>
      </c>
      <c r="G108" s="2">
        <f t="shared" ref="G108:G114" si="0">D108*1.5+F108</f>
        <v>597.42891000000009</v>
      </c>
      <c r="H108" s="2" t="s">
        <v>85</v>
      </c>
      <c r="I108" s="236"/>
      <c r="J108" s="236"/>
      <c r="K108" s="48">
        <f>(35.67)*10.764</f>
        <v>383.95188000000002</v>
      </c>
    </row>
    <row r="109" spans="1:12" s="48" customFormat="1" x14ac:dyDescent="0.35">
      <c r="A109" s="236">
        <v>3</v>
      </c>
      <c r="B109" s="236"/>
      <c r="C109" s="2" t="s">
        <v>145</v>
      </c>
      <c r="D109" s="236">
        <f>(2.8*3.75+2.2*1.5+2.75*2.4+0.9*1.2+1.8*1.65+0.9*2.2+0.4*1.2+0.39*0.9+1.1*2.2+1.1*2.75+0.75*3.7+0.4*1.2)*10.764</f>
        <v>387.08420399999989</v>
      </c>
      <c r="E109" s="236"/>
      <c r="F109" s="2">
        <f>(1.1*2.9)*10.764</f>
        <v>34.337159999999997</v>
      </c>
      <c r="G109" s="2">
        <f t="shared" si="0"/>
        <v>614.96346599999993</v>
      </c>
      <c r="H109" s="2" t="s">
        <v>85</v>
      </c>
      <c r="I109" s="236"/>
      <c r="J109" s="236"/>
      <c r="K109" s="48">
        <f>(34.89+0.75*2.4)*10.764</f>
        <v>394.93115999999998</v>
      </c>
    </row>
    <row r="110" spans="1:12" s="48" customFormat="1" x14ac:dyDescent="0.35">
      <c r="A110" s="236">
        <v>4</v>
      </c>
      <c r="B110" s="236"/>
      <c r="C110" s="2" t="s">
        <v>145</v>
      </c>
      <c r="D110" s="236">
        <f>(2.8*3.75+2.2*1.5+2.75*2.4+0.9*1.2+1.8*1.65+1.2*0.4+0.5*1.2+2.2*1+2.75*1.1+2.2*1.1+3.5*0.75)*10.764</f>
        <v>385.35119999999995</v>
      </c>
      <c r="E110" s="236"/>
      <c r="F110" s="2">
        <f>(1.2*2.8)*10.764</f>
        <v>36.167039999999993</v>
      </c>
      <c r="G110" s="2">
        <f t="shared" si="0"/>
        <v>614.19383999999991</v>
      </c>
      <c r="H110" s="2" t="s">
        <v>85</v>
      </c>
      <c r="I110" s="236"/>
      <c r="J110" s="236"/>
      <c r="K110" s="48">
        <f>(34.86)*10.764</f>
        <v>375.23303999999996</v>
      </c>
    </row>
    <row r="111" spans="1:12" s="48" customFormat="1" x14ac:dyDescent="0.35">
      <c r="A111" s="236">
        <v>5</v>
      </c>
      <c r="B111" s="236"/>
      <c r="C111" s="2" t="s">
        <v>145</v>
      </c>
      <c r="D111" s="236">
        <f>(4.2*2.8+2.4*2.2+2.4*2.75+1.2*0.9+1.65*1.2+0.9*1.2+1.25*2.2+1.1*2.75)*10.764</f>
        <v>361.18601999999998</v>
      </c>
      <c r="E111" s="236"/>
      <c r="F111" s="2">
        <f>(1.2*2.8)*10.764</f>
        <v>36.167039999999993</v>
      </c>
      <c r="G111" s="2">
        <f t="shared" si="0"/>
        <v>577.94606999999996</v>
      </c>
      <c r="H111" s="2" t="s">
        <v>85</v>
      </c>
      <c r="I111" s="236"/>
      <c r="J111" s="236"/>
      <c r="K111" s="48">
        <f>(35.35)*10.764</f>
        <v>380.50740000000002</v>
      </c>
    </row>
    <row r="112" spans="1:12" s="48" customFormat="1" x14ac:dyDescent="0.35">
      <c r="A112" s="236">
        <v>6</v>
      </c>
      <c r="B112" s="236"/>
      <c r="C112" s="2" t="s">
        <v>146</v>
      </c>
      <c r="D112" s="236">
        <f>(4.1*3.05+1.5*1.35+2.35*2.1+1.35*3.05+2.75*2.4+1.35*1.8+0.9*1+0.4*3.05+1.4*2.1+1.4*3.05+1.25*2.75+0.75*2.8+1.2*2.2)*10.764</f>
        <v>539.49167999999997</v>
      </c>
      <c r="E112" s="236"/>
      <c r="F112" s="2">
        <f>(1.1*3.05)*10.764</f>
        <v>36.113219999999998</v>
      </c>
      <c r="G112" s="2">
        <f t="shared" si="0"/>
        <v>845.35073999999986</v>
      </c>
      <c r="H112" s="2" t="s">
        <v>85</v>
      </c>
      <c r="I112" s="236"/>
      <c r="J112" s="236"/>
      <c r="K112" s="48">
        <f>(50.33)*10.764</f>
        <v>541.75211999999999</v>
      </c>
    </row>
    <row r="113" spans="1:11" s="48" customFormat="1" x14ac:dyDescent="0.35">
      <c r="A113" s="236">
        <v>7</v>
      </c>
      <c r="B113" s="236"/>
      <c r="C113" s="2" t="s">
        <v>146</v>
      </c>
      <c r="D113" s="236">
        <f>(4.1*3.05+1.5*1.35+2.35*2.1+1.35*3.05+2.75*2.4+1.35*1.8+0.9*1+0.4*3.05+1.4*2.1+1.4*3.05+1.25*2.75+0.75*2.8+1.2*2.2)*10.764</f>
        <v>539.49167999999997</v>
      </c>
      <c r="E113" s="236"/>
      <c r="F113" s="2">
        <f>(1.1*3.05)*10.764</f>
        <v>36.113219999999998</v>
      </c>
      <c r="G113" s="2">
        <f t="shared" si="0"/>
        <v>845.35073999999986</v>
      </c>
      <c r="H113" s="2" t="s">
        <v>85</v>
      </c>
      <c r="I113" s="236"/>
      <c r="J113" s="236"/>
      <c r="K113" s="48">
        <f>(50.33)*10.764</f>
        <v>541.75211999999999</v>
      </c>
    </row>
    <row r="114" spans="1:11" s="48" customFormat="1" x14ac:dyDescent="0.35">
      <c r="A114" s="236">
        <v>8</v>
      </c>
      <c r="B114" s="236"/>
      <c r="C114" s="2" t="s">
        <v>145</v>
      </c>
      <c r="D114" s="236">
        <f>(4.2*2.4+2.35*2.2+3.5*2.75+1.2*0.9+1.65*1.2+0.9*1.2+0.4*4.2+1.4*2.2+0.75*2.75)*10.764</f>
        <v>385.75484999999998</v>
      </c>
      <c r="E114" s="236"/>
      <c r="F114" s="2">
        <f>(1.1*2.8)*10.764</f>
        <v>33.153120000000001</v>
      </c>
      <c r="G114" s="2">
        <f t="shared" si="0"/>
        <v>611.78539499999988</v>
      </c>
      <c r="H114" s="2" t="s">
        <v>85</v>
      </c>
      <c r="I114" s="236"/>
      <c r="J114" s="236"/>
      <c r="K114" s="48">
        <f>(35.35)*10.764</f>
        <v>380.50740000000002</v>
      </c>
    </row>
    <row r="115" spans="1:11" s="48" customFormat="1" x14ac:dyDescent="0.35">
      <c r="A115" s="78" t="s">
        <v>147</v>
      </c>
      <c r="B115" s="79"/>
      <c r="C115" s="79"/>
      <c r="D115" s="79"/>
      <c r="E115" s="79"/>
      <c r="F115" s="79"/>
      <c r="G115" s="79"/>
      <c r="H115" s="79"/>
      <c r="I115" s="79"/>
      <c r="J115" s="80"/>
    </row>
    <row r="116" spans="1:11" s="48" customFormat="1" x14ac:dyDescent="0.35">
      <c r="A116" s="76">
        <v>1</v>
      </c>
      <c r="B116" s="77"/>
      <c r="C116" s="2" t="s">
        <v>145</v>
      </c>
      <c r="D116" s="76">
        <f>(2.8*3.75+2.2*1.5+2.8*2.8+1.8*1.2+1.2*1.8+0.9*2.2+0.4*1.2+0.4*1.1+0.4*1.4+1.1*2.2+0.75*2.8)*10.764</f>
        <v>365.33016000000003</v>
      </c>
      <c r="E116" s="77"/>
      <c r="F116" s="2">
        <f>(1.1*2.8)*10.764</f>
        <v>33.153120000000001</v>
      </c>
      <c r="G116" s="2">
        <f>D116*1.5+F116</f>
        <v>581.14836000000014</v>
      </c>
      <c r="H116" s="2" t="s">
        <v>85</v>
      </c>
      <c r="I116" s="81" t="str">
        <f>A115</f>
        <v>2nd, 4th, 6th, 10th &amp; 12th Floor</v>
      </c>
      <c r="J116" s="82"/>
      <c r="K116" s="48">
        <f>(35.67)*10.764</f>
        <v>383.95188000000002</v>
      </c>
    </row>
    <row r="117" spans="1:11" s="48" customFormat="1" x14ac:dyDescent="0.35">
      <c r="A117" s="76">
        <v>2</v>
      </c>
      <c r="B117" s="77"/>
      <c r="C117" s="2" t="s">
        <v>145</v>
      </c>
      <c r="D117" s="76">
        <f>(2.8*3.75+2.2*1.5+2.8*2.8+1.8*1.2+1.2*1.8+0.9*2.2+0.4*1.2+0.4*1.1+0.4*1.4+1.1*2.2+0.75*2.8)*10.764</f>
        <v>365.33016000000003</v>
      </c>
      <c r="E117" s="77"/>
      <c r="F117" s="2">
        <f>(1.1*2.8)*10.764</f>
        <v>33.153120000000001</v>
      </c>
      <c r="G117" s="2">
        <f t="shared" ref="G117:G123" si="1">D117*1.5+F117</f>
        <v>581.14836000000014</v>
      </c>
      <c r="H117" s="2" t="s">
        <v>85</v>
      </c>
      <c r="I117" s="83"/>
      <c r="J117" s="84"/>
      <c r="K117" s="48">
        <f>(35.67)*10.764</f>
        <v>383.95188000000002</v>
      </c>
    </row>
    <row r="118" spans="1:11" s="48" customFormat="1" x14ac:dyDescent="0.35">
      <c r="A118" s="76">
        <v>3</v>
      </c>
      <c r="B118" s="77"/>
      <c r="C118" s="2" t="s">
        <v>145</v>
      </c>
      <c r="D118" s="76">
        <f>(2.8*3.75+2.2*1.5+2.75*2.4+0.9*1.2+1.8*1.65+0.9*2.2+0.4*1.2+0.39*0.9+1.1*2.2+1.1*2.75+0.75*3.7+0.4*1.2+2.8*0.75)*10.764</f>
        <v>409.68860399999988</v>
      </c>
      <c r="E118" s="77"/>
      <c r="F118" s="2">
        <v>0</v>
      </c>
      <c r="G118" s="2">
        <f t="shared" si="1"/>
        <v>614.5329059999998</v>
      </c>
      <c r="H118" s="2" t="s">
        <v>85</v>
      </c>
      <c r="I118" s="83"/>
      <c r="J118" s="84"/>
      <c r="K118" s="48">
        <f>(34.6)*10.764</f>
        <v>372.43439999999998</v>
      </c>
    </row>
    <row r="119" spans="1:11" s="48" customFormat="1" x14ac:dyDescent="0.35">
      <c r="A119" s="76">
        <v>4</v>
      </c>
      <c r="B119" s="77"/>
      <c r="C119" s="2" t="s">
        <v>145</v>
      </c>
      <c r="D119" s="76">
        <f>(3.75*2.8+1.5*2.2+2.4*2.75+1.65*1.2+1.2*0.9+0.9*2.2+0.4*1.2+0.4*2.9+1.1*2.75+0.75*3.7+0.75*2.8)*10.764</f>
        <v>376.52472</v>
      </c>
      <c r="E119" s="77"/>
      <c r="F119" s="2">
        <v>0</v>
      </c>
      <c r="G119" s="2">
        <f t="shared" si="1"/>
        <v>564.78708000000006</v>
      </c>
      <c r="H119" s="2" t="s">
        <v>85</v>
      </c>
      <c r="I119" s="83"/>
      <c r="J119" s="84"/>
      <c r="K119" s="48">
        <f>(34.57)*10.764</f>
        <v>372.11147999999997</v>
      </c>
    </row>
    <row r="120" spans="1:11" s="48" customFormat="1" x14ac:dyDescent="0.35">
      <c r="A120" s="76">
        <v>5</v>
      </c>
      <c r="B120" s="77"/>
      <c r="C120" s="2" t="s">
        <v>145</v>
      </c>
      <c r="D120" s="76">
        <f>(4.2*2.8+1.65*2.2+2.4*2.75+1.2*0.9+1.65*1.2+0.9*1.2+2*2.2+1.1*2.75+0.75*2.8)*10.764</f>
        <v>383.79041999999998</v>
      </c>
      <c r="E120" s="77"/>
      <c r="F120" s="2">
        <v>0</v>
      </c>
      <c r="G120" s="2">
        <f t="shared" si="1"/>
        <v>575.68562999999995</v>
      </c>
      <c r="H120" s="2" t="s">
        <v>85</v>
      </c>
      <c r="I120" s="83"/>
      <c r="J120" s="84"/>
      <c r="K120" s="48">
        <f>(34.95)*10.764</f>
        <v>376.20179999999999</v>
      </c>
    </row>
    <row r="121" spans="1:11" s="48" customFormat="1" x14ac:dyDescent="0.35">
      <c r="A121" s="76">
        <v>6</v>
      </c>
      <c r="B121" s="77"/>
      <c r="C121" s="2" t="s">
        <v>146</v>
      </c>
      <c r="D121" s="76">
        <f>(4.1*3.05+1.5*1.35+2.35*2.1+1.35*3.05+2.75*2.4+1.35*1.8+0.9*1+0.4*3.05+1.4*2.1+1.4*3.05+1.25*2.75+0.75*3.05+1.2*2.2)*10.764</f>
        <v>541.50992999999994</v>
      </c>
      <c r="E121" s="77"/>
      <c r="F121" s="2">
        <f>(1.1*2.8)*10.764</f>
        <v>33.153120000000001</v>
      </c>
      <c r="G121" s="2">
        <f t="shared" si="1"/>
        <v>845.41801499999997</v>
      </c>
      <c r="H121" s="2" t="s">
        <v>85</v>
      </c>
      <c r="I121" s="83"/>
      <c r="J121" s="84"/>
      <c r="K121" s="48">
        <f>(49.91)*10.764</f>
        <v>537.23123999999996</v>
      </c>
    </row>
    <row r="122" spans="1:11" s="48" customFormat="1" x14ac:dyDescent="0.35">
      <c r="A122" s="76">
        <v>7</v>
      </c>
      <c r="B122" s="77"/>
      <c r="C122" s="2" t="s">
        <v>146</v>
      </c>
      <c r="D122" s="76">
        <f>(4.1*3.05+1.5*1.35+2.35*2.1+1.35*3.05+2.75*2.4+1.35*1.8+0.9*1+0.4*3.05+1.4*2.1+1.4*3.05+1.25*2.75+0.75*3.05+1.2*2.2)*10.764</f>
        <v>541.50992999999994</v>
      </c>
      <c r="E122" s="77"/>
      <c r="F122" s="2">
        <f>(1.1*2.8)*10.764</f>
        <v>33.153120000000001</v>
      </c>
      <c r="G122" s="2">
        <f t="shared" si="1"/>
        <v>845.41801499999997</v>
      </c>
      <c r="H122" s="2" t="s">
        <v>85</v>
      </c>
      <c r="I122" s="83"/>
      <c r="J122" s="84"/>
      <c r="K122" s="48">
        <f>(49.91)*10.764</f>
        <v>537.23123999999996</v>
      </c>
    </row>
    <row r="123" spans="1:11" s="48" customFormat="1" x14ac:dyDescent="0.35">
      <c r="A123" s="76">
        <v>8</v>
      </c>
      <c r="B123" s="77"/>
      <c r="C123" s="2" t="s">
        <v>145</v>
      </c>
      <c r="D123" s="76">
        <f>(4.2*2.4+2.35*2.2+3.5*2.75+1.2*0.9+1.65*1.2+0.9*1.2+0.4*4.2+1.4*2.2+0.75*2.75)*10.764</f>
        <v>385.75484999999998</v>
      </c>
      <c r="E123" s="77"/>
      <c r="F123" s="2">
        <f>(1.1*2.75)*10.764</f>
        <v>32.561100000000003</v>
      </c>
      <c r="G123" s="2">
        <f t="shared" si="1"/>
        <v>611.19337499999995</v>
      </c>
      <c r="H123" s="2" t="s">
        <v>85</v>
      </c>
      <c r="I123" s="85"/>
      <c r="J123" s="86"/>
      <c r="K123" s="48">
        <f>(35.24)*10.764</f>
        <v>379.32335999999998</v>
      </c>
    </row>
    <row r="124" spans="1:11" s="48" customFormat="1" x14ac:dyDescent="0.35">
      <c r="A124" s="78" t="s">
        <v>160</v>
      </c>
      <c r="B124" s="79"/>
      <c r="C124" s="79"/>
      <c r="D124" s="79"/>
      <c r="E124" s="79"/>
      <c r="F124" s="79"/>
      <c r="G124" s="79"/>
      <c r="H124" s="79"/>
      <c r="I124" s="79"/>
      <c r="J124" s="80"/>
    </row>
    <row r="125" spans="1:11" s="48" customFormat="1" ht="15.75" customHeight="1" x14ac:dyDescent="0.35">
      <c r="A125" s="76">
        <v>1</v>
      </c>
      <c r="B125" s="77"/>
      <c r="C125" s="2" t="s">
        <v>145</v>
      </c>
      <c r="D125" s="76">
        <f>(2.8*3.75+2.2*1.5+2.8*2.8+1.8*1.2+1.2*1.8+0.9*2.2+0.4*1.2+0.4*1.1+0.4*1.4+1.1*2.2+0.75*2.8)*10.764</f>
        <v>365.33016000000003</v>
      </c>
      <c r="E125" s="77"/>
      <c r="F125" s="2">
        <f>(1.1*2.8)*10.764</f>
        <v>33.153120000000001</v>
      </c>
      <c r="G125" s="2">
        <f>D125*1.5+F125</f>
        <v>581.14836000000014</v>
      </c>
      <c r="H125" s="2" t="s">
        <v>85</v>
      </c>
      <c r="I125" s="81" t="s">
        <v>161</v>
      </c>
      <c r="J125" s="82"/>
      <c r="K125" s="48">
        <f>(35.67)*10.764</f>
        <v>383.95188000000002</v>
      </c>
    </row>
    <row r="126" spans="1:11" s="48" customFormat="1" x14ac:dyDescent="0.35">
      <c r="A126" s="76">
        <v>2</v>
      </c>
      <c r="B126" s="77"/>
      <c r="C126" s="2" t="s">
        <v>145</v>
      </c>
      <c r="D126" s="76">
        <f>(2.8*3.75+2.2*1.5+2.8*2.8+1.8*1.2+1.2*1.8+0.9*2.2+0.4*1.2+0.4*1.1+0.4*1.4+1.1*2.2+0.75*2.8)*10.764</f>
        <v>365.33016000000003</v>
      </c>
      <c r="E126" s="77"/>
      <c r="F126" s="2">
        <f>(1.1*2.8)*10.764</f>
        <v>33.153120000000001</v>
      </c>
      <c r="G126" s="2">
        <f t="shared" ref="G126:G132" si="2">D126*1.5+F126</f>
        <v>581.14836000000014</v>
      </c>
      <c r="H126" s="2" t="s">
        <v>85</v>
      </c>
      <c r="I126" s="83"/>
      <c r="J126" s="84"/>
      <c r="K126" s="48">
        <f>(35.67)*10.764</f>
        <v>383.95188000000002</v>
      </c>
    </row>
    <row r="127" spans="1:11" s="48" customFormat="1" x14ac:dyDescent="0.35">
      <c r="A127" s="76">
        <v>3</v>
      </c>
      <c r="B127" s="77"/>
      <c r="C127" s="2" t="s">
        <v>145</v>
      </c>
      <c r="D127" s="76">
        <f>(2.8*3.75+2.2*1.5+2.75*2.4+0.9*1.2+1.8*1.65+0.9*2.2+0.4*1.2+0.39*0.9+1.1*2.2+1.1*2.75+0.4*1.75+0.75*2.8)*10.764</f>
        <v>382.18658399999998</v>
      </c>
      <c r="E127" s="77"/>
      <c r="F127" s="2">
        <v>0</v>
      </c>
      <c r="G127" s="2">
        <f t="shared" si="2"/>
        <v>573.27987599999994</v>
      </c>
      <c r="H127" s="2" t="s">
        <v>85</v>
      </c>
      <c r="I127" s="83"/>
      <c r="J127" s="84"/>
      <c r="K127" s="48">
        <f>(34.6)*10.764</f>
        <v>372.43439999999998</v>
      </c>
    </row>
    <row r="128" spans="1:11" s="48" customFormat="1" x14ac:dyDescent="0.35">
      <c r="A128" s="76">
        <v>4</v>
      </c>
      <c r="B128" s="77"/>
      <c r="C128" s="2" t="s">
        <v>145</v>
      </c>
      <c r="D128" s="76">
        <f>(3.75*2.8+1.5*2.2+2.4*2.75+1.65*1.2+1.2*0.9+0.9*2.2+0.4*1.2+0.4*2.9+1.1*2.75+0.75*2.8)*10.764</f>
        <v>346.65462000000002</v>
      </c>
      <c r="E128" s="77"/>
      <c r="F128" s="2">
        <v>0</v>
      </c>
      <c r="G128" s="2">
        <f t="shared" si="2"/>
        <v>519.98193000000003</v>
      </c>
      <c r="H128" s="2" t="s">
        <v>85</v>
      </c>
      <c r="I128" s="83"/>
      <c r="J128" s="84"/>
      <c r="K128" s="48">
        <f>(34.57)*10.764</f>
        <v>372.11147999999997</v>
      </c>
    </row>
    <row r="129" spans="1:12" s="48" customFormat="1" x14ac:dyDescent="0.35">
      <c r="A129" s="76">
        <v>5</v>
      </c>
      <c r="B129" s="77"/>
      <c r="C129" s="2" t="s">
        <v>145</v>
      </c>
      <c r="D129" s="76">
        <f>(4.2*2.8+1.65*2.2+2.4*2.75+1.2*0.9+1.65*1.2+0.9*1.2+2*2.2+1.1*2.75+0.75*2.8)*10.764</f>
        <v>383.79041999999998</v>
      </c>
      <c r="E129" s="77"/>
      <c r="F129" s="2">
        <v>0</v>
      </c>
      <c r="G129" s="2">
        <f t="shared" si="2"/>
        <v>575.68562999999995</v>
      </c>
      <c r="H129" s="2" t="s">
        <v>85</v>
      </c>
      <c r="I129" s="83"/>
      <c r="J129" s="84"/>
      <c r="K129" s="48">
        <f>(34.95)*10.764</f>
        <v>376.20179999999999</v>
      </c>
    </row>
    <row r="130" spans="1:12" s="48" customFormat="1" x14ac:dyDescent="0.35">
      <c r="A130" s="76">
        <v>6</v>
      </c>
      <c r="B130" s="77"/>
      <c r="C130" s="2" t="s">
        <v>146</v>
      </c>
      <c r="D130" s="76">
        <f>(4.1*3.05+1.5*1.35+2.35*2.1+1.35*3.05+2.75*2.4+1.35*1.8+0.9*1+0.4*3.05+1.4*2.1+1.4*3.05+1.25*2.75+0.75*3.05+1.2*2.2)*10.764</f>
        <v>541.50992999999994</v>
      </c>
      <c r="E130" s="77"/>
      <c r="F130" s="2">
        <f>(1.1*2.8)*10.764</f>
        <v>33.153120000000001</v>
      </c>
      <c r="G130" s="2">
        <f t="shared" si="2"/>
        <v>845.41801499999997</v>
      </c>
      <c r="H130" s="2" t="s">
        <v>85</v>
      </c>
      <c r="I130" s="83"/>
      <c r="J130" s="84"/>
      <c r="K130" s="48">
        <f>(49.91)*10.764</f>
        <v>537.23123999999996</v>
      </c>
      <c r="L130" s="48" t="s">
        <v>162</v>
      </c>
    </row>
    <row r="131" spans="1:12" s="48" customFormat="1" ht="15.75" customHeight="1" x14ac:dyDescent="0.35">
      <c r="A131" s="76">
        <v>7</v>
      </c>
      <c r="B131" s="77"/>
      <c r="C131" s="2" t="s">
        <v>146</v>
      </c>
      <c r="D131" s="76">
        <f>(4.1*3.05+1.5*1.35+2.35*2.1+1.35*3.05+2.75*2.4+1.35*1.8+0.9*1+0.4*3.05+1.4*2.1+1.4*3.05+1.25*2.75+0.75*3.05+1.2*2.2)*10.764</f>
        <v>541.50992999999994</v>
      </c>
      <c r="E131" s="77"/>
      <c r="F131" s="2">
        <f>(1.1*2.8)*10.764</f>
        <v>33.153120000000001</v>
      </c>
      <c r="G131" s="2">
        <f t="shared" si="2"/>
        <v>845.41801499999997</v>
      </c>
      <c r="H131" s="2" t="s">
        <v>85</v>
      </c>
      <c r="I131" s="83"/>
      <c r="J131" s="84"/>
      <c r="K131" s="48">
        <f>(49.91)*10.764</f>
        <v>537.23123999999996</v>
      </c>
    </row>
    <row r="132" spans="1:12" s="48" customFormat="1" x14ac:dyDescent="0.35">
      <c r="A132" s="76">
        <v>8</v>
      </c>
      <c r="B132" s="77"/>
      <c r="C132" s="2" t="s">
        <v>145</v>
      </c>
      <c r="D132" s="76">
        <f>(4.2*2.4+1.65*2.2+3.5*2.75+1.2*0.9+1.65*1.2+0.9*1.2+0.4*4.2+2*2.2+0.75*2.9)*10.764</f>
        <v>384.59771999999992</v>
      </c>
      <c r="E132" s="77"/>
      <c r="F132" s="2">
        <f>(1.1*2.75)*10.764</f>
        <v>32.561100000000003</v>
      </c>
      <c r="G132" s="2">
        <f t="shared" si="2"/>
        <v>609.45767999999987</v>
      </c>
      <c r="H132" s="2" t="s">
        <v>85</v>
      </c>
      <c r="I132" s="85"/>
      <c r="J132" s="86"/>
      <c r="K132" s="48">
        <f>(35.24)*10.764</f>
        <v>379.32335999999998</v>
      </c>
    </row>
    <row r="133" spans="1:12" s="48" customFormat="1" x14ac:dyDescent="0.35">
      <c r="A133" s="78" t="s">
        <v>148</v>
      </c>
      <c r="B133" s="79"/>
      <c r="C133" s="79"/>
      <c r="D133" s="79"/>
      <c r="E133" s="79"/>
      <c r="F133" s="79"/>
      <c r="G133" s="79"/>
      <c r="H133" s="79"/>
      <c r="I133" s="79"/>
      <c r="J133" s="80"/>
    </row>
    <row r="134" spans="1:12" s="48" customFormat="1" ht="15.75" customHeight="1" x14ac:dyDescent="0.35">
      <c r="A134" s="78" t="s">
        <v>205</v>
      </c>
      <c r="B134" s="79"/>
      <c r="C134" s="79"/>
      <c r="D134" s="79"/>
      <c r="E134" s="79"/>
      <c r="F134" s="79"/>
      <c r="G134" s="79"/>
      <c r="H134" s="79"/>
      <c r="I134" s="79"/>
      <c r="J134" s="80"/>
    </row>
    <row r="135" spans="1:12" s="48" customFormat="1" ht="15.75" customHeight="1" x14ac:dyDescent="0.35">
      <c r="A135" s="78" t="s">
        <v>144</v>
      </c>
      <c r="B135" s="79"/>
      <c r="C135" s="79"/>
      <c r="D135" s="79"/>
      <c r="E135" s="79"/>
      <c r="F135" s="79"/>
      <c r="G135" s="79"/>
      <c r="H135" s="79"/>
      <c r="I135" s="79"/>
      <c r="J135" s="80"/>
    </row>
    <row r="136" spans="1:12" s="48" customFormat="1" x14ac:dyDescent="0.35">
      <c r="A136" s="76">
        <v>1</v>
      </c>
      <c r="B136" s="77"/>
      <c r="C136" s="2" t="s">
        <v>145</v>
      </c>
      <c r="D136" s="76">
        <f>(4.2*2.4+2.05*2.2+3.05*2.75+1.2*0.9+1.65*1.2+1*1.2+0.45*4.2+1.6*2.2+0.75*2.75+0.45*2.75)*10.764</f>
        <v>386.93888999999996</v>
      </c>
      <c r="E136" s="77"/>
      <c r="F136" s="2">
        <f>(1.1*2.8)*10.764</f>
        <v>33.153120000000001</v>
      </c>
      <c r="G136" s="2">
        <f>D136*1.5+F136</f>
        <v>613.56145500000002</v>
      </c>
      <c r="H136" s="2" t="s">
        <v>85</v>
      </c>
      <c r="I136" s="81" t="str">
        <f>A135</f>
        <v>1st, 3rd, 5th,7th, 9th &amp; 11th Floor</v>
      </c>
      <c r="J136" s="82"/>
      <c r="K136" s="48">
        <f>(35.3)*10.764</f>
        <v>379.96919999999994</v>
      </c>
    </row>
    <row r="137" spans="1:12" s="48" customFormat="1" x14ac:dyDescent="0.35">
      <c r="A137" s="76">
        <v>2</v>
      </c>
      <c r="B137" s="77"/>
      <c r="C137" s="2" t="s">
        <v>146</v>
      </c>
      <c r="D137" s="76">
        <f>(4.1*3.05+1.5*1.35+2.35*2.1+1.35*3.05+2.75*2.4+1.2*2.2+1.35*1.8+0.9*1+0.45*3.05+1.4*2.1+1.4*3.05+1.25*2.75+0.75*2.9)*10.764</f>
        <v>541.94048999999995</v>
      </c>
      <c r="E137" s="77"/>
      <c r="F137" s="2">
        <f>(1.1*3.05)*10.764</f>
        <v>36.113219999999998</v>
      </c>
      <c r="G137" s="2">
        <f t="shared" ref="G137:G143" si="3">D137*1.5+F137</f>
        <v>849.02395499999989</v>
      </c>
      <c r="H137" s="2" t="s">
        <v>85</v>
      </c>
      <c r="I137" s="83"/>
      <c r="J137" s="84"/>
      <c r="K137" s="48">
        <f>(49.36)*10.764</f>
        <v>531.31103999999993</v>
      </c>
      <c r="L137" s="49">
        <f>(3.31)*10.764</f>
        <v>35.628839999999997</v>
      </c>
    </row>
    <row r="138" spans="1:12" s="48" customFormat="1" x14ac:dyDescent="0.35">
      <c r="A138" s="76">
        <v>3</v>
      </c>
      <c r="B138" s="77"/>
      <c r="C138" s="2" t="s">
        <v>146</v>
      </c>
      <c r="D138" s="76">
        <f>(4.1*3.05+1.5*1.35+2.35*2.1+1.35*3.05+2.75*2.4+1.2*2.2+1.35*1.8+0.9*1+0.45*3.05+1.4*2.1+1.4*3.05+1.25*2.75+0.75*2.9)*10.764</f>
        <v>541.94048999999995</v>
      </c>
      <c r="E138" s="77"/>
      <c r="F138" s="2">
        <f>(1.1*3.05)*10.764</f>
        <v>36.113219999999998</v>
      </c>
      <c r="G138" s="2">
        <f t="shared" si="3"/>
        <v>849.02395499999989</v>
      </c>
      <c r="H138" s="2" t="s">
        <v>85</v>
      </c>
      <c r="I138" s="83"/>
      <c r="J138" s="84"/>
      <c r="K138" s="48">
        <f>(49.36)*10.764</f>
        <v>531.31103999999993</v>
      </c>
    </row>
    <row r="139" spans="1:12" s="48" customFormat="1" x14ac:dyDescent="0.35">
      <c r="A139" s="76">
        <v>4</v>
      </c>
      <c r="B139" s="77"/>
      <c r="C139" s="2" t="s">
        <v>145</v>
      </c>
      <c r="D139" s="76">
        <f>(4.2*2.8+2.1*2.2+2.4*2.75+1.2*0.9+1.65*1.2+0.9*1.2+1.2*2.8+1.55*2.2+1.1*2.75)*10.764</f>
        <v>397.35306000000003</v>
      </c>
      <c r="E139" s="77"/>
      <c r="F139" s="2">
        <v>0</v>
      </c>
      <c r="G139" s="2">
        <f t="shared" si="3"/>
        <v>596.0295900000001</v>
      </c>
      <c r="H139" s="2" t="s">
        <v>85</v>
      </c>
      <c r="I139" s="83"/>
      <c r="J139" s="84"/>
      <c r="K139" s="48">
        <f>(35.36+3.29)*10.764</f>
        <v>416.02859999999998</v>
      </c>
    </row>
    <row r="140" spans="1:12" s="48" customFormat="1" x14ac:dyDescent="0.35">
      <c r="A140" s="76">
        <v>5</v>
      </c>
      <c r="B140" s="77"/>
      <c r="C140" s="2" t="s">
        <v>145</v>
      </c>
      <c r="D140" s="76">
        <f>(3.75*2.8+1.5*2.2+2*2.75+1.2*0.9+1.65*1.2+0.4*2.8+0.35*2.4+0.9*2.2+0.4*1.2+1.2*2.8+1.1*2.2+1.1*2.75+0.75*3.3)*10.764</f>
        <v>409.67784</v>
      </c>
      <c r="E140" s="77"/>
      <c r="F140" s="2">
        <v>0</v>
      </c>
      <c r="G140" s="2">
        <f t="shared" si="3"/>
        <v>614.51675999999998</v>
      </c>
      <c r="H140" s="2" t="s">
        <v>85</v>
      </c>
      <c r="I140" s="83"/>
      <c r="J140" s="84"/>
      <c r="K140" s="48">
        <f>(34.66+3.29)*10.764</f>
        <v>408.49379999999991</v>
      </c>
    </row>
    <row r="141" spans="1:12" s="48" customFormat="1" x14ac:dyDescent="0.35">
      <c r="A141" s="76">
        <v>6</v>
      </c>
      <c r="B141" s="77"/>
      <c r="C141" s="2" t="s">
        <v>145</v>
      </c>
      <c r="D141" s="76">
        <f>(2.8*3.75+2.2*1.5+2.75*2+0.9*1.2+1.8*1.65+0.9*2.2+0.45*1.2+0.45*2.8+0.35*2.4+1.1*2.2+1.1*2.75+0.75*3.3)*10.764</f>
        <v>386.31996000000004</v>
      </c>
      <c r="E141" s="77"/>
      <c r="F141" s="2">
        <f>(1.1*2.8)*10.764</f>
        <v>33.153120000000001</v>
      </c>
      <c r="G141" s="2">
        <f t="shared" si="3"/>
        <v>612.63306000000011</v>
      </c>
      <c r="H141" s="2" t="s">
        <v>85</v>
      </c>
      <c r="I141" s="83"/>
      <c r="J141" s="84"/>
      <c r="K141" s="48">
        <f>(34.75)*10.764</f>
        <v>374.04899999999998</v>
      </c>
    </row>
    <row r="142" spans="1:12" s="48" customFormat="1" x14ac:dyDescent="0.35">
      <c r="A142" s="76">
        <v>7</v>
      </c>
      <c r="B142" s="77"/>
      <c r="C142" s="2" t="s">
        <v>145</v>
      </c>
      <c r="D142" s="76">
        <f>(2.8*3.75+2.2*1.5+2.8*3.05+1.8*1.2+1.2*1.8+0.45*2.8+0.9*2.2+0.45*1.2+0.3*1.5+1.1*2.2+0.75*2.8)*10.764</f>
        <v>381.15324000000004</v>
      </c>
      <c r="E142" s="77"/>
      <c r="F142" s="2">
        <f>(1.1*2.8)*10.764</f>
        <v>33.153120000000001</v>
      </c>
      <c r="G142" s="2">
        <f t="shared" si="3"/>
        <v>604.88298000000009</v>
      </c>
      <c r="H142" s="2" t="s">
        <v>85</v>
      </c>
      <c r="I142" s="83"/>
      <c r="J142" s="84"/>
      <c r="K142" s="48">
        <f>(35.36)*10.764</f>
        <v>380.61503999999996</v>
      </c>
    </row>
    <row r="143" spans="1:12" s="48" customFormat="1" x14ac:dyDescent="0.35">
      <c r="A143" s="76">
        <v>8</v>
      </c>
      <c r="B143" s="77"/>
      <c r="C143" s="2" t="s">
        <v>145</v>
      </c>
      <c r="D143" s="76">
        <f>(2.8*3.75+2.2*1.5+2.8*3.05+1.8*1.2+1.2*1.8+0.45*2.8+0.9*2.2+0.45*1.2+0.3*1.5+1.1*2.2+0.5*2.8)*10.764</f>
        <v>373.61843999999996</v>
      </c>
      <c r="E143" s="77"/>
      <c r="F143" s="2">
        <f>(1.1*2.8)*10.764</f>
        <v>33.153120000000001</v>
      </c>
      <c r="G143" s="2">
        <f t="shared" si="3"/>
        <v>593.58078</v>
      </c>
      <c r="H143" s="2" t="s">
        <v>85</v>
      </c>
      <c r="I143" s="85"/>
      <c r="J143" s="86"/>
      <c r="K143" s="48">
        <f>(35.36)*10.764</f>
        <v>380.61503999999996</v>
      </c>
    </row>
    <row r="144" spans="1:12" s="48" customFormat="1" x14ac:dyDescent="0.35">
      <c r="A144" s="78" t="s">
        <v>147</v>
      </c>
      <c r="B144" s="79"/>
      <c r="C144" s="79"/>
      <c r="D144" s="79"/>
      <c r="E144" s="79"/>
      <c r="F144" s="79"/>
      <c r="G144" s="79"/>
      <c r="H144" s="79"/>
      <c r="I144" s="79"/>
      <c r="J144" s="80"/>
    </row>
    <row r="145" spans="1:13" s="48" customFormat="1" x14ac:dyDescent="0.35">
      <c r="A145" s="76">
        <v>1</v>
      </c>
      <c r="B145" s="77"/>
      <c r="C145" s="2" t="s">
        <v>145</v>
      </c>
      <c r="D145" s="76">
        <f>(4.2*2.4+2.05*2.2+3.05*2.75+1.2*0.9+1.65*1.2+0.9*1.2+0.45*4.2+1.6*2.2+0.45*2.75)*10.764</f>
        <v>363.44646</v>
      </c>
      <c r="E145" s="77"/>
      <c r="F145" s="2">
        <f>(1.1*2.75)*10.764</f>
        <v>32.561100000000003</v>
      </c>
      <c r="G145" s="2">
        <f>D145*1.5+F145</f>
        <v>577.73078999999996</v>
      </c>
      <c r="H145" s="2" t="s">
        <v>85</v>
      </c>
      <c r="I145" s="81" t="str">
        <f>A144</f>
        <v>2nd, 4th, 6th, 10th &amp; 12th Floor</v>
      </c>
      <c r="J145" s="82"/>
      <c r="K145" s="48">
        <f>(35.13)*10.764</f>
        <v>378.13932</v>
      </c>
      <c r="L145" s="48">
        <f>(3.15)*10.764</f>
        <v>33.906599999999997</v>
      </c>
    </row>
    <row r="146" spans="1:13" s="48" customFormat="1" x14ac:dyDescent="0.35">
      <c r="A146" s="76">
        <v>2</v>
      </c>
      <c r="B146" s="77"/>
      <c r="C146" s="2" t="s">
        <v>146</v>
      </c>
      <c r="D146" s="76">
        <f>(4.1*3.05+1.5*1.35+2.35*2.1+1.35*3.05+2.75*2.4+1.2*2.2+1.35*1.8+0.9*1+0.45*3.05+1.4*2.1+1.4*3.05+1.25*2.75+0.75*3.05)*10.764</f>
        <v>543.15143999999998</v>
      </c>
      <c r="E146" s="77"/>
      <c r="F146" s="2">
        <f>(1.1*2.9)*10.764</f>
        <v>34.337159999999997</v>
      </c>
      <c r="G146" s="2">
        <f t="shared" ref="G146:G152" si="4">D146*1.5+F146</f>
        <v>849.06431999999995</v>
      </c>
      <c r="H146" s="2" t="s">
        <v>85</v>
      </c>
      <c r="I146" s="83"/>
      <c r="J146" s="84"/>
      <c r="K146" s="48">
        <f>(49.35)*10.764</f>
        <v>531.20339999999999</v>
      </c>
    </row>
    <row r="147" spans="1:13" s="48" customFormat="1" x14ac:dyDescent="0.35">
      <c r="A147" s="76">
        <v>3</v>
      </c>
      <c r="B147" s="77"/>
      <c r="C147" s="2" t="s">
        <v>146</v>
      </c>
      <c r="D147" s="76">
        <f>(4.1*3.05+1.5*1.35+2.35*2.1+1.35*3.05+2.75*2.4+1.2*2.2+1.35*1.8+0.9*1+0.45*3.05+1.4*2.1+1.4*3.05+1.25*2.75+0.75*3.05)*10.764</f>
        <v>543.15143999999998</v>
      </c>
      <c r="E147" s="77"/>
      <c r="F147" s="2">
        <f>(1.1*2.9)*10.764</f>
        <v>34.337159999999997</v>
      </c>
      <c r="G147" s="2">
        <f t="shared" si="4"/>
        <v>849.06431999999995</v>
      </c>
      <c r="H147" s="2" t="s">
        <v>85</v>
      </c>
      <c r="I147" s="83"/>
      <c r="J147" s="84"/>
      <c r="K147" s="48">
        <f>(49.34)*10.764</f>
        <v>531.09576000000004</v>
      </c>
    </row>
    <row r="148" spans="1:13" s="48" customFormat="1" x14ac:dyDescent="0.35">
      <c r="A148" s="76">
        <v>4</v>
      </c>
      <c r="B148" s="77"/>
      <c r="C148" s="2" t="s">
        <v>145</v>
      </c>
      <c r="D148" s="76">
        <f>(4.2*2.8+2.1*2.2+2.4*2.75+1.2*0.9+1.65*1.2+0.9*1.2+1.2*2.8+1.55*2.2+1.1*2.75)*10.764</f>
        <v>397.35306000000003</v>
      </c>
      <c r="E148" s="77"/>
      <c r="F148" s="2">
        <v>0</v>
      </c>
      <c r="G148" s="2">
        <f t="shared" si="4"/>
        <v>596.0295900000001</v>
      </c>
      <c r="H148" s="2" t="s">
        <v>85</v>
      </c>
      <c r="I148" s="83"/>
      <c r="J148" s="84"/>
      <c r="K148" s="48">
        <f>(35.36+3.29)*10.764</f>
        <v>416.02859999999998</v>
      </c>
    </row>
    <row r="149" spans="1:13" s="48" customFormat="1" x14ac:dyDescent="0.35">
      <c r="A149" s="76">
        <v>5</v>
      </c>
      <c r="B149" s="77"/>
      <c r="C149" s="2" t="s">
        <v>145</v>
      </c>
      <c r="D149" s="76">
        <f>(3.75*2.8+1.5*2.2+2*2.75+1.2*0.9+1.65*1.2+0.4*2.8+0.35*2.4+0.9*2.2+0.4*1.2+1.2*2.8+1.1*2.2+1.1*2.75+0.75*3.3)*10.764</f>
        <v>409.67784</v>
      </c>
      <c r="E149" s="77"/>
      <c r="F149" s="2">
        <v>0</v>
      </c>
      <c r="G149" s="2">
        <f t="shared" si="4"/>
        <v>614.51675999999998</v>
      </c>
      <c r="H149" s="2" t="s">
        <v>85</v>
      </c>
      <c r="I149" s="83"/>
      <c r="J149" s="84"/>
      <c r="K149" s="48">
        <f>(34.66+3.29)*10.764</f>
        <v>408.49379999999991</v>
      </c>
    </row>
    <row r="150" spans="1:13" s="48" customFormat="1" x14ac:dyDescent="0.35">
      <c r="A150" s="76">
        <v>6</v>
      </c>
      <c r="B150" s="77"/>
      <c r="C150" s="2" t="s">
        <v>145</v>
      </c>
      <c r="D150" s="76">
        <f>(2.8*3.75+2.2*1.5+2.75*2+0.9*1.2+1.8*1.65+0.9*2.2+0.45*1.2+0.45*2.8+0.35*2.4+1.1*2.2+1.1*2.75+0.75*3.3+2.8*0.75)*10.764</f>
        <v>408.92436000000009</v>
      </c>
      <c r="E150" s="77"/>
      <c r="F150" s="2">
        <v>0</v>
      </c>
      <c r="G150" s="2">
        <f t="shared" si="4"/>
        <v>613.3865400000002</v>
      </c>
      <c r="H150" s="2" t="s">
        <v>85</v>
      </c>
      <c r="I150" s="83"/>
      <c r="J150" s="84"/>
      <c r="K150" s="48">
        <f>(34.45)*10.764</f>
        <v>370.81979999999999</v>
      </c>
    </row>
    <row r="151" spans="1:13" s="48" customFormat="1" x14ac:dyDescent="0.35">
      <c r="A151" s="76">
        <v>7</v>
      </c>
      <c r="B151" s="77"/>
      <c r="C151" s="2" t="s">
        <v>145</v>
      </c>
      <c r="D151" s="76">
        <f>(2.8*3.75+2.2*1.5+2.8*3.05+1.8*1.2+1.2*1.8+0.45*2.8+0.9*2.2+0.45*1.2+0.3*1.5+1.1*2.2+0.75*2.8)*10.764</f>
        <v>381.15324000000004</v>
      </c>
      <c r="E151" s="77"/>
      <c r="F151" s="2">
        <f>(1.1*2.8)*10.764</f>
        <v>33.153120000000001</v>
      </c>
      <c r="G151" s="2">
        <f t="shared" si="4"/>
        <v>604.88298000000009</v>
      </c>
      <c r="H151" s="2" t="s">
        <v>85</v>
      </c>
      <c r="I151" s="83"/>
      <c r="J151" s="84"/>
      <c r="K151" s="48">
        <f>(35.36)*10.764</f>
        <v>380.61503999999996</v>
      </c>
    </row>
    <row r="152" spans="1:13" s="48" customFormat="1" x14ac:dyDescent="0.35">
      <c r="A152" s="76">
        <v>8</v>
      </c>
      <c r="B152" s="77"/>
      <c r="C152" s="2" t="s">
        <v>145</v>
      </c>
      <c r="D152" s="76">
        <f>(2.8*3.75+2.2*1.5+2.8*3.05+1.8*1.2+1.2*1.8+0.45*2.8+0.9*2.2+0.45*1.2+0.3*1.5+1.1*2.2+0.5*2.8)*10.764</f>
        <v>373.61843999999996</v>
      </c>
      <c r="E152" s="77"/>
      <c r="F152" s="2">
        <f>(1.1*2.8)*10.764</f>
        <v>33.153120000000001</v>
      </c>
      <c r="G152" s="2">
        <f t="shared" si="4"/>
        <v>593.58078</v>
      </c>
      <c r="H152" s="2" t="s">
        <v>85</v>
      </c>
      <c r="I152" s="85"/>
      <c r="J152" s="86"/>
      <c r="K152" s="48">
        <f>(35.35)*10.764</f>
        <v>380.50740000000002</v>
      </c>
    </row>
    <row r="153" spans="1:13" s="48" customFormat="1" ht="15.75" customHeight="1" x14ac:dyDescent="0.35">
      <c r="A153" s="78" t="s">
        <v>160</v>
      </c>
      <c r="B153" s="79"/>
      <c r="C153" s="79"/>
      <c r="D153" s="79"/>
      <c r="E153" s="79"/>
      <c r="F153" s="79"/>
      <c r="G153" s="79"/>
      <c r="H153" s="79"/>
      <c r="I153" s="79"/>
      <c r="J153" s="80"/>
    </row>
    <row r="154" spans="1:13" s="48" customFormat="1" x14ac:dyDescent="0.35">
      <c r="A154" s="76">
        <v>1</v>
      </c>
      <c r="B154" s="77"/>
      <c r="C154" s="2" t="s">
        <v>145</v>
      </c>
      <c r="D154" s="76">
        <f>(4.2*2.4+2.05*2.2+3.05*2.75+1.2*0.9+1.65*1.2+0.9*1.2+0.45*4.2+1.6*2.2+0.45*2.75)*10.764</f>
        <v>363.44646</v>
      </c>
      <c r="E154" s="77"/>
      <c r="F154" s="2">
        <f>(1.1*2.75)*10.764</f>
        <v>32.561100000000003</v>
      </c>
      <c r="G154" s="2">
        <f>D154*1.5+F154</f>
        <v>577.73078999999996</v>
      </c>
      <c r="H154" s="2" t="s">
        <v>85</v>
      </c>
      <c r="I154" s="81" t="s">
        <v>161</v>
      </c>
      <c r="J154" s="82"/>
      <c r="K154" s="48">
        <f>(35.13)*10.764</f>
        <v>378.13932</v>
      </c>
    </row>
    <row r="155" spans="1:13" s="48" customFormat="1" x14ac:dyDescent="0.35">
      <c r="A155" s="76">
        <v>2</v>
      </c>
      <c r="B155" s="77"/>
      <c r="C155" s="2" t="s">
        <v>146</v>
      </c>
      <c r="D155" s="76">
        <f>(4.1*3.05+1.5*1.35+2.35*2.1+1.35*3.05+2.75*2.4+1.2*2.2+1.35*1.8+0.9*1+0.45*3.05+1.4*2.1+1.4*3.05+1.25*2.75+0.75*3.05)*10.764</f>
        <v>543.15143999999998</v>
      </c>
      <c r="E155" s="77"/>
      <c r="F155" s="2">
        <f>(1.1*2.9)*10.764</f>
        <v>34.337159999999997</v>
      </c>
      <c r="G155" s="2">
        <f t="shared" ref="G155:G161" si="5">D155*1.5+F155</f>
        <v>849.06431999999995</v>
      </c>
      <c r="H155" s="2" t="s">
        <v>85</v>
      </c>
      <c r="I155" s="83"/>
      <c r="J155" s="84"/>
      <c r="K155" s="48">
        <f>(49.35)*10.764</f>
        <v>531.20339999999999</v>
      </c>
    </row>
    <row r="156" spans="1:13" s="48" customFormat="1" x14ac:dyDescent="0.35">
      <c r="A156" s="76">
        <v>3</v>
      </c>
      <c r="B156" s="77"/>
      <c r="C156" s="2" t="s">
        <v>146</v>
      </c>
      <c r="D156" s="76">
        <f>(4.1*3.05+1.5*1.35+2.35*2.1+1.35*3.05+2.75*2.4+1.2*2.2+1.35*1.8+0.9*1+0.45*3.05+1.4*2.1+1.4*3.05+1.25*2.75+0.75*3.05)*10.764</f>
        <v>543.15143999999998</v>
      </c>
      <c r="E156" s="77"/>
      <c r="F156" s="2">
        <f>(1.1*2.9)*10.764</f>
        <v>34.337159999999997</v>
      </c>
      <c r="G156" s="2">
        <f t="shared" si="5"/>
        <v>849.06431999999995</v>
      </c>
      <c r="H156" s="2" t="s">
        <v>85</v>
      </c>
      <c r="I156" s="83"/>
      <c r="J156" s="84"/>
      <c r="K156" s="48">
        <f>(49.34)*10.764</f>
        <v>531.09576000000004</v>
      </c>
    </row>
    <row r="157" spans="1:13" s="48" customFormat="1" x14ac:dyDescent="0.35">
      <c r="A157" s="76">
        <v>4</v>
      </c>
      <c r="B157" s="77"/>
      <c r="C157" s="2" t="s">
        <v>145</v>
      </c>
      <c r="D157" s="76">
        <f>(4.2*2.8+2.1*2.2+2.4*2.75+1.2*0.9+1.65*1.2+0.9*1.2+1.2*2.8+1.55*2.2+1.1*2.75)*10.764</f>
        <v>397.35306000000003</v>
      </c>
      <c r="E157" s="77"/>
      <c r="F157" s="2">
        <v>0</v>
      </c>
      <c r="G157" s="2">
        <f t="shared" si="5"/>
        <v>596.0295900000001</v>
      </c>
      <c r="H157" s="2" t="s">
        <v>85</v>
      </c>
      <c r="I157" s="83"/>
      <c r="J157" s="84"/>
      <c r="K157" s="48">
        <f>(35.36+3.29)*10.764</f>
        <v>416.02859999999998</v>
      </c>
    </row>
    <row r="158" spans="1:13" s="48" customFormat="1" x14ac:dyDescent="0.35">
      <c r="A158" s="76">
        <v>5</v>
      </c>
      <c r="B158" s="77"/>
      <c r="C158" s="2" t="s">
        <v>145</v>
      </c>
      <c r="D158" s="76">
        <f>(3.75*2.8+1.5*2.2+2*2.75+1.2*0.9+1.65*1.2+0.4*2.8+0.35*2.4+0.9*2.2+0.4*1.2+1.2*2.8+1.1*2.2+1.1*2.75+0.75*3.3)*10.764</f>
        <v>409.67784</v>
      </c>
      <c r="E158" s="77"/>
      <c r="F158" s="2">
        <v>0</v>
      </c>
      <c r="G158" s="2">
        <f t="shared" si="5"/>
        <v>614.51675999999998</v>
      </c>
      <c r="H158" s="2" t="s">
        <v>85</v>
      </c>
      <c r="I158" s="83"/>
      <c r="J158" s="84"/>
      <c r="K158" s="48">
        <f>(34.66+3.29)*10.764</f>
        <v>408.49379999999991</v>
      </c>
    </row>
    <row r="159" spans="1:13" s="48" customFormat="1" x14ac:dyDescent="0.35">
      <c r="A159" s="76">
        <v>6</v>
      </c>
      <c r="B159" s="77"/>
      <c r="C159" s="2" t="s">
        <v>145</v>
      </c>
      <c r="D159" s="76">
        <f>(2.8*3.75+2.2*1.5+2.75*2+0.9*1.2+1.8*1.65+0.9*2.2+0.45*1.2+0.45*2.8+0.35*2.4+1.1*2.2+1.1*2.75+0.75*3.3+2.8*0.75)*10.764</f>
        <v>408.92436000000009</v>
      </c>
      <c r="E159" s="77"/>
      <c r="F159" s="2">
        <v>0</v>
      </c>
      <c r="G159" s="2">
        <f t="shared" si="5"/>
        <v>613.3865400000002</v>
      </c>
      <c r="H159" s="2" t="s">
        <v>85</v>
      </c>
      <c r="I159" s="83"/>
      <c r="J159" s="84"/>
      <c r="K159" s="48">
        <f>(34.45)*10.764</f>
        <v>370.81979999999999</v>
      </c>
      <c r="M159" s="58">
        <f>G159/D159</f>
        <v>1.5000000000000002</v>
      </c>
    </row>
    <row r="160" spans="1:13" s="48" customFormat="1" x14ac:dyDescent="0.35">
      <c r="A160" s="76">
        <v>7</v>
      </c>
      <c r="B160" s="77"/>
      <c r="C160" s="2" t="s">
        <v>145</v>
      </c>
      <c r="D160" s="76">
        <f>(2.8*3.75+2.2*1.5+2.8*3.05+1.8*1.2+1.2*1.8+0.45*2.8+0.9*2.2+0.45*1.2+0.3*1.5+1.1*2.2+0.75*2.8)*10.764</f>
        <v>381.15324000000004</v>
      </c>
      <c r="E160" s="77"/>
      <c r="F160" s="2">
        <f>(1.1*2.8)*10.764</f>
        <v>33.153120000000001</v>
      </c>
      <c r="G160" s="2">
        <f t="shared" si="5"/>
        <v>604.88298000000009</v>
      </c>
      <c r="H160" s="2" t="s">
        <v>85</v>
      </c>
      <c r="I160" s="83"/>
      <c r="J160" s="84"/>
      <c r="K160" s="48">
        <f>(35.36)*10.764</f>
        <v>380.61503999999996</v>
      </c>
    </row>
    <row r="161" spans="1:14" s="48" customFormat="1" x14ac:dyDescent="0.35">
      <c r="A161" s="76">
        <v>8</v>
      </c>
      <c r="B161" s="77"/>
      <c r="C161" s="2" t="s">
        <v>145</v>
      </c>
      <c r="D161" s="76">
        <f>(2.8*3.75+2.2*1.5+2.8*3.05+1.8*1.2+1.2*1.8+0.45*2.8+0.9*2.2+0.45*1.2+0.3*1.5+1.1*2.2+0.5*2.8)*10.764</f>
        <v>373.61843999999996</v>
      </c>
      <c r="E161" s="77"/>
      <c r="F161" s="2">
        <f>(1.1*2.8)*10.764</f>
        <v>33.153120000000001</v>
      </c>
      <c r="G161" s="2">
        <f t="shared" si="5"/>
        <v>593.58078</v>
      </c>
      <c r="H161" s="2" t="s">
        <v>85</v>
      </c>
      <c r="I161" s="85"/>
      <c r="J161" s="86"/>
      <c r="K161" s="48">
        <f>(35.35)*10.764</f>
        <v>380.50740000000002</v>
      </c>
    </row>
    <row r="162" spans="1:14" s="48" customFormat="1" x14ac:dyDescent="0.35">
      <c r="A162" s="78" t="s">
        <v>204</v>
      </c>
      <c r="B162" s="79"/>
      <c r="C162" s="79"/>
      <c r="D162" s="79"/>
      <c r="E162" s="79"/>
      <c r="F162" s="79"/>
      <c r="G162" s="79"/>
      <c r="H162" s="79"/>
      <c r="I162" s="79"/>
      <c r="J162" s="80"/>
    </row>
    <row r="163" spans="1:14" s="48" customFormat="1" ht="15.75" customHeight="1" x14ac:dyDescent="0.35">
      <c r="A163" s="78" t="s">
        <v>205</v>
      </c>
      <c r="B163" s="79"/>
      <c r="C163" s="79"/>
      <c r="D163" s="79"/>
      <c r="E163" s="79"/>
      <c r="F163" s="79"/>
      <c r="G163" s="79"/>
      <c r="H163" s="79"/>
      <c r="I163" s="79"/>
      <c r="J163" s="80"/>
    </row>
    <row r="164" spans="1:14" s="48" customFormat="1" ht="15.75" customHeight="1" x14ac:dyDescent="0.35">
      <c r="A164" s="78" t="s">
        <v>206</v>
      </c>
      <c r="B164" s="79"/>
      <c r="C164" s="79"/>
      <c r="D164" s="79"/>
      <c r="E164" s="79"/>
      <c r="F164" s="79"/>
      <c r="G164" s="79"/>
      <c r="H164" s="79"/>
      <c r="I164" s="79"/>
      <c r="J164" s="80"/>
    </row>
    <row r="165" spans="1:14" s="48" customFormat="1" x14ac:dyDescent="0.35">
      <c r="A165" s="76">
        <v>1</v>
      </c>
      <c r="B165" s="77"/>
      <c r="C165" s="2" t="s">
        <v>207</v>
      </c>
      <c r="D165" s="76">
        <f>(84.06+0.75*(2.4+3.65+3.4+3.2))*10.764</f>
        <v>1006.9452899999999</v>
      </c>
      <c r="E165" s="77"/>
      <c r="F165" s="2">
        <v>0</v>
      </c>
      <c r="G165" s="2">
        <f>D165*1.5+F165</f>
        <v>1510.4179349999999</v>
      </c>
      <c r="H165" s="2" t="s">
        <v>85</v>
      </c>
      <c r="I165" s="81" t="str">
        <f>A164</f>
        <v>1st to 7th, 9th to 12th, 14th &amp; 15th Floor for Residential</v>
      </c>
      <c r="J165" s="82"/>
      <c r="L165" s="48">
        <f>(3*4.85+2.1*2.4+2.4*3+3.65*3+1.65*2.25+1.2*2.15+2.75*3+3.2*4.05+1.3*2.5+0.9*2.15+0.9*1+1.5*2.25+1.2*3+0.6*3+0.75*(2.4+3.65+3.5+3.2))*10.764</f>
        <v>965.15405999999984</v>
      </c>
      <c r="M165" s="48">
        <f>(0.75*(2.4+3.65+3.4+3.2))*10.764</f>
        <v>102.12344999999998</v>
      </c>
      <c r="N165" s="48">
        <f>L165+M165</f>
        <v>1067.2775099999999</v>
      </c>
    </row>
    <row r="166" spans="1:14" s="48" customFormat="1" x14ac:dyDescent="0.35">
      <c r="A166" s="76">
        <v>2</v>
      </c>
      <c r="B166" s="77"/>
      <c r="C166" s="2" t="s">
        <v>145</v>
      </c>
      <c r="D166" s="76">
        <f>(38.66+0.75*2.75)*10.764</f>
        <v>438.33698999999996</v>
      </c>
      <c r="E166" s="77"/>
      <c r="F166" s="2">
        <v>0</v>
      </c>
      <c r="G166" s="2">
        <f t="shared" ref="G166:G171" si="6">D166*1.5+F166</f>
        <v>657.50548499999991</v>
      </c>
      <c r="H166" s="2" t="s">
        <v>85</v>
      </c>
      <c r="I166" s="83"/>
      <c r="J166" s="84"/>
      <c r="L166" s="49">
        <f>(2.85*4.25+2.1*3+2.75*3.3+1.2*1.8+1.15*2.1+1.15*2.1+1.5*2+0.75*2)*10.764</f>
        <v>419.55380999999994</v>
      </c>
    </row>
    <row r="167" spans="1:14" s="48" customFormat="1" x14ac:dyDescent="0.35">
      <c r="A167" s="76">
        <v>3</v>
      </c>
      <c r="B167" s="77"/>
      <c r="C167" s="2" t="s">
        <v>145</v>
      </c>
      <c r="D167" s="76">
        <f>(38.66+0.75*(2.75+2.1))*10.764</f>
        <v>455.29028999999997</v>
      </c>
      <c r="E167" s="77"/>
      <c r="F167" s="2">
        <v>0</v>
      </c>
      <c r="G167" s="2">
        <f t="shared" si="6"/>
        <v>682.93543499999998</v>
      </c>
      <c r="H167" s="2" t="s">
        <v>85</v>
      </c>
      <c r="I167" s="83"/>
      <c r="J167" s="84"/>
    </row>
    <row r="168" spans="1:14" s="48" customFormat="1" x14ac:dyDescent="0.35">
      <c r="A168" s="76">
        <v>4</v>
      </c>
      <c r="B168" s="77"/>
      <c r="C168" s="2" t="s">
        <v>146</v>
      </c>
      <c r="D168" s="76">
        <f>(58.7+0.75*(2.85+3.2+2.25))*10.764</f>
        <v>698.85269999999991</v>
      </c>
      <c r="E168" s="77"/>
      <c r="F168" s="2">
        <v>0</v>
      </c>
      <c r="G168" s="2">
        <f t="shared" si="6"/>
        <v>1048.2790499999999</v>
      </c>
      <c r="H168" s="2" t="s">
        <v>85</v>
      </c>
      <c r="I168" s="83"/>
      <c r="J168" s="84"/>
      <c r="L168" s="48">
        <f>(4.5*2.75+2.95*1.3+2.75*2.25+2.85*3.5+2.4*3.65+2.1*1.95+1.2*2.1+2.5*0.9+1*1.2+1.2*2.75+0.6*3.65+0.75*(2.85+3.2+2.25))*10.764</f>
        <v>677.19015000000002</v>
      </c>
    </row>
    <row r="169" spans="1:14" s="48" customFormat="1" x14ac:dyDescent="0.35">
      <c r="A169" s="76">
        <v>5</v>
      </c>
      <c r="B169" s="77"/>
      <c r="C169" s="2" t="s">
        <v>145</v>
      </c>
      <c r="D169" s="76">
        <f>(41.85)*10.764</f>
        <v>450.47339999999997</v>
      </c>
      <c r="E169" s="77"/>
      <c r="F169" s="2">
        <v>0</v>
      </c>
      <c r="G169" s="2">
        <f t="shared" si="6"/>
        <v>675.71010000000001</v>
      </c>
      <c r="H169" s="2" t="s">
        <v>85</v>
      </c>
      <c r="I169" s="83"/>
      <c r="J169" s="84"/>
    </row>
    <row r="170" spans="1:14" s="48" customFormat="1" x14ac:dyDescent="0.35">
      <c r="A170" s="76">
        <v>6</v>
      </c>
      <c r="B170" s="77"/>
      <c r="C170" s="2" t="s">
        <v>146</v>
      </c>
      <c r="D170" s="76">
        <f>(59.1+0.75*(2.1+3.6))*10.764</f>
        <v>682.16849999999999</v>
      </c>
      <c r="E170" s="77"/>
      <c r="F170" s="2">
        <v>0</v>
      </c>
      <c r="G170" s="2">
        <f t="shared" si="6"/>
        <v>1023.25275</v>
      </c>
      <c r="H170" s="2" t="s">
        <v>85</v>
      </c>
      <c r="I170" s="83"/>
      <c r="J170" s="84"/>
    </row>
    <row r="171" spans="1:14" s="48" customFormat="1" x14ac:dyDescent="0.35">
      <c r="A171" s="76">
        <v>7</v>
      </c>
      <c r="B171" s="77"/>
      <c r="C171" s="2" t="s">
        <v>146</v>
      </c>
      <c r="D171" s="76">
        <f>(57.73+0.75*(2.1+2.85+4))*10.764</f>
        <v>693.65906999999993</v>
      </c>
      <c r="E171" s="77"/>
      <c r="F171" s="2">
        <v>0</v>
      </c>
      <c r="G171" s="2">
        <f t="shared" si="6"/>
        <v>1040.488605</v>
      </c>
      <c r="H171" s="2" t="s">
        <v>85</v>
      </c>
      <c r="I171" s="83"/>
      <c r="J171" s="84"/>
    </row>
    <row r="172" spans="1:14" s="48" customFormat="1" ht="15.75" customHeight="1" x14ac:dyDescent="0.35">
      <c r="A172" s="78" t="s">
        <v>209</v>
      </c>
      <c r="B172" s="79"/>
      <c r="C172" s="79"/>
      <c r="D172" s="79"/>
      <c r="E172" s="79"/>
      <c r="F172" s="79"/>
      <c r="G172" s="79"/>
      <c r="H172" s="79"/>
      <c r="I172" s="79"/>
      <c r="J172" s="80"/>
    </row>
    <row r="173" spans="1:14" s="48" customFormat="1" x14ac:dyDescent="0.35">
      <c r="A173" s="76">
        <v>1</v>
      </c>
      <c r="B173" s="77"/>
      <c r="C173" s="2" t="s">
        <v>207</v>
      </c>
      <c r="D173" s="76">
        <f>(84.06+0.75*(2.4+3.65+3.2+3.5))*10.764</f>
        <v>1007.7525899999999</v>
      </c>
      <c r="E173" s="77"/>
      <c r="F173" s="2">
        <v>0</v>
      </c>
      <c r="G173" s="2">
        <f>D173*1.5+F173</f>
        <v>1511.6288849999999</v>
      </c>
      <c r="H173" s="2" t="s">
        <v>85</v>
      </c>
      <c r="I173" s="81" t="str">
        <f>A172</f>
        <v>8th &amp; 13rd Floor (Part Refuge Area)</v>
      </c>
      <c r="J173" s="82"/>
    </row>
    <row r="174" spans="1:14" s="48" customFormat="1" x14ac:dyDescent="0.35">
      <c r="A174" s="76">
        <v>2</v>
      </c>
      <c r="B174" s="77"/>
      <c r="C174" s="76" t="s">
        <v>208</v>
      </c>
      <c r="D174" s="220"/>
      <c r="E174" s="220"/>
      <c r="F174" s="220"/>
      <c r="G174" s="220"/>
      <c r="H174" s="77"/>
      <c r="I174" s="83"/>
      <c r="J174" s="84"/>
      <c r="L174" s="49"/>
    </row>
    <row r="175" spans="1:14" s="48" customFormat="1" x14ac:dyDescent="0.35">
      <c r="A175" s="76">
        <v>3</v>
      </c>
      <c r="B175" s="77"/>
      <c r="C175" s="2" t="s">
        <v>145</v>
      </c>
      <c r="D175" s="76">
        <f>(38.66+0.75*(2.1+2.75))*10.764</f>
        <v>455.29028999999997</v>
      </c>
      <c r="E175" s="77"/>
      <c r="F175" s="2">
        <v>0</v>
      </c>
      <c r="G175" s="2">
        <f t="shared" ref="G175:G179" si="7">D175*1.5+F175</f>
        <v>682.93543499999998</v>
      </c>
      <c r="H175" s="2" t="s">
        <v>85</v>
      </c>
      <c r="I175" s="83"/>
      <c r="J175" s="84"/>
    </row>
    <row r="176" spans="1:14" s="48" customFormat="1" x14ac:dyDescent="0.35">
      <c r="A176" s="76">
        <v>4</v>
      </c>
      <c r="B176" s="77"/>
      <c r="C176" s="2" t="s">
        <v>146</v>
      </c>
      <c r="D176" s="76">
        <f>(58.7+0.75*(2.85+3.2+2.25+2.75))*10.764</f>
        <v>721.05345000000011</v>
      </c>
      <c r="E176" s="77"/>
      <c r="F176" s="2">
        <v>0</v>
      </c>
      <c r="G176" s="2">
        <f t="shared" si="7"/>
        <v>1081.5801750000001</v>
      </c>
      <c r="H176" s="2" t="s">
        <v>85</v>
      </c>
      <c r="I176" s="83"/>
      <c r="J176" s="84"/>
    </row>
    <row r="177" spans="1:10" s="48" customFormat="1" x14ac:dyDescent="0.35">
      <c r="A177" s="76">
        <v>5</v>
      </c>
      <c r="B177" s="77"/>
      <c r="C177" s="2" t="s">
        <v>145</v>
      </c>
      <c r="D177" s="76">
        <f>(60.89)*10.764</f>
        <v>655.41995999999995</v>
      </c>
      <c r="E177" s="77"/>
      <c r="F177" s="2">
        <v>0</v>
      </c>
      <c r="G177" s="2">
        <f t="shared" si="7"/>
        <v>983.12993999999992</v>
      </c>
      <c r="H177" s="2" t="s">
        <v>85</v>
      </c>
      <c r="I177" s="83"/>
      <c r="J177" s="84"/>
    </row>
    <row r="178" spans="1:10" s="48" customFormat="1" x14ac:dyDescent="0.35">
      <c r="A178" s="76">
        <v>6</v>
      </c>
      <c r="B178" s="77"/>
      <c r="C178" s="2" t="s">
        <v>146</v>
      </c>
      <c r="D178" s="76">
        <f>(57.11+0.75*(2.1+3.5))*10.764</f>
        <v>659.94083999999998</v>
      </c>
      <c r="E178" s="77"/>
      <c r="F178" s="2">
        <v>0</v>
      </c>
      <c r="G178" s="2">
        <f t="shared" si="7"/>
        <v>989.91125999999997</v>
      </c>
      <c r="H178" s="2" t="s">
        <v>85</v>
      </c>
      <c r="I178" s="83"/>
      <c r="J178" s="84"/>
    </row>
    <row r="179" spans="1:10" s="48" customFormat="1" x14ac:dyDescent="0.35">
      <c r="A179" s="76">
        <v>7</v>
      </c>
      <c r="B179" s="77"/>
      <c r="C179" s="2" t="s">
        <v>146</v>
      </c>
      <c r="D179" s="76">
        <f>(57.73+0.75*(2.1+2.85+4))*10.764</f>
        <v>693.65906999999993</v>
      </c>
      <c r="E179" s="77"/>
      <c r="F179" s="2">
        <v>0</v>
      </c>
      <c r="G179" s="2">
        <f t="shared" si="7"/>
        <v>1040.488605</v>
      </c>
      <c r="H179" s="2" t="s">
        <v>85</v>
      </c>
      <c r="I179" s="83"/>
      <c r="J179" s="84"/>
    </row>
    <row r="180" spans="1:10" s="45" customFormat="1" x14ac:dyDescent="0.35">
      <c r="A180" s="222" t="s">
        <v>95</v>
      </c>
      <c r="B180" s="222"/>
      <c r="C180" s="222"/>
      <c r="D180" s="222"/>
      <c r="E180" s="222"/>
      <c r="F180" s="222"/>
      <c r="G180" s="222"/>
      <c r="H180" s="222"/>
      <c r="I180" s="222"/>
      <c r="J180" s="222"/>
    </row>
    <row r="181" spans="1:10" s="50" customFormat="1" ht="185" customHeight="1" x14ac:dyDescent="0.35">
      <c r="A181" s="223" t="s">
        <v>235</v>
      </c>
      <c r="B181" s="223"/>
      <c r="C181" s="223"/>
      <c r="D181" s="223"/>
      <c r="E181" s="223"/>
      <c r="F181" s="223"/>
      <c r="G181" s="223"/>
      <c r="H181" s="223"/>
      <c r="I181" s="223"/>
      <c r="J181" s="223"/>
    </row>
    <row r="182" spans="1:10" x14ac:dyDescent="0.35">
      <c r="A182" s="119" t="s">
        <v>86</v>
      </c>
      <c r="B182" s="120"/>
      <c r="C182" s="120"/>
      <c r="D182" s="120"/>
      <c r="E182" s="120"/>
      <c r="F182" s="120"/>
      <c r="G182" s="120"/>
      <c r="H182" s="120"/>
      <c r="I182" s="120"/>
      <c r="J182" s="121"/>
    </row>
    <row r="183" spans="1:10" x14ac:dyDescent="0.35">
      <c r="A183" s="87" t="s">
        <v>87</v>
      </c>
      <c r="B183" s="88"/>
      <c r="C183" s="88"/>
      <c r="D183" s="88"/>
      <c r="E183" s="88"/>
      <c r="F183" s="88"/>
      <c r="G183" s="88"/>
      <c r="H183" s="88"/>
      <c r="I183" s="88"/>
      <c r="J183" s="89"/>
    </row>
    <row r="184" spans="1:10" ht="15.75" customHeight="1" x14ac:dyDescent="0.35">
      <c r="A184" s="119" t="s">
        <v>88</v>
      </c>
      <c r="B184" s="120"/>
      <c r="C184" s="120"/>
      <c r="D184" s="120"/>
      <c r="E184" s="120"/>
      <c r="F184" s="120"/>
      <c r="G184" s="120"/>
      <c r="H184" s="120"/>
      <c r="I184" s="120"/>
      <c r="J184" s="121"/>
    </row>
    <row r="185" spans="1:10" x14ac:dyDescent="0.35">
      <c r="A185" s="87" t="s">
        <v>89</v>
      </c>
      <c r="B185" s="88"/>
      <c r="C185" s="88"/>
      <c r="D185" s="88"/>
      <c r="E185" s="88"/>
      <c r="F185" s="88"/>
      <c r="G185" s="88"/>
      <c r="H185" s="88"/>
      <c r="I185" s="88"/>
      <c r="J185" s="89"/>
    </row>
    <row r="186" spans="1:10" x14ac:dyDescent="0.35">
      <c r="A186" s="87" t="s">
        <v>90</v>
      </c>
      <c r="B186" s="88"/>
      <c r="C186" s="88"/>
      <c r="D186" s="88"/>
      <c r="E186" s="88"/>
      <c r="F186" s="88"/>
      <c r="G186" s="88"/>
      <c r="H186" s="88"/>
      <c r="I186" s="88"/>
      <c r="J186" s="89"/>
    </row>
    <row r="187" spans="1:10" x14ac:dyDescent="0.35">
      <c r="A187" s="87" t="s">
        <v>91</v>
      </c>
      <c r="B187" s="88"/>
      <c r="C187" s="88"/>
      <c r="D187" s="88"/>
      <c r="E187" s="88"/>
      <c r="F187" s="88"/>
      <c r="G187" s="88"/>
      <c r="H187" s="88"/>
      <c r="I187" s="88"/>
      <c r="J187" s="89"/>
    </row>
    <row r="188" spans="1:10" x14ac:dyDescent="0.35">
      <c r="A188" s="92" t="s">
        <v>92</v>
      </c>
      <c r="B188" s="93"/>
      <c r="C188" s="93"/>
      <c r="D188" s="93"/>
      <c r="E188" s="93"/>
      <c r="F188" s="93"/>
      <c r="G188" s="93"/>
      <c r="H188" s="93"/>
      <c r="I188" s="93"/>
      <c r="J188" s="94"/>
    </row>
    <row r="189" spans="1:10" x14ac:dyDescent="0.35">
      <c r="A189" s="219" t="s">
        <v>135</v>
      </c>
      <c r="B189" s="219"/>
      <c r="C189" s="221" t="s">
        <v>159</v>
      </c>
      <c r="D189" s="221"/>
      <c r="E189" s="221" t="s">
        <v>136</v>
      </c>
      <c r="F189" s="221"/>
      <c r="G189" s="221"/>
      <c r="H189" s="221" t="s">
        <v>236</v>
      </c>
      <c r="I189" s="221"/>
      <c r="J189" s="221"/>
    </row>
    <row r="190" spans="1:10" x14ac:dyDescent="0.35">
      <c r="A190" s="218" t="s">
        <v>138</v>
      </c>
      <c r="B190" s="218"/>
      <c r="C190" s="218"/>
      <c r="D190" s="218"/>
      <c r="E190" s="218"/>
      <c r="F190" s="218"/>
      <c r="G190" s="218"/>
      <c r="H190" s="218"/>
      <c r="I190" s="218"/>
      <c r="J190" s="218"/>
    </row>
    <row r="191" spans="1:10" x14ac:dyDescent="0.35">
      <c r="A191" s="218"/>
      <c r="B191" s="218"/>
      <c r="C191" s="218"/>
      <c r="D191" s="218"/>
      <c r="E191" s="218"/>
      <c r="F191" s="218"/>
      <c r="G191" s="218"/>
      <c r="H191" s="218"/>
      <c r="I191" s="218"/>
      <c r="J191" s="218"/>
    </row>
    <row r="192" spans="1:10" x14ac:dyDescent="0.35">
      <c r="A192" s="218"/>
      <c r="B192" s="218"/>
      <c r="C192" s="218"/>
      <c r="D192" s="218"/>
      <c r="E192" s="218"/>
      <c r="F192" s="218"/>
      <c r="G192" s="218"/>
      <c r="H192" s="218"/>
      <c r="I192" s="218"/>
      <c r="J192" s="218"/>
    </row>
    <row r="193" spans="1:10" x14ac:dyDescent="0.35">
      <c r="A193" s="218"/>
      <c r="B193" s="218"/>
      <c r="C193" s="218"/>
      <c r="D193" s="218"/>
      <c r="E193" s="218"/>
      <c r="F193" s="218"/>
      <c r="G193" s="218"/>
      <c r="H193" s="218"/>
      <c r="I193" s="218"/>
      <c r="J193" s="218"/>
    </row>
    <row r="194" spans="1:10" s="48" customFormat="1" x14ac:dyDescent="0.35">
      <c r="A194" s="51" t="s">
        <v>93</v>
      </c>
      <c r="B194" s="52"/>
      <c r="C194" s="52"/>
      <c r="D194" s="51" t="str">
        <f>F8</f>
        <v>Paradise Park Phase 1</v>
      </c>
      <c r="E194" s="33"/>
      <c r="F194" s="33"/>
      <c r="G194" s="31"/>
      <c r="H194" s="31"/>
      <c r="I194" s="31"/>
      <c r="J194" s="31"/>
    </row>
    <row r="195" spans="1:10" x14ac:dyDescent="0.35">
      <c r="G195" s="52"/>
      <c r="H195" s="52"/>
      <c r="I195" s="52"/>
      <c r="J195" s="52"/>
    </row>
    <row r="196" spans="1:10" s="48" customFormat="1" x14ac:dyDescent="0.35">
      <c r="A196" s="62"/>
      <c r="B196" s="62"/>
      <c r="C196" s="31"/>
      <c r="D196" s="62"/>
      <c r="E196" s="62"/>
      <c r="F196" s="31"/>
      <c r="G196" s="31"/>
      <c r="H196" s="31"/>
      <c r="I196" s="62"/>
      <c r="J196" s="62"/>
    </row>
    <row r="197" spans="1:10" s="48" customFormat="1" x14ac:dyDescent="0.35">
      <c r="A197" s="62"/>
      <c r="B197" s="62"/>
      <c r="C197" s="31"/>
      <c r="D197" s="62"/>
      <c r="E197" s="62"/>
      <c r="F197" s="31"/>
      <c r="G197" s="31"/>
      <c r="H197" s="31"/>
      <c r="I197" s="62"/>
      <c r="J197" s="62"/>
    </row>
    <row r="198" spans="1:10" s="48" customFormat="1" x14ac:dyDescent="0.35">
      <c r="A198" s="62"/>
      <c r="B198" s="62"/>
      <c r="C198" s="31"/>
      <c r="D198" s="62"/>
      <c r="E198" s="62"/>
      <c r="F198" s="31"/>
      <c r="G198" s="31"/>
      <c r="H198" s="31"/>
      <c r="I198" s="62"/>
      <c r="J198" s="62"/>
    </row>
    <row r="199" spans="1:10" s="48" customFormat="1" x14ac:dyDescent="0.35">
      <c r="A199" s="62"/>
      <c r="B199" s="62"/>
      <c r="C199" s="31"/>
      <c r="D199" s="62"/>
      <c r="E199" s="62"/>
      <c r="F199" s="31"/>
      <c r="G199" s="31"/>
      <c r="H199" s="31"/>
      <c r="I199" s="62"/>
      <c r="J199" s="62"/>
    </row>
    <row r="200" spans="1:10" s="48" customFormat="1" x14ac:dyDescent="0.35">
      <c r="A200" s="62"/>
      <c r="B200" s="62"/>
      <c r="C200" s="31"/>
      <c r="D200" s="62"/>
      <c r="E200" s="62"/>
      <c r="F200" s="31"/>
      <c r="G200" s="31"/>
      <c r="H200" s="31"/>
      <c r="I200" s="62"/>
      <c r="J200" s="62"/>
    </row>
    <row r="201" spans="1:10" s="48" customFormat="1" x14ac:dyDescent="0.35">
      <c r="A201" s="62"/>
      <c r="B201" s="62"/>
      <c r="C201" s="31"/>
      <c r="D201" s="62"/>
      <c r="E201" s="62"/>
      <c r="F201" s="31"/>
      <c r="G201" s="31"/>
      <c r="H201" s="31"/>
      <c r="I201" s="62"/>
      <c r="J201" s="62"/>
    </row>
    <row r="202" spans="1:10" s="48" customFormat="1" x14ac:dyDescent="0.35">
      <c r="A202" s="62"/>
      <c r="B202" s="62"/>
      <c r="C202" s="31"/>
      <c r="D202" s="62"/>
      <c r="E202" s="62"/>
      <c r="F202" s="31"/>
      <c r="G202" s="31"/>
      <c r="H202" s="31"/>
      <c r="I202" s="62"/>
      <c r="J202" s="62"/>
    </row>
    <row r="203" spans="1:10" s="48" customFormat="1" x14ac:dyDescent="0.35">
      <c r="A203" s="62"/>
      <c r="B203" s="62"/>
      <c r="C203" s="31"/>
      <c r="D203" s="62"/>
      <c r="E203" s="62"/>
      <c r="F203" s="31"/>
      <c r="G203" s="31"/>
      <c r="H203" s="31"/>
      <c r="I203" s="62"/>
      <c r="J203" s="62"/>
    </row>
    <row r="204" spans="1:10" s="48" customFormat="1" x14ac:dyDescent="0.35">
      <c r="A204" s="62"/>
      <c r="B204" s="62"/>
      <c r="C204" s="31"/>
      <c r="D204" s="62"/>
      <c r="E204" s="62"/>
      <c r="F204" s="31"/>
      <c r="G204" s="31"/>
      <c r="H204" s="31"/>
      <c r="I204" s="62"/>
      <c r="J204" s="62"/>
    </row>
    <row r="205" spans="1:10" s="48" customFormat="1" x14ac:dyDescent="0.35">
      <c r="A205" s="62"/>
      <c r="B205" s="62"/>
      <c r="C205" s="31"/>
      <c r="D205" s="62"/>
      <c r="E205" s="62"/>
      <c r="F205" s="31"/>
      <c r="G205" s="31"/>
      <c r="H205" s="31"/>
      <c r="I205" s="62"/>
      <c r="J205" s="62"/>
    </row>
    <row r="206" spans="1:10" s="48" customFormat="1" x14ac:dyDescent="0.35">
      <c r="A206" s="62"/>
      <c r="B206" s="62"/>
      <c r="C206" s="31"/>
      <c r="D206" s="62"/>
      <c r="E206" s="62"/>
      <c r="F206" s="31"/>
      <c r="G206" s="31"/>
      <c r="H206" s="31"/>
      <c r="I206" s="62"/>
      <c r="J206" s="62"/>
    </row>
    <row r="207" spans="1:10" s="48" customFormat="1" x14ac:dyDescent="0.35">
      <c r="A207" s="62"/>
      <c r="B207" s="62"/>
      <c r="C207" s="31"/>
      <c r="D207" s="62"/>
      <c r="E207" s="62"/>
      <c r="F207" s="31"/>
      <c r="G207" s="31"/>
      <c r="H207" s="31"/>
      <c r="I207" s="62"/>
      <c r="J207" s="62"/>
    </row>
    <row r="208" spans="1:10" s="48" customFormat="1" x14ac:dyDescent="0.35">
      <c r="A208" s="62"/>
      <c r="B208" s="62"/>
      <c r="C208" s="31"/>
      <c r="D208" s="62"/>
      <c r="E208" s="62"/>
      <c r="F208" s="31"/>
      <c r="G208" s="31"/>
      <c r="H208" s="31"/>
      <c r="I208" s="62"/>
      <c r="J208" s="62"/>
    </row>
    <row r="209" spans="1:10" s="48" customFormat="1" x14ac:dyDescent="0.35">
      <c r="A209" s="62"/>
      <c r="B209" s="62"/>
      <c r="C209" s="31"/>
      <c r="D209" s="62"/>
      <c r="E209" s="62"/>
      <c r="F209" s="31"/>
      <c r="G209" s="31"/>
      <c r="H209" s="31"/>
      <c r="I209" s="62"/>
      <c r="J209" s="62"/>
    </row>
    <row r="210" spans="1:10" s="48" customFormat="1" x14ac:dyDescent="0.35">
      <c r="A210" s="62"/>
      <c r="B210" s="62"/>
      <c r="C210" s="31"/>
      <c r="D210" s="62"/>
      <c r="E210" s="62"/>
      <c r="F210" s="31"/>
      <c r="G210" s="31"/>
      <c r="H210" s="31"/>
      <c r="I210" s="62"/>
      <c r="J210" s="62"/>
    </row>
    <row r="211" spans="1:10" s="48" customFormat="1" x14ac:dyDescent="0.35">
      <c r="A211" s="62"/>
      <c r="B211" s="62"/>
      <c r="C211" s="31"/>
      <c r="D211" s="62"/>
      <c r="E211" s="62"/>
      <c r="F211" s="31"/>
      <c r="G211" s="31"/>
      <c r="H211" s="31"/>
      <c r="I211" s="62"/>
      <c r="J211" s="62"/>
    </row>
    <row r="212" spans="1:10" s="48" customFormat="1" x14ac:dyDescent="0.35">
      <c r="A212" s="62"/>
      <c r="B212" s="62"/>
      <c r="C212" s="31"/>
      <c r="D212" s="62"/>
      <c r="E212" s="62"/>
      <c r="F212" s="31"/>
      <c r="G212" s="31"/>
      <c r="H212" s="31"/>
      <c r="I212" s="62"/>
      <c r="J212" s="62"/>
    </row>
    <row r="213" spans="1:10" s="48" customFormat="1" x14ac:dyDescent="0.35">
      <c r="A213" s="62"/>
      <c r="B213" s="62"/>
      <c r="C213" s="31"/>
      <c r="D213" s="62"/>
      <c r="E213" s="62"/>
      <c r="F213" s="31"/>
      <c r="G213" s="31"/>
      <c r="H213" s="31"/>
      <c r="I213" s="62"/>
      <c r="J213" s="62"/>
    </row>
    <row r="214" spans="1:10" s="48" customFormat="1" x14ac:dyDescent="0.35">
      <c r="A214" s="62"/>
      <c r="B214" s="62"/>
      <c r="C214" s="31"/>
      <c r="D214" s="62"/>
      <c r="E214" s="62"/>
      <c r="F214" s="31"/>
      <c r="G214" s="31"/>
      <c r="H214" s="31"/>
      <c r="I214" s="62"/>
      <c r="J214" s="62"/>
    </row>
    <row r="215" spans="1:10" s="48" customFormat="1" x14ac:dyDescent="0.35">
      <c r="A215" s="62"/>
      <c r="B215" s="62"/>
      <c r="C215" s="31"/>
      <c r="D215" s="62"/>
      <c r="E215" s="62"/>
      <c r="F215" s="31"/>
      <c r="G215" s="31"/>
      <c r="H215" s="31"/>
      <c r="I215" s="62"/>
      <c r="J215" s="62"/>
    </row>
    <row r="216" spans="1:10" s="48" customFormat="1" x14ac:dyDescent="0.35">
      <c r="A216" s="62"/>
      <c r="B216" s="62"/>
      <c r="C216" s="31"/>
      <c r="D216" s="62"/>
      <c r="E216" s="62"/>
      <c r="F216" s="31"/>
      <c r="G216" s="31"/>
      <c r="H216" s="31"/>
      <c r="I216" s="62"/>
      <c r="J216" s="62"/>
    </row>
    <row r="217" spans="1:10" s="48" customFormat="1" x14ac:dyDescent="0.35">
      <c r="A217" s="62"/>
      <c r="B217" s="62"/>
      <c r="C217" s="31"/>
      <c r="D217" s="62"/>
      <c r="E217" s="62"/>
      <c r="F217" s="31"/>
      <c r="G217" s="31"/>
      <c r="H217" s="31"/>
      <c r="I217" s="62"/>
      <c r="J217" s="62"/>
    </row>
    <row r="218" spans="1:10" s="48" customFormat="1" x14ac:dyDescent="0.35">
      <c r="A218" s="62"/>
      <c r="B218" s="62"/>
      <c r="C218" s="31"/>
      <c r="D218" s="62"/>
      <c r="E218" s="62"/>
      <c r="F218" s="31"/>
      <c r="G218" s="31"/>
      <c r="H218" s="31"/>
      <c r="I218" s="62"/>
      <c r="J218" s="62"/>
    </row>
    <row r="219" spans="1:10" s="48" customFormat="1" x14ac:dyDescent="0.35">
      <c r="A219" s="62"/>
      <c r="B219" s="62"/>
      <c r="C219" s="31"/>
      <c r="D219" s="62"/>
      <c r="E219" s="62"/>
      <c r="F219" s="31"/>
      <c r="G219" s="31"/>
      <c r="H219" s="31"/>
      <c r="I219" s="62"/>
      <c r="J219" s="62"/>
    </row>
    <row r="220" spans="1:10" s="48" customFormat="1" x14ac:dyDescent="0.35">
      <c r="A220" s="62"/>
      <c r="B220" s="62"/>
      <c r="C220" s="31"/>
      <c r="D220" s="62"/>
      <c r="E220" s="62"/>
      <c r="F220" s="31"/>
      <c r="G220" s="31"/>
      <c r="H220" s="31"/>
      <c r="I220" s="62"/>
      <c r="J220" s="62"/>
    </row>
    <row r="221" spans="1:10" s="48" customFormat="1" x14ac:dyDescent="0.35">
      <c r="A221" s="62"/>
      <c r="B221" s="62"/>
      <c r="C221" s="31"/>
      <c r="D221" s="62"/>
      <c r="E221" s="62"/>
      <c r="F221" s="31"/>
      <c r="G221" s="31"/>
      <c r="H221" s="31"/>
      <c r="I221" s="62"/>
      <c r="J221" s="62"/>
    </row>
    <row r="222" spans="1:10" s="48" customFormat="1" x14ac:dyDescent="0.35">
      <c r="A222" s="62"/>
      <c r="B222" s="62"/>
      <c r="C222" s="31"/>
      <c r="D222" s="62"/>
      <c r="E222" s="62"/>
      <c r="F222" s="31"/>
      <c r="G222" s="31"/>
      <c r="H222" s="31"/>
      <c r="I222" s="62"/>
      <c r="J222" s="62"/>
    </row>
    <row r="223" spans="1:10" s="48" customFormat="1" x14ac:dyDescent="0.35">
      <c r="A223" s="62"/>
      <c r="B223" s="62"/>
      <c r="C223" s="31"/>
      <c r="D223" s="62"/>
      <c r="E223" s="62"/>
      <c r="F223" s="31"/>
      <c r="G223" s="31"/>
      <c r="H223" s="31"/>
      <c r="I223" s="62"/>
      <c r="J223" s="62"/>
    </row>
    <row r="224" spans="1:10" s="48" customFormat="1" x14ac:dyDescent="0.35">
      <c r="A224" s="62"/>
      <c r="B224" s="62"/>
      <c r="C224" s="31"/>
      <c r="D224" s="62"/>
      <c r="E224" s="62"/>
      <c r="F224" s="31"/>
      <c r="G224" s="31"/>
      <c r="H224" s="31"/>
      <c r="I224" s="62"/>
      <c r="J224" s="62"/>
    </row>
    <row r="225" spans="1:10" s="48" customFormat="1" x14ac:dyDescent="0.35">
      <c r="A225" s="62"/>
      <c r="B225" s="62"/>
      <c r="C225" s="31"/>
      <c r="D225" s="62"/>
      <c r="E225" s="62"/>
      <c r="F225" s="31"/>
      <c r="G225" s="31"/>
      <c r="H225" s="31"/>
      <c r="I225" s="62"/>
      <c r="J225" s="62"/>
    </row>
    <row r="226" spans="1:10" s="48" customFormat="1" x14ac:dyDescent="0.35">
      <c r="A226" s="62"/>
      <c r="B226" s="62"/>
      <c r="C226" s="31"/>
      <c r="D226" s="62"/>
      <c r="E226" s="62"/>
      <c r="F226" s="31"/>
      <c r="G226" s="31"/>
      <c r="H226" s="31"/>
      <c r="I226" s="62"/>
      <c r="J226" s="62"/>
    </row>
    <row r="227" spans="1:10" s="48" customFormat="1" x14ac:dyDescent="0.35">
      <c r="A227" s="62"/>
      <c r="B227" s="62"/>
      <c r="C227" s="57"/>
      <c r="D227" s="62"/>
      <c r="E227" s="62"/>
      <c r="F227" s="57"/>
      <c r="G227" s="57"/>
      <c r="H227" s="57"/>
      <c r="I227" s="62"/>
      <c r="J227" s="62"/>
    </row>
    <row r="228" spans="1:10" s="48" customFormat="1" x14ac:dyDescent="0.35">
      <c r="A228" s="62"/>
      <c r="B228" s="62"/>
      <c r="C228" s="57"/>
      <c r="D228" s="62"/>
      <c r="E228" s="62"/>
      <c r="F228" s="57"/>
      <c r="G228" s="57"/>
      <c r="H228" s="57"/>
      <c r="I228" s="62"/>
      <c r="J228" s="62"/>
    </row>
    <row r="229" spans="1:10" s="48" customFormat="1" x14ac:dyDescent="0.35">
      <c r="A229" s="62"/>
      <c r="B229" s="62"/>
      <c r="C229" s="57"/>
      <c r="D229" s="62"/>
      <c r="E229" s="62"/>
      <c r="F229" s="57"/>
      <c r="G229" s="57"/>
      <c r="H229" s="57"/>
      <c r="I229" s="62"/>
      <c r="J229" s="62"/>
    </row>
    <row r="230" spans="1:10" s="48" customFormat="1" x14ac:dyDescent="0.35">
      <c r="A230" s="62"/>
      <c r="B230" s="62"/>
      <c r="C230" s="57"/>
      <c r="D230" s="62"/>
      <c r="E230" s="62"/>
      <c r="F230" s="57"/>
      <c r="G230" s="57"/>
      <c r="H230" s="57"/>
      <c r="I230" s="62"/>
      <c r="J230" s="62"/>
    </row>
    <row r="231" spans="1:10" s="48" customFormat="1" x14ac:dyDescent="0.35">
      <c r="A231" s="62"/>
      <c r="B231" s="62"/>
      <c r="C231" s="31"/>
      <c r="D231" s="62"/>
      <c r="E231" s="62"/>
      <c r="F231" s="31"/>
      <c r="G231" s="31"/>
      <c r="H231" s="31"/>
      <c r="I231" s="62"/>
      <c r="J231" s="62"/>
    </row>
    <row r="232" spans="1:10" s="48" customFormat="1" x14ac:dyDescent="0.35">
      <c r="A232" s="62"/>
      <c r="B232" s="62"/>
      <c r="C232" s="31"/>
      <c r="D232" s="62"/>
      <c r="E232" s="62"/>
      <c r="F232" s="31"/>
      <c r="G232" s="31"/>
      <c r="H232" s="31"/>
      <c r="I232" s="62"/>
      <c r="J232" s="62"/>
    </row>
    <row r="233" spans="1:10" s="48" customFormat="1" x14ac:dyDescent="0.35">
      <c r="A233" s="62"/>
      <c r="B233" s="62"/>
      <c r="C233" s="54"/>
      <c r="D233" s="62"/>
      <c r="E233" s="62"/>
      <c r="F233" s="54"/>
      <c r="G233" s="54"/>
      <c r="H233" s="54"/>
      <c r="I233" s="62"/>
      <c r="J233" s="62"/>
    </row>
    <row r="234" spans="1:10" s="48" customFormat="1" x14ac:dyDescent="0.35">
      <c r="A234" s="62"/>
      <c r="B234" s="62"/>
      <c r="C234" s="54"/>
      <c r="D234" s="62"/>
      <c r="E234" s="62"/>
      <c r="F234" s="54"/>
      <c r="G234" s="54"/>
      <c r="H234" s="54"/>
      <c r="I234" s="62"/>
      <c r="J234" s="62"/>
    </row>
    <row r="235" spans="1:10" s="48" customFormat="1" x14ac:dyDescent="0.35">
      <c r="A235" s="62"/>
      <c r="B235" s="62"/>
      <c r="C235" s="54"/>
      <c r="D235" s="62"/>
      <c r="E235" s="62"/>
      <c r="F235" s="54"/>
      <c r="G235" s="54"/>
      <c r="H235" s="54"/>
      <c r="I235" s="62"/>
      <c r="J235" s="62"/>
    </row>
    <row r="236" spans="1:10" s="48" customFormat="1" x14ac:dyDescent="0.35">
      <c r="A236" s="62"/>
      <c r="B236" s="62"/>
      <c r="C236" s="54"/>
      <c r="D236" s="62"/>
      <c r="E236" s="62"/>
      <c r="F236" s="54"/>
      <c r="G236" s="54"/>
      <c r="H236" s="54"/>
      <c r="I236" s="62"/>
      <c r="J236" s="62"/>
    </row>
    <row r="237" spans="1:10" s="48" customFormat="1" x14ac:dyDescent="0.35">
      <c r="A237" s="62"/>
      <c r="B237" s="62"/>
      <c r="C237" s="54"/>
      <c r="D237" s="62"/>
      <c r="E237" s="62"/>
      <c r="F237" s="54"/>
      <c r="G237" s="54"/>
      <c r="H237" s="54"/>
      <c r="I237" s="62"/>
      <c r="J237" s="62"/>
    </row>
    <row r="238" spans="1:10" x14ac:dyDescent="0.35">
      <c r="A238" s="53" t="s">
        <v>94</v>
      </c>
    </row>
    <row r="239" spans="1:10" s="48" customFormat="1" x14ac:dyDescent="0.35">
      <c r="A239" s="122"/>
      <c r="B239" s="122"/>
      <c r="C239" s="30"/>
      <c r="D239" s="122"/>
      <c r="E239" s="122"/>
      <c r="F239" s="30"/>
      <c r="G239" s="30"/>
      <c r="H239" s="30"/>
      <c r="I239" s="122"/>
      <c r="J239" s="122"/>
    </row>
    <row r="240" spans="1:10" s="48" customFormat="1" x14ac:dyDescent="0.35">
      <c r="A240" s="122"/>
      <c r="B240" s="122"/>
      <c r="C240" s="30"/>
      <c r="D240" s="122"/>
      <c r="E240" s="122"/>
      <c r="F240" s="30"/>
      <c r="G240" s="30"/>
      <c r="H240" s="30"/>
      <c r="I240" s="122"/>
      <c r="J240" s="122"/>
    </row>
    <row r="241" spans="1:10" s="48" customFormat="1" x14ac:dyDescent="0.35">
      <c r="A241" s="122"/>
      <c r="B241" s="122"/>
      <c r="C241" s="30"/>
      <c r="D241" s="122"/>
      <c r="E241" s="122"/>
      <c r="F241" s="30"/>
      <c r="G241" s="30"/>
      <c r="H241" s="30"/>
      <c r="I241" s="122"/>
      <c r="J241" s="122"/>
    </row>
    <row r="242" spans="1:10" s="48" customFormat="1" x14ac:dyDescent="0.35">
      <c r="A242" s="122"/>
      <c r="B242" s="122"/>
      <c r="C242" s="30"/>
      <c r="D242" s="122"/>
      <c r="E242" s="122"/>
      <c r="F242" s="30"/>
      <c r="G242" s="30"/>
      <c r="H242" s="30"/>
      <c r="I242" s="122"/>
      <c r="J242" s="122"/>
    </row>
    <row r="243" spans="1:10" s="48" customFormat="1" x14ac:dyDescent="0.35">
      <c r="A243" s="122"/>
      <c r="B243" s="122"/>
      <c r="C243" s="30"/>
      <c r="D243" s="122"/>
      <c r="E243" s="122"/>
      <c r="F243" s="30"/>
      <c r="G243" s="30"/>
      <c r="H243" s="30"/>
      <c r="I243" s="122"/>
      <c r="J243" s="122"/>
    </row>
    <row r="244" spans="1:10" s="48" customFormat="1" x14ac:dyDescent="0.35">
      <c r="A244" s="122"/>
      <c r="B244" s="122"/>
      <c r="C244" s="30"/>
      <c r="D244" s="122"/>
      <c r="E244" s="122"/>
      <c r="F244" s="30"/>
      <c r="G244" s="30"/>
      <c r="H244" s="30"/>
      <c r="I244" s="122"/>
      <c r="J244" s="122"/>
    </row>
    <row r="245" spans="1:10" s="48" customFormat="1" x14ac:dyDescent="0.35">
      <c r="A245" s="122"/>
      <c r="B245" s="122"/>
      <c r="C245" s="30"/>
      <c r="D245" s="122"/>
      <c r="E245" s="122"/>
      <c r="F245" s="30"/>
      <c r="G245" s="30"/>
      <c r="H245" s="30"/>
      <c r="I245" s="122"/>
      <c r="J245" s="122"/>
    </row>
    <row r="246" spans="1:10" s="48" customFormat="1" x14ac:dyDescent="0.35">
      <c r="A246" s="122"/>
      <c r="B246" s="122"/>
      <c r="C246" s="30"/>
      <c r="D246" s="122"/>
      <c r="E246" s="122"/>
      <c r="F246" s="30"/>
      <c r="G246" s="30"/>
      <c r="H246" s="30"/>
      <c r="I246" s="122"/>
      <c r="J246" s="122"/>
    </row>
    <row r="247" spans="1:10" s="48" customFormat="1" x14ac:dyDescent="0.35">
      <c r="A247" s="122"/>
      <c r="B247" s="122"/>
      <c r="C247" s="30"/>
      <c r="D247" s="122"/>
      <c r="E247" s="122"/>
      <c r="F247" s="30"/>
      <c r="G247" s="30"/>
      <c r="H247" s="30"/>
      <c r="I247" s="122"/>
      <c r="J247" s="122"/>
    </row>
    <row r="248" spans="1:10" s="48" customFormat="1" x14ac:dyDescent="0.35">
      <c r="A248" s="122"/>
      <c r="B248" s="122"/>
      <c r="C248" s="30"/>
      <c r="D248" s="122"/>
      <c r="E248" s="122"/>
      <c r="F248" s="30"/>
      <c r="G248" s="30"/>
      <c r="H248" s="30"/>
      <c r="I248" s="122"/>
      <c r="J248" s="122"/>
    </row>
    <row r="249" spans="1:10" s="48" customFormat="1" x14ac:dyDescent="0.35">
      <c r="A249" s="122"/>
      <c r="B249" s="122"/>
      <c r="C249" s="30"/>
      <c r="D249" s="122"/>
      <c r="E249" s="122"/>
      <c r="F249" s="30"/>
      <c r="G249" s="30"/>
      <c r="H249" s="30"/>
      <c r="I249" s="122"/>
      <c r="J249" s="122"/>
    </row>
    <row r="250" spans="1:10" s="48" customFormat="1" x14ac:dyDescent="0.35">
      <c r="A250" s="122"/>
      <c r="B250" s="122"/>
      <c r="C250" s="30"/>
      <c r="D250" s="122"/>
      <c r="E250" s="122"/>
      <c r="F250" s="30"/>
      <c r="G250" s="30"/>
      <c r="H250" s="30"/>
      <c r="I250" s="122"/>
      <c r="J250" s="122"/>
    </row>
    <row r="251" spans="1:10" s="48" customFormat="1" x14ac:dyDescent="0.35">
      <c r="A251" s="122"/>
      <c r="B251" s="122"/>
      <c r="C251" s="30"/>
      <c r="D251" s="122"/>
      <c r="E251" s="122"/>
      <c r="F251" s="30"/>
      <c r="G251" s="30"/>
      <c r="H251" s="30"/>
      <c r="I251" s="122"/>
      <c r="J251" s="122"/>
    </row>
    <row r="252" spans="1:10" s="48" customFormat="1" x14ac:dyDescent="0.35">
      <c r="A252" s="122"/>
      <c r="B252" s="122"/>
      <c r="C252" s="30"/>
      <c r="D252" s="122"/>
      <c r="E252" s="122"/>
      <c r="F252" s="30"/>
      <c r="G252" s="30"/>
      <c r="H252" s="30"/>
      <c r="I252" s="122"/>
      <c r="J252" s="122"/>
    </row>
    <row r="253" spans="1:10" s="48" customFormat="1" x14ac:dyDescent="0.35">
      <c r="A253" s="122"/>
      <c r="B253" s="122"/>
      <c r="C253" s="30"/>
      <c r="D253" s="122"/>
      <c r="E253" s="122"/>
      <c r="F253" s="30"/>
      <c r="G253" s="30"/>
      <c r="H253" s="30"/>
      <c r="I253" s="122"/>
      <c r="J253" s="122"/>
    </row>
    <row r="254" spans="1:10" s="48" customFormat="1" x14ac:dyDescent="0.35">
      <c r="A254" s="122"/>
      <c r="B254" s="122"/>
      <c r="C254" s="30"/>
      <c r="D254" s="122"/>
      <c r="E254" s="122"/>
      <c r="F254" s="30"/>
      <c r="G254" s="30"/>
      <c r="H254" s="30"/>
      <c r="I254" s="122"/>
      <c r="J254" s="122"/>
    </row>
    <row r="255" spans="1:10" s="48" customFormat="1" x14ac:dyDescent="0.35">
      <c r="A255" s="122"/>
      <c r="B255" s="122"/>
      <c r="C255" s="30"/>
      <c r="D255" s="122"/>
      <c r="E255" s="122"/>
      <c r="F255" s="30"/>
      <c r="G255" s="30"/>
      <c r="H255" s="30"/>
      <c r="I255" s="122"/>
      <c r="J255" s="122"/>
    </row>
    <row r="256" spans="1:10" s="48" customFormat="1" x14ac:dyDescent="0.35">
      <c r="A256" s="122"/>
      <c r="B256" s="122"/>
      <c r="C256" s="30"/>
      <c r="D256" s="122"/>
      <c r="E256" s="122"/>
      <c r="F256" s="30"/>
      <c r="G256" s="30"/>
      <c r="H256" s="30"/>
      <c r="I256" s="122"/>
      <c r="J256" s="122"/>
    </row>
    <row r="257" spans="1:10" s="48" customFormat="1" x14ac:dyDescent="0.35">
      <c r="A257" s="122"/>
      <c r="B257" s="122"/>
      <c r="C257" s="30"/>
      <c r="D257" s="122"/>
      <c r="E257" s="122"/>
      <c r="F257" s="30"/>
      <c r="G257" s="30"/>
      <c r="H257" s="30"/>
      <c r="I257" s="122"/>
      <c r="J257" s="122"/>
    </row>
    <row r="258" spans="1:10" s="48" customFormat="1" x14ac:dyDescent="0.35">
      <c r="A258" s="122"/>
      <c r="B258" s="122"/>
      <c r="C258" s="30"/>
      <c r="D258" s="122"/>
      <c r="E258" s="122"/>
      <c r="F258" s="30"/>
      <c r="G258" s="30"/>
      <c r="H258" s="30"/>
      <c r="I258" s="122"/>
      <c r="J258" s="122"/>
    </row>
    <row r="259" spans="1:10" s="48" customFormat="1" x14ac:dyDescent="0.35">
      <c r="A259" s="122"/>
      <c r="B259" s="122"/>
      <c r="C259" s="30"/>
      <c r="D259" s="122"/>
      <c r="E259" s="122"/>
      <c r="F259" s="30"/>
      <c r="G259" s="30"/>
      <c r="H259" s="30"/>
      <c r="I259" s="122"/>
      <c r="J259" s="122"/>
    </row>
    <row r="260" spans="1:10" s="48" customFormat="1" x14ac:dyDescent="0.35">
      <c r="A260" s="122"/>
      <c r="B260" s="122"/>
      <c r="C260" s="30"/>
      <c r="D260" s="122"/>
      <c r="E260" s="122"/>
      <c r="F260" s="30"/>
      <c r="G260" s="30"/>
      <c r="H260" s="30"/>
      <c r="I260" s="122"/>
      <c r="J260" s="122"/>
    </row>
    <row r="261" spans="1:10" s="48" customFormat="1" x14ac:dyDescent="0.35">
      <c r="A261" s="122"/>
      <c r="B261" s="122"/>
      <c r="C261" s="30"/>
      <c r="D261" s="122"/>
      <c r="E261" s="122"/>
      <c r="F261" s="30"/>
      <c r="G261" s="30"/>
      <c r="H261" s="30"/>
      <c r="I261" s="122"/>
      <c r="J261" s="122"/>
    </row>
    <row r="262" spans="1:10" s="48" customFormat="1" x14ac:dyDescent="0.35">
      <c r="A262" s="122"/>
      <c r="B262" s="122"/>
      <c r="C262" s="30"/>
      <c r="D262" s="122"/>
      <c r="E262" s="122"/>
      <c r="F262" s="30"/>
      <c r="G262" s="30"/>
      <c r="H262" s="30"/>
      <c r="I262" s="122"/>
      <c r="J262" s="122"/>
    </row>
    <row r="263" spans="1:10" s="48" customFormat="1" x14ac:dyDescent="0.35">
      <c r="A263" s="122"/>
      <c r="B263" s="122"/>
      <c r="C263" s="30"/>
      <c r="D263" s="122"/>
      <c r="E263" s="122"/>
      <c r="F263" s="30"/>
      <c r="G263" s="30"/>
      <c r="H263" s="30"/>
      <c r="I263" s="122"/>
      <c r="J263" s="122"/>
    </row>
    <row r="264" spans="1:10" s="48" customFormat="1" x14ac:dyDescent="0.35">
      <c r="A264" s="122"/>
      <c r="B264" s="122"/>
      <c r="C264" s="30"/>
      <c r="D264" s="122"/>
      <c r="E264" s="122"/>
      <c r="F264" s="30"/>
      <c r="G264" s="30"/>
      <c r="H264" s="30"/>
      <c r="I264" s="122"/>
      <c r="J264" s="122"/>
    </row>
    <row r="265" spans="1:10" s="48" customFormat="1" x14ac:dyDescent="0.35">
      <c r="A265" s="122"/>
      <c r="B265" s="122"/>
      <c r="C265" s="30"/>
      <c r="D265" s="122"/>
      <c r="E265" s="122"/>
      <c r="F265" s="30"/>
      <c r="G265" s="30"/>
      <c r="H265" s="30"/>
      <c r="I265" s="122"/>
      <c r="J265" s="122"/>
    </row>
    <row r="266" spans="1:10" s="48" customFormat="1" x14ac:dyDescent="0.35">
      <c r="A266" s="122"/>
      <c r="B266" s="122"/>
      <c r="C266" s="30"/>
      <c r="D266" s="122"/>
      <c r="E266" s="122"/>
      <c r="F266" s="30"/>
      <c r="G266" s="30"/>
      <c r="H266" s="30"/>
      <c r="I266" s="122"/>
      <c r="J266" s="122"/>
    </row>
    <row r="267" spans="1:10" s="48" customFormat="1" x14ac:dyDescent="0.35">
      <c r="A267" s="122"/>
      <c r="B267" s="122"/>
      <c r="C267" s="30"/>
      <c r="D267" s="122"/>
      <c r="E267" s="122"/>
      <c r="F267" s="30"/>
      <c r="G267" s="30"/>
      <c r="H267" s="30"/>
      <c r="I267" s="122"/>
      <c r="J267" s="122"/>
    </row>
    <row r="268" spans="1:10" s="48" customFormat="1" x14ac:dyDescent="0.35">
      <c r="A268" s="122"/>
      <c r="B268" s="122"/>
      <c r="C268" s="30"/>
      <c r="D268" s="122"/>
      <c r="E268" s="122"/>
      <c r="F268" s="30"/>
      <c r="G268" s="30"/>
      <c r="H268" s="30"/>
      <c r="I268" s="122"/>
      <c r="J268" s="122"/>
    </row>
    <row r="269" spans="1:10" s="48" customFormat="1" x14ac:dyDescent="0.35">
      <c r="A269" s="122"/>
      <c r="B269" s="122"/>
      <c r="C269" s="30"/>
      <c r="D269" s="122"/>
      <c r="E269" s="122"/>
      <c r="F269" s="30"/>
      <c r="G269" s="30"/>
      <c r="H269" s="30"/>
      <c r="I269" s="122"/>
      <c r="J269" s="122"/>
    </row>
    <row r="270" spans="1:10" s="48" customFormat="1" x14ac:dyDescent="0.35">
      <c r="A270" s="122"/>
      <c r="B270" s="122"/>
      <c r="C270" s="30"/>
      <c r="D270" s="122"/>
      <c r="E270" s="122"/>
      <c r="F270" s="30"/>
      <c r="G270" s="30"/>
      <c r="H270" s="30"/>
      <c r="I270" s="122"/>
      <c r="J270" s="122"/>
    </row>
    <row r="271" spans="1:10" s="48" customFormat="1" x14ac:dyDescent="0.35">
      <c r="A271" s="122"/>
      <c r="B271" s="122"/>
      <c r="C271" s="30"/>
      <c r="D271" s="122"/>
      <c r="E271" s="122"/>
      <c r="F271" s="30"/>
      <c r="G271" s="30"/>
      <c r="H271" s="30"/>
      <c r="I271" s="122"/>
      <c r="J271" s="122"/>
    </row>
    <row r="272" spans="1:10" s="48" customFormat="1" x14ac:dyDescent="0.35">
      <c r="A272" s="122"/>
      <c r="B272" s="122"/>
      <c r="C272" s="30"/>
      <c r="D272" s="122"/>
      <c r="E272" s="122"/>
      <c r="F272" s="30"/>
      <c r="G272" s="30"/>
      <c r="H272" s="30"/>
      <c r="I272" s="122"/>
      <c r="J272" s="122"/>
    </row>
    <row r="273" spans="1:10" s="48" customFormat="1" x14ac:dyDescent="0.35">
      <c r="A273" s="122"/>
      <c r="B273" s="122"/>
      <c r="C273" s="30"/>
      <c r="D273" s="122"/>
      <c r="E273" s="122"/>
      <c r="F273" s="30"/>
      <c r="G273" s="30"/>
      <c r="H273" s="30"/>
      <c r="I273" s="122"/>
      <c r="J273" s="122"/>
    </row>
    <row r="274" spans="1:10" s="48" customFormat="1" x14ac:dyDescent="0.35">
      <c r="A274" s="122"/>
      <c r="B274" s="122"/>
      <c r="C274" s="30"/>
      <c r="D274" s="122"/>
      <c r="E274" s="122"/>
      <c r="F274" s="30"/>
      <c r="G274" s="30"/>
      <c r="H274" s="30"/>
      <c r="I274" s="122"/>
      <c r="J274" s="122"/>
    </row>
    <row r="275" spans="1:10" s="48" customFormat="1" x14ac:dyDescent="0.35">
      <c r="A275" s="122"/>
      <c r="B275" s="122"/>
      <c r="C275" s="30"/>
      <c r="D275" s="122"/>
      <c r="E275" s="122"/>
      <c r="F275" s="30"/>
      <c r="G275" s="30"/>
      <c r="H275" s="30"/>
      <c r="I275" s="122"/>
      <c r="J275" s="122"/>
    </row>
    <row r="276" spans="1:10" s="48" customFormat="1" x14ac:dyDescent="0.35">
      <c r="A276" s="122"/>
      <c r="B276" s="122"/>
      <c r="C276" s="30"/>
      <c r="D276" s="122"/>
      <c r="E276" s="122"/>
      <c r="F276" s="30"/>
      <c r="G276" s="30"/>
      <c r="H276" s="30"/>
      <c r="I276" s="122"/>
      <c r="J276" s="122"/>
    </row>
    <row r="277" spans="1:10" s="48" customFormat="1" x14ac:dyDescent="0.35">
      <c r="A277" s="122"/>
      <c r="B277" s="122"/>
      <c r="C277" s="30"/>
      <c r="D277" s="122"/>
      <c r="E277" s="122"/>
      <c r="F277" s="30"/>
      <c r="G277" s="30"/>
      <c r="H277" s="30"/>
      <c r="I277" s="122"/>
      <c r="J277" s="122"/>
    </row>
    <row r="278" spans="1:10" ht="15" customHeight="1" x14ac:dyDescent="0.35"/>
  </sheetData>
  <mergeCells count="634">
    <mergeCell ref="H74:J74"/>
    <mergeCell ref="A190:J193"/>
    <mergeCell ref="A189:B189"/>
    <mergeCell ref="A172:J172"/>
    <mergeCell ref="A173:B173"/>
    <mergeCell ref="D173:E173"/>
    <mergeCell ref="I173:J179"/>
    <mergeCell ref="A174:B174"/>
    <mergeCell ref="A175:B175"/>
    <mergeCell ref="D175:E175"/>
    <mergeCell ref="A176:B176"/>
    <mergeCell ref="D176:E176"/>
    <mergeCell ref="A177:B177"/>
    <mergeCell ref="D177:E177"/>
    <mergeCell ref="A178:B178"/>
    <mergeCell ref="D178:E178"/>
    <mergeCell ref="A179:B179"/>
    <mergeCell ref="D179:E179"/>
    <mergeCell ref="C174:H174"/>
    <mergeCell ref="E189:G189"/>
    <mergeCell ref="C189:D189"/>
    <mergeCell ref="H189:J189"/>
    <mergeCell ref="A180:J180"/>
    <mergeCell ref="A181:J181"/>
    <mergeCell ref="A182:J182"/>
    <mergeCell ref="A162:J162"/>
    <mergeCell ref="A163:J163"/>
    <mergeCell ref="A164:J164"/>
    <mergeCell ref="A165:B165"/>
    <mergeCell ref="D165:E165"/>
    <mergeCell ref="I165:J171"/>
    <mergeCell ref="A166:B166"/>
    <mergeCell ref="D166:E166"/>
    <mergeCell ref="A167:B167"/>
    <mergeCell ref="D167:E167"/>
    <mergeCell ref="A168:B168"/>
    <mergeCell ref="D168:E168"/>
    <mergeCell ref="A169:B169"/>
    <mergeCell ref="D169:E169"/>
    <mergeCell ref="A170:B170"/>
    <mergeCell ref="D170:E170"/>
    <mergeCell ref="A171:B171"/>
    <mergeCell ref="D171:E171"/>
    <mergeCell ref="A50:J50"/>
    <mergeCell ref="A51:C51"/>
    <mergeCell ref="D51:E51"/>
    <mergeCell ref="F51:G51"/>
    <mergeCell ref="H51:J51"/>
    <mergeCell ref="A87:J87"/>
    <mergeCell ref="A88:B88"/>
    <mergeCell ref="C88:J88"/>
    <mergeCell ref="I125:J132"/>
    <mergeCell ref="A89:J89"/>
    <mergeCell ref="A90:F90"/>
    <mergeCell ref="G90:J90"/>
    <mergeCell ref="A93:F93"/>
    <mergeCell ref="G93:J93"/>
    <mergeCell ref="A94:F94"/>
    <mergeCell ref="G94:J94"/>
    <mergeCell ref="A91:F91"/>
    <mergeCell ref="A86:J86"/>
    <mergeCell ref="A61:B61"/>
    <mergeCell ref="G91:J91"/>
    <mergeCell ref="A95:J95"/>
    <mergeCell ref="A97:B97"/>
    <mergeCell ref="A96:B96"/>
    <mergeCell ref="D96:F96"/>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37:J37"/>
    <mergeCell ref="C32:J32"/>
    <mergeCell ref="A33:B33"/>
    <mergeCell ref="C33:J33"/>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C14:E14"/>
    <mergeCell ref="A11:E11"/>
    <mergeCell ref="F11:J11"/>
    <mergeCell ref="A12:E12"/>
    <mergeCell ref="F12:J12"/>
    <mergeCell ref="A13:B13"/>
    <mergeCell ref="C13:J13"/>
    <mergeCell ref="F14:G14"/>
    <mergeCell ref="H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H48:J48"/>
    <mergeCell ref="A48:B48"/>
    <mergeCell ref="C48:F48"/>
    <mergeCell ref="A49:C49"/>
    <mergeCell ref="D49:E49"/>
    <mergeCell ref="F49:G49"/>
    <mergeCell ref="H49:J49"/>
    <mergeCell ref="A38:E38"/>
    <mergeCell ref="F38:J38"/>
    <mergeCell ref="H45:J45"/>
    <mergeCell ref="H46:J46"/>
    <mergeCell ref="A46:B46"/>
    <mergeCell ref="C46:F46"/>
    <mergeCell ref="A47:B47"/>
    <mergeCell ref="C47:F47"/>
    <mergeCell ref="A45:B45"/>
    <mergeCell ref="C45:F45"/>
    <mergeCell ref="A40:E40"/>
    <mergeCell ref="F40:J40"/>
    <mergeCell ref="A41:E41"/>
    <mergeCell ref="F41:J41"/>
    <mergeCell ref="A42:E42"/>
    <mergeCell ref="H47:J47"/>
    <mergeCell ref="A39:E39"/>
    <mergeCell ref="G96:J96"/>
    <mergeCell ref="D97:F97"/>
    <mergeCell ref="G97:J97"/>
    <mergeCell ref="A92:F92"/>
    <mergeCell ref="G92:J92"/>
    <mergeCell ref="A100:B100"/>
    <mergeCell ref="D100:F100"/>
    <mergeCell ref="G100:J100"/>
    <mergeCell ref="A101:J101"/>
    <mergeCell ref="A102:J102"/>
    <mergeCell ref="A103:B103"/>
    <mergeCell ref="D103:E103"/>
    <mergeCell ref="I103:J103"/>
    <mergeCell ref="A98:B98"/>
    <mergeCell ref="D98:F98"/>
    <mergeCell ref="G98:J98"/>
    <mergeCell ref="A99:B99"/>
    <mergeCell ref="D99:F99"/>
    <mergeCell ref="G99:J99"/>
    <mergeCell ref="A104:J104"/>
    <mergeCell ref="A110:B110"/>
    <mergeCell ref="D110:E110"/>
    <mergeCell ref="A109:B109"/>
    <mergeCell ref="D109:E109"/>
    <mergeCell ref="A107:B107"/>
    <mergeCell ref="D107:E107"/>
    <mergeCell ref="A108:B108"/>
    <mergeCell ref="D108:E108"/>
    <mergeCell ref="A106:J106"/>
    <mergeCell ref="A105:J105"/>
    <mergeCell ref="D120:E120"/>
    <mergeCell ref="A121:B121"/>
    <mergeCell ref="D121:E121"/>
    <mergeCell ref="A122:B122"/>
    <mergeCell ref="D122:E122"/>
    <mergeCell ref="A117:B117"/>
    <mergeCell ref="D117:E117"/>
    <mergeCell ref="A118:B118"/>
    <mergeCell ref="D118:E118"/>
    <mergeCell ref="A119:B119"/>
    <mergeCell ref="D119:E119"/>
    <mergeCell ref="A200:B200"/>
    <mergeCell ref="D200:E200"/>
    <mergeCell ref="I200:J200"/>
    <mergeCell ref="A113:B113"/>
    <mergeCell ref="D113:E113"/>
    <mergeCell ref="A114:B114"/>
    <mergeCell ref="D114:E114"/>
    <mergeCell ref="A111:B111"/>
    <mergeCell ref="D111:E111"/>
    <mergeCell ref="A112:B112"/>
    <mergeCell ref="D112:E112"/>
    <mergeCell ref="A115:J115"/>
    <mergeCell ref="I107:J114"/>
    <mergeCell ref="A116:B116"/>
    <mergeCell ref="D116:E116"/>
    <mergeCell ref="A123:B123"/>
    <mergeCell ref="D123:E123"/>
    <mergeCell ref="A124:J124"/>
    <mergeCell ref="A125:B125"/>
    <mergeCell ref="D125:E125"/>
    <mergeCell ref="A126:B126"/>
    <mergeCell ref="D126:E126"/>
    <mergeCell ref="I116:J123"/>
    <mergeCell ref="A120:B120"/>
    <mergeCell ref="A198:B198"/>
    <mergeCell ref="D198:E198"/>
    <mergeCell ref="I198:J198"/>
    <mergeCell ref="A199:B199"/>
    <mergeCell ref="D199:E199"/>
    <mergeCell ref="I199:J199"/>
    <mergeCell ref="A196:B196"/>
    <mergeCell ref="D196:E196"/>
    <mergeCell ref="I196:J196"/>
    <mergeCell ref="A197:B197"/>
    <mergeCell ref="D197:E197"/>
    <mergeCell ref="I197:J197"/>
    <mergeCell ref="A202:B202"/>
    <mergeCell ref="D202:E202"/>
    <mergeCell ref="I202:J202"/>
    <mergeCell ref="A203:B203"/>
    <mergeCell ref="D203:E203"/>
    <mergeCell ref="I203:J203"/>
    <mergeCell ref="A201:B201"/>
    <mergeCell ref="D201:E201"/>
    <mergeCell ref="I201:J201"/>
    <mergeCell ref="A206:B206"/>
    <mergeCell ref="D206:E206"/>
    <mergeCell ref="I206:J206"/>
    <mergeCell ref="A207:B207"/>
    <mergeCell ref="D207:E207"/>
    <mergeCell ref="I207:J207"/>
    <mergeCell ref="A204:B204"/>
    <mergeCell ref="D204:E204"/>
    <mergeCell ref="I204:J204"/>
    <mergeCell ref="A205:B205"/>
    <mergeCell ref="D205:E205"/>
    <mergeCell ref="I205:J205"/>
    <mergeCell ref="A210:B210"/>
    <mergeCell ref="D210:E210"/>
    <mergeCell ref="I210:J210"/>
    <mergeCell ref="A211:B211"/>
    <mergeCell ref="D211:E211"/>
    <mergeCell ref="I211:J211"/>
    <mergeCell ref="A208:B208"/>
    <mergeCell ref="D208:E208"/>
    <mergeCell ref="I208:J208"/>
    <mergeCell ref="A209:B209"/>
    <mergeCell ref="D209:E209"/>
    <mergeCell ref="I209:J209"/>
    <mergeCell ref="A214:B214"/>
    <mergeCell ref="D214:E214"/>
    <mergeCell ref="I214:J214"/>
    <mergeCell ref="A215:B215"/>
    <mergeCell ref="D215:E215"/>
    <mergeCell ref="I215:J215"/>
    <mergeCell ref="A212:B212"/>
    <mergeCell ref="D212:E212"/>
    <mergeCell ref="I212:J212"/>
    <mergeCell ref="A213:B213"/>
    <mergeCell ref="D213:E213"/>
    <mergeCell ref="I213:J213"/>
    <mergeCell ref="A218:B218"/>
    <mergeCell ref="D218:E218"/>
    <mergeCell ref="I218:J218"/>
    <mergeCell ref="A219:B219"/>
    <mergeCell ref="D219:E219"/>
    <mergeCell ref="I219:J219"/>
    <mergeCell ref="A216:B216"/>
    <mergeCell ref="D216:E216"/>
    <mergeCell ref="I216:J216"/>
    <mergeCell ref="A217:B217"/>
    <mergeCell ref="D217:E217"/>
    <mergeCell ref="I217:J217"/>
    <mergeCell ref="A222:B222"/>
    <mergeCell ref="D222:E222"/>
    <mergeCell ref="I222:J222"/>
    <mergeCell ref="A223:B223"/>
    <mergeCell ref="D223:E223"/>
    <mergeCell ref="I223:J223"/>
    <mergeCell ref="A220:B220"/>
    <mergeCell ref="D220:E220"/>
    <mergeCell ref="I220:J220"/>
    <mergeCell ref="A221:B221"/>
    <mergeCell ref="D221:E221"/>
    <mergeCell ref="I221:J221"/>
    <mergeCell ref="A224:B224"/>
    <mergeCell ref="D224:E224"/>
    <mergeCell ref="I224:J224"/>
    <mergeCell ref="A225:B225"/>
    <mergeCell ref="D225:E225"/>
    <mergeCell ref="I225:J225"/>
    <mergeCell ref="A233:B233"/>
    <mergeCell ref="D233:E233"/>
    <mergeCell ref="I233:J233"/>
    <mergeCell ref="A232:B232"/>
    <mergeCell ref="D232:E232"/>
    <mergeCell ref="I232:J232"/>
    <mergeCell ref="A226:B226"/>
    <mergeCell ref="D226:E226"/>
    <mergeCell ref="I226:J226"/>
    <mergeCell ref="A231:B231"/>
    <mergeCell ref="D231:E231"/>
    <mergeCell ref="I231:J231"/>
    <mergeCell ref="A230:B230"/>
    <mergeCell ref="D230:E230"/>
    <mergeCell ref="I230:J230"/>
    <mergeCell ref="A227:B227"/>
    <mergeCell ref="D227:E227"/>
    <mergeCell ref="I227:J227"/>
    <mergeCell ref="A236:B236"/>
    <mergeCell ref="D236:E236"/>
    <mergeCell ref="I236:J236"/>
    <mergeCell ref="A234:B234"/>
    <mergeCell ref="D234:E234"/>
    <mergeCell ref="I234:J234"/>
    <mergeCell ref="A235:B235"/>
    <mergeCell ref="D235:E235"/>
    <mergeCell ref="I235:J235"/>
    <mergeCell ref="A237:B237"/>
    <mergeCell ref="D237:E237"/>
    <mergeCell ref="I237:J237"/>
    <mergeCell ref="A244:B244"/>
    <mergeCell ref="D244:E244"/>
    <mergeCell ref="I244:J244"/>
    <mergeCell ref="A245:B245"/>
    <mergeCell ref="D245:E245"/>
    <mergeCell ref="I245:J245"/>
    <mergeCell ref="A242:B242"/>
    <mergeCell ref="D242:E242"/>
    <mergeCell ref="I242:J242"/>
    <mergeCell ref="A243:B243"/>
    <mergeCell ref="D243:E243"/>
    <mergeCell ref="I243:J243"/>
    <mergeCell ref="A240:B240"/>
    <mergeCell ref="D240:E240"/>
    <mergeCell ref="I240:J240"/>
    <mergeCell ref="A241:B241"/>
    <mergeCell ref="D241:E241"/>
    <mergeCell ref="I241:J241"/>
    <mergeCell ref="A239:B239"/>
    <mergeCell ref="D239:E239"/>
    <mergeCell ref="I239:J239"/>
    <mergeCell ref="A248:B248"/>
    <mergeCell ref="D248:E248"/>
    <mergeCell ref="I248:J248"/>
    <mergeCell ref="A249:B249"/>
    <mergeCell ref="D249:E249"/>
    <mergeCell ref="I249:J249"/>
    <mergeCell ref="A246:B246"/>
    <mergeCell ref="D246:E246"/>
    <mergeCell ref="I246:J246"/>
    <mergeCell ref="A247:B247"/>
    <mergeCell ref="D247:E247"/>
    <mergeCell ref="I247:J247"/>
    <mergeCell ref="A252:B252"/>
    <mergeCell ref="D252:E252"/>
    <mergeCell ref="I252:J252"/>
    <mergeCell ref="A253:B253"/>
    <mergeCell ref="D253:E253"/>
    <mergeCell ref="I253:J253"/>
    <mergeCell ref="A250:B250"/>
    <mergeCell ref="D250:E250"/>
    <mergeCell ref="I250:J250"/>
    <mergeCell ref="A251:B251"/>
    <mergeCell ref="D251:E251"/>
    <mergeCell ref="I251:J251"/>
    <mergeCell ref="A256:B256"/>
    <mergeCell ref="D256:E256"/>
    <mergeCell ref="I256:J256"/>
    <mergeCell ref="A257:B257"/>
    <mergeCell ref="D257:E257"/>
    <mergeCell ref="I257:J257"/>
    <mergeCell ref="A254:B254"/>
    <mergeCell ref="D254:E254"/>
    <mergeCell ref="I254:J254"/>
    <mergeCell ref="A255:B255"/>
    <mergeCell ref="D255:E255"/>
    <mergeCell ref="I255:J255"/>
    <mergeCell ref="A260:B260"/>
    <mergeCell ref="D260:E260"/>
    <mergeCell ref="I260:J260"/>
    <mergeCell ref="A261:B261"/>
    <mergeCell ref="D261:E261"/>
    <mergeCell ref="I261:J261"/>
    <mergeCell ref="A258:B258"/>
    <mergeCell ref="D258:E258"/>
    <mergeCell ref="I258:J258"/>
    <mergeCell ref="A259:B259"/>
    <mergeCell ref="D259:E259"/>
    <mergeCell ref="I259:J259"/>
    <mergeCell ref="A268:B268"/>
    <mergeCell ref="D268:E268"/>
    <mergeCell ref="I268:J268"/>
    <mergeCell ref="A262:B262"/>
    <mergeCell ref="D262:E262"/>
    <mergeCell ref="I262:J262"/>
    <mergeCell ref="A263:B263"/>
    <mergeCell ref="D263:E263"/>
    <mergeCell ref="I263:J263"/>
    <mergeCell ref="A277:B277"/>
    <mergeCell ref="D277:E277"/>
    <mergeCell ref="I277:J277"/>
    <mergeCell ref="A186:J186"/>
    <mergeCell ref="A187:J187"/>
    <mergeCell ref="A188:J188"/>
    <mergeCell ref="A270:B270"/>
    <mergeCell ref="D270:E270"/>
    <mergeCell ref="I270:J270"/>
    <mergeCell ref="A271:B271"/>
    <mergeCell ref="D271:E271"/>
    <mergeCell ref="I271:J271"/>
    <mergeCell ref="D274:E274"/>
    <mergeCell ref="I274:J274"/>
    <mergeCell ref="A275:B275"/>
    <mergeCell ref="D275:E275"/>
    <mergeCell ref="I275:J275"/>
    <mergeCell ref="A272:B272"/>
    <mergeCell ref="D272:E272"/>
    <mergeCell ref="I272:J272"/>
    <mergeCell ref="A273:B273"/>
    <mergeCell ref="D273:E273"/>
    <mergeCell ref="I273:J273"/>
    <mergeCell ref="A274:B274"/>
    <mergeCell ref="F42:J42"/>
    <mergeCell ref="A43:E43"/>
    <mergeCell ref="F43:J43"/>
    <mergeCell ref="A44:J44"/>
    <mergeCell ref="A184:J184"/>
    <mergeCell ref="A185:J185"/>
    <mergeCell ref="A276:B276"/>
    <mergeCell ref="D276:E276"/>
    <mergeCell ref="I276:J276"/>
    <mergeCell ref="A269:B269"/>
    <mergeCell ref="D269:E269"/>
    <mergeCell ref="I269:J269"/>
    <mergeCell ref="A264:B264"/>
    <mergeCell ref="D264:E264"/>
    <mergeCell ref="I264:J264"/>
    <mergeCell ref="A265:B265"/>
    <mergeCell ref="D265:E265"/>
    <mergeCell ref="I265:J265"/>
    <mergeCell ref="A266:B266"/>
    <mergeCell ref="D266:E266"/>
    <mergeCell ref="I266:J266"/>
    <mergeCell ref="A267:B267"/>
    <mergeCell ref="D267:E267"/>
    <mergeCell ref="I267:J267"/>
    <mergeCell ref="A58:B58"/>
    <mergeCell ref="C58:J58"/>
    <mergeCell ref="A59:B59"/>
    <mergeCell ref="D59:E59"/>
    <mergeCell ref="F59:G59"/>
    <mergeCell ref="H59:J59"/>
    <mergeCell ref="A60:B60"/>
    <mergeCell ref="D60:E60"/>
    <mergeCell ref="F60:G69"/>
    <mergeCell ref="H60:J69"/>
    <mergeCell ref="D61:E61"/>
    <mergeCell ref="A62:B62"/>
    <mergeCell ref="D62:E62"/>
    <mergeCell ref="A63:B63"/>
    <mergeCell ref="D63:E63"/>
    <mergeCell ref="A64:B64"/>
    <mergeCell ref="D64:E64"/>
    <mergeCell ref="A65:B65"/>
    <mergeCell ref="D65:E65"/>
    <mergeCell ref="A66:B66"/>
    <mergeCell ref="D66:E66"/>
    <mergeCell ref="A67:B67"/>
    <mergeCell ref="D67:E67"/>
    <mergeCell ref="A68:B68"/>
    <mergeCell ref="A52:B52"/>
    <mergeCell ref="A53:C53"/>
    <mergeCell ref="D53:J53"/>
    <mergeCell ref="A56:B56"/>
    <mergeCell ref="C56:J56"/>
    <mergeCell ref="E57:F57"/>
    <mergeCell ref="I57:J57"/>
    <mergeCell ref="A54:J54"/>
    <mergeCell ref="A55:J55"/>
    <mergeCell ref="C52:J52"/>
    <mergeCell ref="A183:J183"/>
    <mergeCell ref="A142:B142"/>
    <mergeCell ref="D142:E142"/>
    <mergeCell ref="A143:B143"/>
    <mergeCell ref="D143:E143"/>
    <mergeCell ref="A140:B140"/>
    <mergeCell ref="D140:E140"/>
    <mergeCell ref="A141:B141"/>
    <mergeCell ref="A152:B152"/>
    <mergeCell ref="D152:E152"/>
    <mergeCell ref="A147:B147"/>
    <mergeCell ref="D147:E147"/>
    <mergeCell ref="A148:B148"/>
    <mergeCell ref="D148:E148"/>
    <mergeCell ref="A149:B149"/>
    <mergeCell ref="D149:E149"/>
    <mergeCell ref="A160:B160"/>
    <mergeCell ref="D160:E160"/>
    <mergeCell ref="A161:B161"/>
    <mergeCell ref="D161:E161"/>
    <mergeCell ref="I154:J161"/>
    <mergeCell ref="A157:B157"/>
    <mergeCell ref="D157:E157"/>
    <mergeCell ref="A158:B158"/>
    <mergeCell ref="A130:B130"/>
    <mergeCell ref="D130:E130"/>
    <mergeCell ref="A131:B131"/>
    <mergeCell ref="D131:E131"/>
    <mergeCell ref="A132:B132"/>
    <mergeCell ref="D132:E132"/>
    <mergeCell ref="A127:B127"/>
    <mergeCell ref="D127:E127"/>
    <mergeCell ref="A128:B128"/>
    <mergeCell ref="D128:E128"/>
    <mergeCell ref="A129:B129"/>
    <mergeCell ref="D129:E129"/>
    <mergeCell ref="A133:J133"/>
    <mergeCell ref="A134:J134"/>
    <mergeCell ref="A135:J135"/>
    <mergeCell ref="A144:J144"/>
    <mergeCell ref="A145:B145"/>
    <mergeCell ref="D145:E145"/>
    <mergeCell ref="A146:B146"/>
    <mergeCell ref="D146:E146"/>
    <mergeCell ref="D141:E141"/>
    <mergeCell ref="A138:B138"/>
    <mergeCell ref="D138:E138"/>
    <mergeCell ref="A139:B139"/>
    <mergeCell ref="D139:E139"/>
    <mergeCell ref="A136:B136"/>
    <mergeCell ref="D136:E136"/>
    <mergeCell ref="A137:B137"/>
    <mergeCell ref="I145:J152"/>
    <mergeCell ref="I136:J143"/>
    <mergeCell ref="A150:B150"/>
    <mergeCell ref="D150:E150"/>
    <mergeCell ref="A151:B151"/>
    <mergeCell ref="D151:E151"/>
    <mergeCell ref="D137:E137"/>
    <mergeCell ref="D158:E158"/>
    <mergeCell ref="A159:B159"/>
    <mergeCell ref="D159:E159"/>
    <mergeCell ref="A153:J153"/>
    <mergeCell ref="A154:B154"/>
    <mergeCell ref="D154:E154"/>
    <mergeCell ref="A155:B155"/>
    <mergeCell ref="D155:E155"/>
    <mergeCell ref="A156:B156"/>
    <mergeCell ref="D156:E156"/>
    <mergeCell ref="A81:B81"/>
    <mergeCell ref="D81:E81"/>
    <mergeCell ref="A82:B82"/>
    <mergeCell ref="D82:E82"/>
    <mergeCell ref="A83:B83"/>
    <mergeCell ref="D83:E83"/>
    <mergeCell ref="A84:B84"/>
    <mergeCell ref="D84:E84"/>
    <mergeCell ref="D68:E68"/>
    <mergeCell ref="A69:B69"/>
    <mergeCell ref="D69:E69"/>
    <mergeCell ref="A71:B71"/>
    <mergeCell ref="C71:J71"/>
    <mergeCell ref="E72:F72"/>
    <mergeCell ref="I72:J72"/>
    <mergeCell ref="A73:B73"/>
    <mergeCell ref="C73:J73"/>
    <mergeCell ref="A70:B70"/>
    <mergeCell ref="C70:E70"/>
    <mergeCell ref="F70:G70"/>
    <mergeCell ref="H70:J70"/>
    <mergeCell ref="A74:B74"/>
    <mergeCell ref="C74:E74"/>
    <mergeCell ref="F74:G74"/>
    <mergeCell ref="A228:B228"/>
    <mergeCell ref="D228:E228"/>
    <mergeCell ref="I228:J228"/>
    <mergeCell ref="A229:B229"/>
    <mergeCell ref="D229:E229"/>
    <mergeCell ref="I229:J229"/>
    <mergeCell ref="A85:B85"/>
    <mergeCell ref="D85:E85"/>
    <mergeCell ref="A75:B75"/>
    <mergeCell ref="D75:E75"/>
    <mergeCell ref="F75:G75"/>
    <mergeCell ref="H75:J75"/>
    <mergeCell ref="A76:B76"/>
    <mergeCell ref="D76:E76"/>
    <mergeCell ref="F76:G85"/>
    <mergeCell ref="H76:J85"/>
    <mergeCell ref="A77:B77"/>
    <mergeCell ref="D77:E77"/>
    <mergeCell ref="A78:B78"/>
    <mergeCell ref="D78:E78"/>
    <mergeCell ref="A79:B79"/>
    <mergeCell ref="D79:E79"/>
    <mergeCell ref="A80:B80"/>
    <mergeCell ref="D80:E80"/>
  </mergeCells>
  <hyperlinks>
    <hyperlink ref="C33" r:id="rId1"/>
  </hyperlinks>
  <pageMargins left="0.43307086614173229" right="0.43307086614173229" top="0.78740157480314965" bottom="0.78740157480314965" header="0.19685039370078741" footer="0.19685039370078741"/>
  <pageSetup paperSize="9" scale="95" fitToHeight="0" orientation="portrait" r:id="rId2"/>
  <headerFooter>
    <oddHeader>&amp;C&amp;G</oddHeader>
    <oddFooter>&amp;L&amp;"Times New Roman,Bold"&amp;12Ref No: &amp;F&amp;C&amp;G&amp;R&amp;"Times New Roman,Bold"&amp;12&amp;P</oddFooter>
  </headerFooter>
  <rowBreaks count="2" manualBreakCount="2">
    <brk id="193" max="16383" man="1"/>
    <brk id="23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G5" sqref="G5"/>
    </sheetView>
  </sheetViews>
  <sheetFormatPr defaultColWidth="8.7265625" defaultRowHeight="14.5" x14ac:dyDescent="0.35"/>
  <cols>
    <col min="1" max="1" width="8.7265625" style="10"/>
    <col min="2" max="2" width="22.1796875" style="10" customWidth="1"/>
    <col min="3" max="3" width="37" style="10" customWidth="1"/>
    <col min="4" max="5" width="11.453125" style="10" customWidth="1"/>
    <col min="6" max="6" width="14" style="10" customWidth="1"/>
    <col min="7" max="7" width="20" style="10" customWidth="1"/>
    <col min="8" max="8" width="16.453125" style="10" customWidth="1"/>
    <col min="9" max="16384" width="8.7265625" style="10"/>
  </cols>
  <sheetData>
    <row r="1" spans="1:9" ht="15" customHeight="1" x14ac:dyDescent="0.35">
      <c r="A1" s="9"/>
      <c r="B1" s="9"/>
      <c r="C1" s="9"/>
      <c r="D1" s="9"/>
      <c r="E1" s="9"/>
      <c r="F1" s="9"/>
      <c r="G1" s="9"/>
      <c r="H1" s="9"/>
    </row>
    <row r="2" spans="1:9" ht="15" customHeight="1" x14ac:dyDescent="0.35">
      <c r="A2" s="11"/>
      <c r="B2" s="11"/>
      <c r="C2" s="11"/>
      <c r="D2" s="11"/>
      <c r="E2" s="11"/>
      <c r="F2" s="11"/>
      <c r="G2" s="11"/>
      <c r="H2" s="11"/>
    </row>
    <row r="3" spans="1:9" x14ac:dyDescent="0.35">
      <c r="A3" s="11"/>
      <c r="B3" s="224" t="s">
        <v>167</v>
      </c>
      <c r="C3" s="224"/>
      <c r="D3" s="224"/>
      <c r="E3" s="224"/>
      <c r="F3" s="224"/>
      <c r="G3" s="224"/>
      <c r="H3" s="224"/>
    </row>
    <row r="4" spans="1:9" x14ac:dyDescent="0.35">
      <c r="A4" s="11"/>
      <c r="B4" s="12" t="s">
        <v>168</v>
      </c>
      <c r="C4" s="12" t="s">
        <v>169</v>
      </c>
      <c r="D4" s="12" t="s">
        <v>97</v>
      </c>
      <c r="E4" s="12" t="s">
        <v>170</v>
      </c>
      <c r="F4" s="12" t="s">
        <v>171</v>
      </c>
      <c r="G4" s="12" t="s">
        <v>172</v>
      </c>
      <c r="H4" s="12" t="s">
        <v>173</v>
      </c>
    </row>
    <row r="5" spans="1:9" ht="15" customHeight="1" x14ac:dyDescent="0.35">
      <c r="A5" s="11"/>
      <c r="B5" s="13" t="s">
        <v>174</v>
      </c>
      <c r="C5" s="14" t="s">
        <v>177</v>
      </c>
      <c r="D5" s="13" t="s">
        <v>145</v>
      </c>
      <c r="E5" s="13">
        <v>495</v>
      </c>
      <c r="F5" s="15">
        <v>750</v>
      </c>
      <c r="G5" s="15">
        <f>H5/F5</f>
        <v>4466.666666666667</v>
      </c>
      <c r="H5" s="16">
        <v>3350000</v>
      </c>
    </row>
    <row r="6" spans="1:9" x14ac:dyDescent="0.35">
      <c r="A6" s="11"/>
      <c r="B6" s="13" t="s">
        <v>174</v>
      </c>
      <c r="C6" s="14" t="s">
        <v>177</v>
      </c>
      <c r="D6" s="13" t="s">
        <v>146</v>
      </c>
      <c r="E6" s="13">
        <v>745</v>
      </c>
      <c r="F6" s="15">
        <v>1050</v>
      </c>
      <c r="G6" s="15">
        <f t="shared" ref="G6" si="0">H6/F6</f>
        <v>4952.3809523809523</v>
      </c>
      <c r="H6" s="16">
        <v>5200000</v>
      </c>
    </row>
    <row r="7" spans="1:9" ht="15" customHeight="1" x14ac:dyDescent="0.35">
      <c r="A7" s="11"/>
      <c r="B7" s="17" t="s">
        <v>175</v>
      </c>
      <c r="C7" s="13"/>
      <c r="D7" s="13"/>
      <c r="E7" s="13"/>
      <c r="F7" s="13"/>
      <c r="G7" s="18">
        <f>AVERAGE(G5:G6)</f>
        <v>4709.5238095238092</v>
      </c>
      <c r="H7" s="13"/>
    </row>
    <row r="8" spans="1:9" ht="15" customHeight="1" x14ac:dyDescent="0.35">
      <c r="A8" s="9"/>
      <c r="B8" s="17" t="s">
        <v>176</v>
      </c>
      <c r="C8" s="19"/>
      <c r="D8" s="19"/>
      <c r="E8" s="19"/>
      <c r="F8" s="20"/>
      <c r="G8" s="17">
        <v>4700</v>
      </c>
      <c r="H8" s="17"/>
      <c r="I8" s="21"/>
    </row>
    <row r="9" spans="1:9" ht="15" customHeight="1" x14ac:dyDescent="0.35">
      <c r="B9" s="9"/>
      <c r="C9" s="9"/>
      <c r="D9" s="9"/>
      <c r="E9" s="9"/>
    </row>
    <row r="10" spans="1:9" ht="15" customHeight="1" x14ac:dyDescent="0.35">
      <c r="B10" s="9"/>
      <c r="C10" s="9"/>
      <c r="D10" s="9"/>
      <c r="E10" s="9"/>
    </row>
    <row r="11" spans="1:9" ht="15" customHeight="1" x14ac:dyDescent="0.35">
      <c r="B11" s="9"/>
      <c r="C11" s="9"/>
      <c r="D11" s="9"/>
      <c r="E11" s="9"/>
    </row>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
  <sheetViews>
    <sheetView workbookViewId="0">
      <selection activeCell="O9" sqref="O9"/>
    </sheetView>
  </sheetViews>
  <sheetFormatPr defaultRowHeight="14.5" x14ac:dyDescent="0.35"/>
  <cols>
    <col min="1" max="1" width="11.1796875" bestFit="1" customWidth="1"/>
  </cols>
  <sheetData>
    <row r="2" spans="1:14" x14ac:dyDescent="0.35">
      <c r="A2" t="s">
        <v>164</v>
      </c>
      <c r="B2" t="s">
        <v>165</v>
      </c>
      <c r="N2" s="22" t="s">
        <v>178</v>
      </c>
    </row>
    <row r="3" spans="1:14" x14ac:dyDescent="0.35">
      <c r="N3" s="22" t="s">
        <v>179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6" workbookViewId="0">
      <selection activeCell="C29" sqref="C29:D30"/>
    </sheetView>
  </sheetViews>
  <sheetFormatPr defaultRowHeight="14.5" x14ac:dyDescent="0.35"/>
  <cols>
    <col min="2" max="2" width="12.26953125" customWidth="1"/>
  </cols>
  <sheetData>
    <row r="2" spans="1:12" x14ac:dyDescent="0.35">
      <c r="B2" s="3" t="s">
        <v>96</v>
      </c>
      <c r="C2" s="225"/>
      <c r="D2" s="225"/>
    </row>
    <row r="3" spans="1:12" x14ac:dyDescent="0.35">
      <c r="D3" s="4"/>
      <c r="E3" s="4"/>
      <c r="F3" s="4"/>
      <c r="G3" s="4"/>
      <c r="H3" s="4"/>
      <c r="I3" s="4"/>
    </row>
    <row r="4" spans="1:12" x14ac:dyDescent="0.35">
      <c r="A4" s="3" t="s">
        <v>97</v>
      </c>
      <c r="B4" s="5" t="s">
        <v>98</v>
      </c>
      <c r="C4" s="226" t="s">
        <v>99</v>
      </c>
      <c r="D4" s="226"/>
      <c r="E4" s="226"/>
      <c r="F4" s="6"/>
      <c r="G4" s="226" t="s">
        <v>100</v>
      </c>
      <c r="H4" s="226"/>
      <c r="I4" s="226"/>
      <c r="J4" s="226" t="s">
        <v>101</v>
      </c>
      <c r="K4" s="226"/>
      <c r="L4" s="226"/>
    </row>
    <row r="5" spans="1:12" x14ac:dyDescent="0.35">
      <c r="A5" s="3">
        <v>1</v>
      </c>
      <c r="B5" s="5"/>
      <c r="C5" s="5" t="s">
        <v>102</v>
      </c>
      <c r="D5" s="5" t="s">
        <v>103</v>
      </c>
      <c r="E5" s="5" t="s">
        <v>75</v>
      </c>
      <c r="F5" s="5"/>
      <c r="G5" s="5" t="s">
        <v>102</v>
      </c>
      <c r="H5" s="5" t="s">
        <v>103</v>
      </c>
      <c r="I5" s="5" t="s">
        <v>75</v>
      </c>
      <c r="J5" s="5" t="s">
        <v>102</v>
      </c>
      <c r="K5" s="5" t="s">
        <v>103</v>
      </c>
      <c r="L5" s="5" t="s">
        <v>75</v>
      </c>
    </row>
    <row r="6" spans="1:12" x14ac:dyDescent="0.35">
      <c r="B6" s="7" t="s">
        <v>104</v>
      </c>
      <c r="C6" s="7">
        <v>4.0999999999999996</v>
      </c>
      <c r="D6" s="7">
        <v>3.05</v>
      </c>
      <c r="E6" s="7">
        <f>C6*D6</f>
        <v>12.504999999999999</v>
      </c>
      <c r="F6" s="7" t="s">
        <v>105</v>
      </c>
      <c r="G6" s="7"/>
      <c r="H6" s="7"/>
      <c r="I6" s="7">
        <f>G6*H6</f>
        <v>0</v>
      </c>
      <c r="J6" s="7"/>
      <c r="K6" s="7"/>
      <c r="L6" s="7">
        <f>J6*K6</f>
        <v>0</v>
      </c>
    </row>
    <row r="7" spans="1:12" x14ac:dyDescent="0.35">
      <c r="B7" s="7"/>
      <c r="C7" s="7"/>
      <c r="D7" s="7"/>
      <c r="E7" s="7">
        <f t="shared" ref="E7:E33" si="0">C7*D7</f>
        <v>0</v>
      </c>
      <c r="F7" s="7" t="s">
        <v>106</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107</v>
      </c>
      <c r="C9" s="7">
        <v>2.35</v>
      </c>
      <c r="D9" s="7">
        <v>2.1</v>
      </c>
      <c r="E9" s="7">
        <f t="shared" si="0"/>
        <v>4.9350000000000005</v>
      </c>
      <c r="F9" s="7" t="s">
        <v>105</v>
      </c>
      <c r="G9" s="7"/>
      <c r="H9" s="7"/>
      <c r="I9" s="7">
        <f t="shared" si="1"/>
        <v>0</v>
      </c>
      <c r="J9" s="7"/>
      <c r="K9" s="7"/>
      <c r="L9" s="7">
        <f t="shared" si="2"/>
        <v>0</v>
      </c>
    </row>
    <row r="10" spans="1:12" x14ac:dyDescent="0.35">
      <c r="B10" s="7"/>
      <c r="C10" s="7"/>
      <c r="D10" s="7"/>
      <c r="E10" s="7">
        <f t="shared" si="0"/>
        <v>0</v>
      </c>
      <c r="F10" s="7" t="s">
        <v>106</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108</v>
      </c>
      <c r="C13" s="7">
        <v>2.75</v>
      </c>
      <c r="D13" s="7">
        <v>2.4</v>
      </c>
      <c r="E13" s="7">
        <f t="shared" si="0"/>
        <v>6.6</v>
      </c>
      <c r="F13" s="7" t="s">
        <v>105</v>
      </c>
      <c r="G13" s="7"/>
      <c r="H13" s="7"/>
      <c r="I13" s="7">
        <f t="shared" si="1"/>
        <v>0</v>
      </c>
      <c r="J13" s="7"/>
      <c r="K13" s="7"/>
      <c r="L13" s="7">
        <f t="shared" si="2"/>
        <v>0</v>
      </c>
    </row>
    <row r="14" spans="1:12" x14ac:dyDescent="0.35">
      <c r="B14" s="7"/>
      <c r="C14" s="7"/>
      <c r="D14" s="7"/>
      <c r="E14" s="7">
        <f t="shared" si="0"/>
        <v>0</v>
      </c>
      <c r="F14" s="7" t="s">
        <v>106</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109</v>
      </c>
      <c r="C17" s="7">
        <v>1.35</v>
      </c>
      <c r="D17" s="7">
        <v>3.05</v>
      </c>
      <c r="E17" s="7">
        <f t="shared" si="0"/>
        <v>4.1174999999999997</v>
      </c>
      <c r="F17" s="7" t="s">
        <v>105</v>
      </c>
      <c r="G17" s="7"/>
      <c r="H17" s="7"/>
      <c r="I17" s="7">
        <f t="shared" si="1"/>
        <v>0</v>
      </c>
      <c r="J17" s="7"/>
      <c r="K17" s="7"/>
      <c r="L17" s="7">
        <f t="shared" si="2"/>
        <v>0</v>
      </c>
    </row>
    <row r="18" spans="2:12" x14ac:dyDescent="0.35">
      <c r="B18" s="7"/>
      <c r="C18" s="7"/>
      <c r="D18" s="7"/>
      <c r="E18" s="7">
        <f t="shared" si="0"/>
        <v>0</v>
      </c>
      <c r="F18" s="7" t="s">
        <v>106</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109</v>
      </c>
      <c r="C20" s="7"/>
      <c r="D20" s="7"/>
      <c r="E20" s="7">
        <f t="shared" si="0"/>
        <v>0</v>
      </c>
      <c r="F20" s="7" t="s">
        <v>105</v>
      </c>
      <c r="G20" s="7"/>
      <c r="H20" s="7"/>
      <c r="I20" s="7">
        <f t="shared" si="1"/>
        <v>0</v>
      </c>
      <c r="J20" s="7"/>
      <c r="K20" s="7"/>
      <c r="L20" s="7">
        <f t="shared" si="2"/>
        <v>0</v>
      </c>
    </row>
    <row r="21" spans="2:12" x14ac:dyDescent="0.35">
      <c r="B21" s="7"/>
      <c r="C21" s="7"/>
      <c r="D21" s="7"/>
      <c r="E21" s="7">
        <f t="shared" si="0"/>
        <v>0</v>
      </c>
      <c r="F21" s="7" t="s">
        <v>106</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110</v>
      </c>
      <c r="C23" s="7">
        <v>1.35</v>
      </c>
      <c r="D23" s="7">
        <v>1.8</v>
      </c>
      <c r="E23" s="7">
        <f t="shared" si="0"/>
        <v>2.4300000000000002</v>
      </c>
      <c r="F23" s="7" t="s">
        <v>111</v>
      </c>
      <c r="G23" s="7"/>
      <c r="H23" s="7"/>
      <c r="I23" s="7">
        <f t="shared" si="1"/>
        <v>0</v>
      </c>
      <c r="J23" s="7"/>
      <c r="K23" s="7"/>
      <c r="L23" s="7">
        <f t="shared" si="2"/>
        <v>0</v>
      </c>
    </row>
    <row r="24" spans="2:12" x14ac:dyDescent="0.35">
      <c r="B24" s="7" t="s">
        <v>112</v>
      </c>
      <c r="C24" s="7">
        <v>1.2</v>
      </c>
      <c r="D24" s="7">
        <v>2.2000000000000002</v>
      </c>
      <c r="E24" s="7">
        <f t="shared" si="0"/>
        <v>2.64</v>
      </c>
      <c r="F24" s="7" t="s">
        <v>111</v>
      </c>
      <c r="G24" s="7"/>
      <c r="H24" s="7"/>
      <c r="I24" s="7">
        <f t="shared" si="1"/>
        <v>0</v>
      </c>
      <c r="J24" s="7"/>
      <c r="K24" s="7"/>
      <c r="L24" s="7">
        <f t="shared" si="2"/>
        <v>0</v>
      </c>
    </row>
    <row r="25" spans="2:12" x14ac:dyDescent="0.35">
      <c r="B25" s="7" t="s">
        <v>113</v>
      </c>
      <c r="C25" s="7"/>
      <c r="D25" s="7"/>
      <c r="E25" s="7">
        <f t="shared" si="0"/>
        <v>0</v>
      </c>
      <c r="F25" s="7" t="s">
        <v>111</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114</v>
      </c>
      <c r="C27" s="7">
        <v>0.9</v>
      </c>
      <c r="D27" s="7">
        <v>1</v>
      </c>
      <c r="E27" s="7">
        <f t="shared" si="0"/>
        <v>0.9</v>
      </c>
      <c r="F27" s="7"/>
      <c r="G27" s="7"/>
      <c r="H27" s="7"/>
      <c r="I27" s="7">
        <f t="shared" si="1"/>
        <v>0</v>
      </c>
      <c r="J27" s="7"/>
      <c r="K27" s="7"/>
      <c r="L27" s="7">
        <f t="shared" si="2"/>
        <v>0</v>
      </c>
    </row>
    <row r="28" spans="2:12" x14ac:dyDescent="0.35">
      <c r="B28" s="7" t="s">
        <v>115</v>
      </c>
      <c r="C28" s="7">
        <v>0.5</v>
      </c>
      <c r="D28" s="7">
        <v>1</v>
      </c>
      <c r="E28" s="7">
        <f t="shared" si="0"/>
        <v>0.5</v>
      </c>
      <c r="F28" s="7"/>
      <c r="G28" s="7"/>
      <c r="H28" s="7"/>
      <c r="I28" s="7">
        <f t="shared" si="1"/>
        <v>0</v>
      </c>
      <c r="J28" s="7"/>
      <c r="K28" s="7"/>
      <c r="L28" s="7">
        <f t="shared" si="2"/>
        <v>0</v>
      </c>
    </row>
    <row r="29" spans="2:12" x14ac:dyDescent="0.35">
      <c r="B29" s="7" t="s">
        <v>116</v>
      </c>
      <c r="C29" s="7"/>
      <c r="D29" s="7"/>
      <c r="E29" s="7">
        <f t="shared" si="0"/>
        <v>0</v>
      </c>
      <c r="F29" s="7"/>
      <c r="G29" s="7"/>
      <c r="H29" s="7"/>
      <c r="I29" s="7">
        <f t="shared" si="1"/>
        <v>0</v>
      </c>
      <c r="J29" s="7"/>
      <c r="K29" s="7"/>
      <c r="L29" s="7">
        <f t="shared" si="2"/>
        <v>0</v>
      </c>
    </row>
    <row r="30" spans="2:12" x14ac:dyDescent="0.35">
      <c r="B30" s="7" t="s">
        <v>117</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76</v>
      </c>
      <c r="C34" s="7"/>
      <c r="D34" s="7">
        <f>E34*10.764</f>
        <v>372.73040999999995</v>
      </c>
      <c r="E34" s="7">
        <f>SUM(E6:E33)</f>
        <v>34.627499999999998</v>
      </c>
      <c r="F34" s="7"/>
      <c r="G34" s="7"/>
      <c r="H34" s="7">
        <f>I34*10.764</f>
        <v>0</v>
      </c>
      <c r="I34" s="7">
        <f>SUM(I6:I33)</f>
        <v>0</v>
      </c>
      <c r="J34" s="7"/>
      <c r="K34" s="7">
        <f>L34*10.764</f>
        <v>0</v>
      </c>
      <c r="L34" s="7">
        <f>SUM(L6:L33)</f>
        <v>0</v>
      </c>
    </row>
    <row r="36" spans="2:12" x14ac:dyDescent="0.35">
      <c r="D36">
        <f>D34+H34</f>
        <v>372.73040999999995</v>
      </c>
      <c r="E36">
        <f>E34+I34</f>
        <v>34.627499999999998</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VALUATION</vt:lpstr>
      <vt:lpstr>Note</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2025-08-25T12:42:15Z</cp:lastPrinted>
  <dcterms:created xsi:type="dcterms:W3CDTF">2019-07-16T09:29:46Z</dcterms:created>
  <dcterms:modified xsi:type="dcterms:W3CDTF">2025-08-25T12:43:00Z</dcterms:modified>
</cp:coreProperties>
</file>