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APF\25-26\August 2025\SBI\Gaurav\Bhaveshwar Callista 3\"/>
    </mc:Choice>
  </mc:AlternateContent>
  <bookViews>
    <workbookView xWindow="0" yWindow="0" windowWidth="20490" windowHeight="6855" tabRatio="850"/>
  </bookViews>
  <sheets>
    <sheet name="Report" sheetId="11" r:id="rId1"/>
    <sheet name="Const. %" sheetId="12" r:id="rId2"/>
    <sheet name="unsold" sheetId="14" r:id="rId3"/>
    <sheet name="valuation" sheetId="2" r:id="rId4"/>
    <sheet name="Sheet1" sheetId="15" r:id="rId5"/>
    <sheet name="Sheet2" sheetId="16" r:id="rId6"/>
  </sheets>
  <definedNames>
    <definedName name="_xlnm.Print_Area" localSheetId="0">Report!$A$1:$N$1150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5" i="11" l="1"/>
  <c r="E554" i="11"/>
  <c r="E553" i="11"/>
  <c r="E552" i="11"/>
  <c r="E551" i="11"/>
  <c r="E550" i="11"/>
  <c r="E549" i="11"/>
  <c r="E548" i="11"/>
  <c r="E547" i="11"/>
  <c r="E546" i="11"/>
  <c r="E545" i="11"/>
  <c r="E544" i="11"/>
  <c r="E543" i="11"/>
  <c r="E542" i="11"/>
  <c r="E541" i="11"/>
  <c r="E540" i="11"/>
  <c r="E539" i="11"/>
  <c r="E538" i="11"/>
  <c r="E537" i="11"/>
  <c r="E536" i="11"/>
  <c r="E535" i="11"/>
  <c r="E534" i="11"/>
  <c r="E533" i="11"/>
  <c r="E532" i="11"/>
  <c r="E531" i="11"/>
  <c r="E530" i="11"/>
  <c r="E529" i="11"/>
  <c r="E528" i="11"/>
  <c r="E527" i="11"/>
  <c r="E526" i="11"/>
  <c r="E525" i="11"/>
  <c r="E524" i="11"/>
  <c r="E523" i="11"/>
  <c r="E522" i="11"/>
  <c r="E521" i="11"/>
  <c r="E520" i="11"/>
  <c r="E519" i="11"/>
  <c r="E518" i="11"/>
  <c r="E517" i="11"/>
  <c r="E516" i="11"/>
  <c r="E515" i="11"/>
  <c r="E514" i="11"/>
  <c r="E513" i="11"/>
  <c r="E512" i="11"/>
  <c r="E511" i="11"/>
  <c r="E510" i="11"/>
  <c r="E509" i="11"/>
  <c r="E508" i="11"/>
  <c r="E507" i="11"/>
  <c r="E506" i="11"/>
  <c r="E505" i="11"/>
  <c r="E504" i="11"/>
  <c r="E503" i="11"/>
  <c r="E502" i="11"/>
  <c r="E501" i="11"/>
  <c r="E500" i="11"/>
  <c r="E499" i="11"/>
  <c r="E498" i="11"/>
  <c r="E497" i="11"/>
  <c r="E496" i="11"/>
  <c r="E495" i="11"/>
  <c r="E494" i="11"/>
  <c r="E493" i="11"/>
  <c r="E492" i="11"/>
  <c r="E491" i="11"/>
  <c r="E490" i="11"/>
  <c r="E489" i="11"/>
  <c r="E488" i="11"/>
  <c r="E487" i="11"/>
  <c r="E486" i="11"/>
  <c r="E485" i="11"/>
  <c r="E484" i="11"/>
  <c r="E483" i="11"/>
  <c r="E482" i="11"/>
  <c r="E481" i="11"/>
  <c r="E480" i="11"/>
  <c r="E479" i="11"/>
  <c r="E478" i="11"/>
  <c r="E477" i="11"/>
  <c r="E476" i="11"/>
  <c r="E475" i="11"/>
  <c r="E474" i="11"/>
  <c r="E473" i="11"/>
  <c r="E472" i="11"/>
  <c r="E425" i="11"/>
  <c r="E424" i="11"/>
  <c r="E423" i="11"/>
  <c r="E422" i="11"/>
  <c r="E421" i="11"/>
  <c r="E420" i="11"/>
  <c r="E419" i="11"/>
  <c r="E418" i="11"/>
  <c r="E417" i="11"/>
  <c r="E416" i="11"/>
  <c r="E415" i="11"/>
  <c r="E414" i="11"/>
  <c r="E413" i="11"/>
  <c r="E412" i="11"/>
  <c r="E411" i="11"/>
  <c r="E410" i="11"/>
  <c r="E409" i="11"/>
  <c r="E408" i="11"/>
  <c r="E407" i="11"/>
  <c r="E406" i="11"/>
  <c r="E405" i="11"/>
  <c r="E404" i="11"/>
  <c r="E403" i="11"/>
  <c r="E402" i="11"/>
  <c r="E401" i="11"/>
  <c r="E400" i="11"/>
  <c r="E399" i="11"/>
  <c r="E398" i="11"/>
  <c r="E397" i="11"/>
  <c r="E396" i="11"/>
  <c r="E395" i="11"/>
  <c r="E394" i="11"/>
  <c r="E393" i="11"/>
  <c r="E392" i="11"/>
  <c r="E391" i="11"/>
  <c r="E390" i="11"/>
  <c r="E389" i="11"/>
  <c r="E388" i="11"/>
  <c r="E387" i="11"/>
  <c r="E386" i="11"/>
  <c r="E385" i="11"/>
  <c r="E384" i="11"/>
  <c r="E383" i="11"/>
  <c r="E382" i="11"/>
  <c r="E381" i="11"/>
  <c r="E380" i="11"/>
  <c r="E379" i="11"/>
  <c r="E378" i="11"/>
  <c r="E377" i="11"/>
  <c r="E376" i="11"/>
  <c r="E375" i="11"/>
  <c r="E374" i="11"/>
  <c r="E373" i="11"/>
  <c r="E372" i="11"/>
  <c r="E371" i="11"/>
  <c r="E370" i="11"/>
  <c r="E369" i="11"/>
  <c r="E368" i="11"/>
  <c r="E367" i="11"/>
  <c r="E366" i="11"/>
  <c r="E364" i="11"/>
  <c r="E363" i="11"/>
  <c r="E362" i="11"/>
  <c r="E361" i="11"/>
  <c r="E360" i="11"/>
  <c r="E359" i="11"/>
  <c r="E358" i="11"/>
  <c r="E357" i="11"/>
  <c r="E356" i="11"/>
  <c r="E355" i="11"/>
  <c r="E354" i="11"/>
  <c r="E353" i="11"/>
  <c r="E352" i="11"/>
  <c r="E351" i="11"/>
  <c r="E350" i="11"/>
  <c r="E349" i="11"/>
  <c r="E348" i="11"/>
  <c r="E347" i="11"/>
  <c r="E346" i="11"/>
  <c r="E345" i="11"/>
  <c r="E344" i="11"/>
  <c r="E343" i="11"/>
  <c r="E342" i="11"/>
  <c r="E341" i="11"/>
  <c r="E340" i="11"/>
  <c r="E339" i="11"/>
  <c r="E338" i="11"/>
  <c r="E337" i="11"/>
  <c r="E336" i="11"/>
  <c r="E335" i="11"/>
  <c r="E334" i="11"/>
  <c r="E333" i="11"/>
  <c r="E332" i="11"/>
  <c r="E331" i="11"/>
  <c r="E330" i="11"/>
  <c r="E329" i="11"/>
  <c r="E328" i="11"/>
  <c r="E327" i="11"/>
  <c r="E326" i="11"/>
  <c r="E325" i="11"/>
  <c r="E324" i="11"/>
  <c r="E323" i="11"/>
  <c r="E322" i="11"/>
  <c r="E321" i="11"/>
  <c r="E320" i="11"/>
  <c r="E319" i="11"/>
  <c r="E318" i="11"/>
  <c r="E317" i="11"/>
  <c r="E316" i="11"/>
  <c r="E315" i="11"/>
  <c r="E314" i="11"/>
  <c r="E313" i="11"/>
  <c r="E312" i="11"/>
  <c r="E311" i="11"/>
  <c r="E310" i="11"/>
  <c r="E309" i="11"/>
  <c r="E308" i="11"/>
  <c r="E307" i="11"/>
  <c r="E306" i="11"/>
  <c r="E305" i="11"/>
  <c r="E303" i="11"/>
  <c r="E302" i="11"/>
  <c r="E301" i="11"/>
  <c r="E300" i="11"/>
  <c r="E299" i="11"/>
  <c r="E298" i="11"/>
  <c r="E297" i="11"/>
  <c r="E296" i="11"/>
  <c r="E295" i="11"/>
  <c r="E294" i="11"/>
  <c r="E293" i="11"/>
  <c r="E292" i="11"/>
  <c r="P252" i="11"/>
  <c r="O629" i="11" l="1"/>
  <c r="C544" i="11" l="1"/>
  <c r="C532" i="11"/>
  <c r="C520" i="11"/>
  <c r="C508" i="11"/>
  <c r="C496" i="11"/>
  <c r="C484" i="11"/>
  <c r="C472" i="11"/>
  <c r="C414" i="11"/>
  <c r="C402" i="11"/>
  <c r="C390" i="11"/>
  <c r="C378" i="11"/>
  <c r="C366" i="11"/>
  <c r="C353" i="11"/>
  <c r="C341" i="11"/>
  <c r="C329" i="11"/>
  <c r="C317" i="11"/>
  <c r="C305" i="11"/>
  <c r="C292" i="11"/>
  <c r="Q290" i="11" l="1"/>
  <c r="L1071" i="11" l="1"/>
  <c r="F619" i="11"/>
  <c r="F620" i="11" l="1"/>
  <c r="P612" i="11"/>
  <c r="O253" i="11"/>
  <c r="O240" i="11"/>
  <c r="O236" i="11"/>
  <c r="O670" i="11"/>
  <c r="A198" i="11" l="1"/>
  <c r="A199" i="11" s="1"/>
  <c r="A200" i="11" s="1"/>
  <c r="A192" i="11"/>
  <c r="A194" i="11" s="1"/>
  <c r="A196" i="11" s="1"/>
  <c r="Q555" i="11"/>
  <c r="O295" i="11"/>
  <c r="O292" i="11"/>
  <c r="O290" i="11"/>
  <c r="F615" i="11"/>
  <c r="F621" i="11" l="1"/>
  <c r="O287" i="11"/>
  <c r="E226" i="11"/>
  <c r="G555" i="11"/>
  <c r="G554" i="11"/>
  <c r="G553" i="11"/>
  <c r="G552" i="11"/>
  <c r="G551" i="11"/>
  <c r="G550" i="11"/>
  <c r="G549" i="11"/>
  <c r="G548" i="11"/>
  <c r="G547" i="11"/>
  <c r="G546" i="11"/>
  <c r="G545" i="11"/>
  <c r="C545" i="11"/>
  <c r="C546" i="11" s="1"/>
  <c r="C547" i="11" s="1"/>
  <c r="C548" i="11" s="1"/>
  <c r="C549" i="11" s="1"/>
  <c r="C550" i="11" s="1"/>
  <c r="C551" i="11" s="1"/>
  <c r="C552" i="11" s="1"/>
  <c r="C553" i="11" s="1"/>
  <c r="C554" i="11" s="1"/>
  <c r="C555" i="11" s="1"/>
  <c r="G544" i="11"/>
  <c r="G543" i="11"/>
  <c r="G542" i="11"/>
  <c r="G541" i="11"/>
  <c r="G540" i="11"/>
  <c r="G539" i="11"/>
  <c r="G538" i="11"/>
  <c r="G537" i="11"/>
  <c r="G536" i="11"/>
  <c r="G535" i="11"/>
  <c r="G534" i="11"/>
  <c r="G533" i="11"/>
  <c r="C533" i="11"/>
  <c r="C534" i="11" s="1"/>
  <c r="C535" i="11" s="1"/>
  <c r="C536" i="11" s="1"/>
  <c r="C537" i="11" s="1"/>
  <c r="C538" i="11" s="1"/>
  <c r="C539" i="11" s="1"/>
  <c r="C540" i="11" s="1"/>
  <c r="C541" i="11" s="1"/>
  <c r="C542" i="11" s="1"/>
  <c r="C543" i="11" s="1"/>
  <c r="G532" i="11"/>
  <c r="G531" i="11"/>
  <c r="G530" i="11"/>
  <c r="G529" i="11"/>
  <c r="G528" i="11"/>
  <c r="G527" i="11"/>
  <c r="G526" i="11"/>
  <c r="G525" i="11"/>
  <c r="G524" i="11"/>
  <c r="G523" i="11"/>
  <c r="G522" i="11"/>
  <c r="G521" i="11"/>
  <c r="C521" i="11"/>
  <c r="C522" i="11" s="1"/>
  <c r="C523" i="11" s="1"/>
  <c r="C524" i="11" s="1"/>
  <c r="C525" i="11" s="1"/>
  <c r="C526" i="11" s="1"/>
  <c r="C527" i="11" s="1"/>
  <c r="C528" i="11" s="1"/>
  <c r="C529" i="11" s="1"/>
  <c r="C530" i="11" s="1"/>
  <c r="C531" i="11" s="1"/>
  <c r="G520" i="11"/>
  <c r="G519" i="11"/>
  <c r="G518" i="11"/>
  <c r="G517" i="11"/>
  <c r="G516" i="11"/>
  <c r="G515" i="11"/>
  <c r="G514" i="11"/>
  <c r="G513" i="11"/>
  <c r="G512" i="11"/>
  <c r="G511" i="11"/>
  <c r="G510" i="11"/>
  <c r="G509" i="11"/>
  <c r="C509" i="11"/>
  <c r="C510" i="11" s="1"/>
  <c r="C511" i="11" s="1"/>
  <c r="C512" i="11" s="1"/>
  <c r="C513" i="11" s="1"/>
  <c r="C514" i="11" s="1"/>
  <c r="C515" i="11" s="1"/>
  <c r="C516" i="11" s="1"/>
  <c r="C517" i="11" s="1"/>
  <c r="C518" i="11" s="1"/>
  <c r="C519" i="11" s="1"/>
  <c r="G508" i="11"/>
  <c r="G507" i="11"/>
  <c r="G506" i="11"/>
  <c r="G505" i="11"/>
  <c r="G504" i="11"/>
  <c r="G503" i="11"/>
  <c r="G502" i="11"/>
  <c r="G501" i="11"/>
  <c r="G500" i="11"/>
  <c r="G499" i="11"/>
  <c r="G498" i="11"/>
  <c r="G497" i="11"/>
  <c r="C497" i="11"/>
  <c r="C498" i="11" s="1"/>
  <c r="C499" i="11" s="1"/>
  <c r="C500" i="11" s="1"/>
  <c r="C501" i="11" s="1"/>
  <c r="C502" i="11" s="1"/>
  <c r="C503" i="11" s="1"/>
  <c r="C504" i="11" s="1"/>
  <c r="C505" i="11" s="1"/>
  <c r="C506" i="11" s="1"/>
  <c r="C507" i="11" s="1"/>
  <c r="G496" i="11"/>
  <c r="G495" i="11"/>
  <c r="G494" i="11"/>
  <c r="G493" i="11"/>
  <c r="G492" i="11"/>
  <c r="G491" i="11"/>
  <c r="G490" i="11"/>
  <c r="G489" i="11"/>
  <c r="G488" i="11"/>
  <c r="G487" i="11"/>
  <c r="G486" i="11"/>
  <c r="G485" i="11"/>
  <c r="C485" i="11"/>
  <c r="C486" i="11" s="1"/>
  <c r="C487" i="11" s="1"/>
  <c r="C488" i="11" s="1"/>
  <c r="C489" i="11" s="1"/>
  <c r="C490" i="11" s="1"/>
  <c r="C491" i="11" s="1"/>
  <c r="C492" i="11" s="1"/>
  <c r="C493" i="11" s="1"/>
  <c r="C494" i="11" s="1"/>
  <c r="C495" i="11" s="1"/>
  <c r="G484" i="11"/>
  <c r="G483" i="11"/>
  <c r="G482" i="11"/>
  <c r="G481" i="11"/>
  <c r="G480" i="11"/>
  <c r="G479" i="11"/>
  <c r="G478" i="11"/>
  <c r="G477" i="11"/>
  <c r="G476" i="11"/>
  <c r="G475" i="11"/>
  <c r="G474" i="11"/>
  <c r="G473" i="11"/>
  <c r="C473" i="11"/>
  <c r="C474" i="11" s="1"/>
  <c r="C475" i="11" s="1"/>
  <c r="C476" i="11" s="1"/>
  <c r="C477" i="11" s="1"/>
  <c r="C478" i="11" s="1"/>
  <c r="C479" i="11" s="1"/>
  <c r="C480" i="11" s="1"/>
  <c r="C481" i="11" s="1"/>
  <c r="C482" i="11" s="1"/>
  <c r="C483" i="11" s="1"/>
  <c r="A473" i="11"/>
  <c r="A474" i="11" s="1"/>
  <c r="A475" i="11" s="1"/>
  <c r="A476" i="11" s="1"/>
  <c r="A477" i="11" s="1"/>
  <c r="A478" i="11" s="1"/>
  <c r="A479" i="11" s="1"/>
  <c r="A480" i="11" s="1"/>
  <c r="A481" i="11" s="1"/>
  <c r="A482" i="11" s="1"/>
  <c r="A483" i="11" s="1"/>
  <c r="A484" i="11" s="1"/>
  <c r="A485" i="11" s="1"/>
  <c r="A486" i="11" s="1"/>
  <c r="A487" i="11" s="1"/>
  <c r="A488" i="11" s="1"/>
  <c r="A489" i="11" s="1"/>
  <c r="A490" i="11" s="1"/>
  <c r="A491" i="11" s="1"/>
  <c r="A492" i="11" s="1"/>
  <c r="A493" i="11" s="1"/>
  <c r="A494" i="11" s="1"/>
  <c r="A495" i="11" s="1"/>
  <c r="A496" i="11" s="1"/>
  <c r="A497" i="11" s="1"/>
  <c r="A498" i="11" s="1"/>
  <c r="A499" i="11" s="1"/>
  <c r="A500" i="11" s="1"/>
  <c r="A501" i="11" s="1"/>
  <c r="A502" i="11" s="1"/>
  <c r="A503" i="11" s="1"/>
  <c r="A504" i="11" s="1"/>
  <c r="A505" i="11" s="1"/>
  <c r="A506" i="11" s="1"/>
  <c r="A507" i="11" s="1"/>
  <c r="A508" i="11" s="1"/>
  <c r="A509" i="11" s="1"/>
  <c r="A510" i="11" s="1"/>
  <c r="A511" i="11" s="1"/>
  <c r="A512" i="11" s="1"/>
  <c r="A513" i="11" s="1"/>
  <c r="A514" i="11" s="1"/>
  <c r="A515" i="11" s="1"/>
  <c r="A516" i="11" s="1"/>
  <c r="A517" i="11" s="1"/>
  <c r="A518" i="11" s="1"/>
  <c r="A519" i="11" s="1"/>
  <c r="A520" i="11" s="1"/>
  <c r="A521" i="11" s="1"/>
  <c r="A522" i="11" s="1"/>
  <c r="A523" i="11" s="1"/>
  <c r="A524" i="11" s="1"/>
  <c r="A525" i="11" s="1"/>
  <c r="A526" i="11" s="1"/>
  <c r="A527" i="11" s="1"/>
  <c r="A528" i="11" s="1"/>
  <c r="A529" i="11" s="1"/>
  <c r="A530" i="11" s="1"/>
  <c r="A531" i="11" s="1"/>
  <c r="A532" i="11" s="1"/>
  <c r="A533" i="11" s="1"/>
  <c r="A534" i="11" s="1"/>
  <c r="A535" i="11" s="1"/>
  <c r="A536" i="11" s="1"/>
  <c r="A537" i="11" s="1"/>
  <c r="A538" i="11" s="1"/>
  <c r="A539" i="11" s="1"/>
  <c r="A540" i="11" s="1"/>
  <c r="A541" i="11" s="1"/>
  <c r="A542" i="11" s="1"/>
  <c r="A543" i="11" s="1"/>
  <c r="A544" i="11" s="1"/>
  <c r="A545" i="11" s="1"/>
  <c r="A546" i="11" s="1"/>
  <c r="A547" i="11" s="1"/>
  <c r="A548" i="11" s="1"/>
  <c r="A549" i="11" s="1"/>
  <c r="A550" i="11" s="1"/>
  <c r="A551" i="11" s="1"/>
  <c r="A552" i="11" s="1"/>
  <c r="A553" i="11" s="1"/>
  <c r="A554" i="11" s="1"/>
  <c r="A555" i="11" s="1"/>
  <c r="G472" i="11"/>
  <c r="G425" i="11"/>
  <c r="H425" i="11" s="1"/>
  <c r="G424" i="11"/>
  <c r="H424" i="11" s="1"/>
  <c r="G423" i="11"/>
  <c r="H423" i="11" s="1"/>
  <c r="G422" i="11"/>
  <c r="H422" i="11" s="1"/>
  <c r="G421" i="11"/>
  <c r="H421" i="11" s="1"/>
  <c r="G420" i="11"/>
  <c r="H420" i="11" s="1"/>
  <c r="G419" i="11"/>
  <c r="H419" i="11" s="1"/>
  <c r="G418" i="11"/>
  <c r="H418" i="11" s="1"/>
  <c r="G417" i="11"/>
  <c r="H417" i="11" s="1"/>
  <c r="G416" i="11"/>
  <c r="H416" i="11" s="1"/>
  <c r="G415" i="11"/>
  <c r="H415" i="11" s="1"/>
  <c r="C415" i="11"/>
  <c r="C416" i="11" s="1"/>
  <c r="C417" i="11" s="1"/>
  <c r="C418" i="11" s="1"/>
  <c r="C419" i="11" s="1"/>
  <c r="C420" i="11" s="1"/>
  <c r="C421" i="11" s="1"/>
  <c r="C422" i="11" s="1"/>
  <c r="C423" i="11" s="1"/>
  <c r="C424" i="11" s="1"/>
  <c r="C425" i="11" s="1"/>
  <c r="G414" i="11"/>
  <c r="H414" i="11" s="1"/>
  <c r="G413" i="11"/>
  <c r="H413" i="11" s="1"/>
  <c r="G412" i="11"/>
  <c r="H412" i="11" s="1"/>
  <c r="G411" i="11"/>
  <c r="H411" i="11" s="1"/>
  <c r="G410" i="11"/>
  <c r="H410" i="11" s="1"/>
  <c r="G409" i="11"/>
  <c r="H409" i="11" s="1"/>
  <c r="G408" i="11"/>
  <c r="H408" i="11" s="1"/>
  <c r="G407" i="11"/>
  <c r="H407" i="11" s="1"/>
  <c r="G406" i="11"/>
  <c r="H406" i="11" s="1"/>
  <c r="G405" i="11"/>
  <c r="H405" i="11" s="1"/>
  <c r="G404" i="11"/>
  <c r="H404" i="11" s="1"/>
  <c r="G403" i="11"/>
  <c r="H403" i="11" s="1"/>
  <c r="C403" i="11"/>
  <c r="C404" i="11" s="1"/>
  <c r="C405" i="11" s="1"/>
  <c r="C406" i="11" s="1"/>
  <c r="C407" i="11" s="1"/>
  <c r="C408" i="11" s="1"/>
  <c r="C409" i="11" s="1"/>
  <c r="C410" i="11" s="1"/>
  <c r="C411" i="11" s="1"/>
  <c r="C412" i="11" s="1"/>
  <c r="C413" i="11" s="1"/>
  <c r="G402" i="11"/>
  <c r="H402" i="11" s="1"/>
  <c r="G401" i="11"/>
  <c r="H401" i="11" s="1"/>
  <c r="G400" i="11"/>
  <c r="H400" i="11" s="1"/>
  <c r="G399" i="11"/>
  <c r="H399" i="11" s="1"/>
  <c r="G398" i="11"/>
  <c r="H398" i="11" s="1"/>
  <c r="G397" i="11"/>
  <c r="H397" i="11" s="1"/>
  <c r="G396" i="11"/>
  <c r="H396" i="11" s="1"/>
  <c r="G395" i="11"/>
  <c r="H395" i="11" s="1"/>
  <c r="G394" i="11"/>
  <c r="H394" i="11" s="1"/>
  <c r="G393" i="11"/>
  <c r="H393" i="11" s="1"/>
  <c r="G392" i="11"/>
  <c r="H392" i="11" s="1"/>
  <c r="G391" i="11"/>
  <c r="H391" i="11" s="1"/>
  <c r="C391" i="11"/>
  <c r="C392" i="11" s="1"/>
  <c r="C393" i="11" s="1"/>
  <c r="C394" i="11" s="1"/>
  <c r="C395" i="11" s="1"/>
  <c r="C396" i="11" s="1"/>
  <c r="C397" i="11" s="1"/>
  <c r="C398" i="11" s="1"/>
  <c r="C399" i="11" s="1"/>
  <c r="C400" i="11" s="1"/>
  <c r="C401" i="11" s="1"/>
  <c r="G390" i="11"/>
  <c r="H390" i="11" s="1"/>
  <c r="G389" i="11"/>
  <c r="H389" i="11" s="1"/>
  <c r="G388" i="11"/>
  <c r="H388" i="11" s="1"/>
  <c r="G387" i="11"/>
  <c r="H387" i="11" s="1"/>
  <c r="G386" i="11"/>
  <c r="H386" i="11" s="1"/>
  <c r="G385" i="11"/>
  <c r="H385" i="11" s="1"/>
  <c r="G384" i="11"/>
  <c r="H384" i="11" s="1"/>
  <c r="G383" i="11"/>
  <c r="H383" i="11" s="1"/>
  <c r="G382" i="11"/>
  <c r="H382" i="11" s="1"/>
  <c r="G381" i="11"/>
  <c r="H381" i="11" s="1"/>
  <c r="G380" i="11"/>
  <c r="H380" i="11" s="1"/>
  <c r="G379" i="11"/>
  <c r="H379" i="11" s="1"/>
  <c r="C379" i="11"/>
  <c r="C380" i="11" s="1"/>
  <c r="C381" i="11" s="1"/>
  <c r="C382" i="11" s="1"/>
  <c r="C383" i="11" s="1"/>
  <c r="C384" i="11" s="1"/>
  <c r="C385" i="11" s="1"/>
  <c r="C386" i="11" s="1"/>
  <c r="C387" i="11" s="1"/>
  <c r="C388" i="11" s="1"/>
  <c r="C389" i="11" s="1"/>
  <c r="G378" i="11"/>
  <c r="H378" i="11" s="1"/>
  <c r="G377" i="11"/>
  <c r="H377" i="11" s="1"/>
  <c r="G376" i="11"/>
  <c r="H376" i="11" s="1"/>
  <c r="G375" i="11"/>
  <c r="H375" i="11" s="1"/>
  <c r="G374" i="11"/>
  <c r="H374" i="11" s="1"/>
  <c r="G373" i="11"/>
  <c r="H373" i="11" s="1"/>
  <c r="G372" i="11"/>
  <c r="H372" i="11" s="1"/>
  <c r="G371" i="11"/>
  <c r="H371" i="11" s="1"/>
  <c r="G370" i="11"/>
  <c r="H370" i="11" s="1"/>
  <c r="G369" i="11"/>
  <c r="H369" i="11" s="1"/>
  <c r="G368" i="11"/>
  <c r="H368" i="11" s="1"/>
  <c r="G367" i="11"/>
  <c r="H367" i="11" s="1"/>
  <c r="C367" i="11"/>
  <c r="C368" i="11" s="1"/>
  <c r="C369" i="11" s="1"/>
  <c r="C370" i="11" s="1"/>
  <c r="C371" i="11" s="1"/>
  <c r="C372" i="11" s="1"/>
  <c r="C373" i="11" s="1"/>
  <c r="C374" i="11" s="1"/>
  <c r="C375" i="11" s="1"/>
  <c r="C376" i="11" s="1"/>
  <c r="C377" i="11" s="1"/>
  <c r="G366" i="11"/>
  <c r="H366" i="11" s="1"/>
  <c r="G364" i="11"/>
  <c r="H364" i="11" s="1"/>
  <c r="G363" i="11"/>
  <c r="H363" i="11" s="1"/>
  <c r="G362" i="11"/>
  <c r="H362" i="11" s="1"/>
  <c r="G361" i="11"/>
  <c r="H361" i="11" s="1"/>
  <c r="G360" i="11"/>
  <c r="H360" i="11" s="1"/>
  <c r="G359" i="11"/>
  <c r="H359" i="11" s="1"/>
  <c r="G358" i="11"/>
  <c r="H358" i="11" s="1"/>
  <c r="G357" i="11"/>
  <c r="H357" i="11" s="1"/>
  <c r="G356" i="11"/>
  <c r="H356" i="11" s="1"/>
  <c r="G355" i="11"/>
  <c r="H355" i="11" s="1"/>
  <c r="G354" i="11"/>
  <c r="H354" i="11" s="1"/>
  <c r="C354" i="11"/>
  <c r="C355" i="11" s="1"/>
  <c r="C356" i="11" s="1"/>
  <c r="C357" i="11" s="1"/>
  <c r="C358" i="11" s="1"/>
  <c r="C359" i="11" s="1"/>
  <c r="C360" i="11" s="1"/>
  <c r="C361" i="11" s="1"/>
  <c r="C362" i="11" s="1"/>
  <c r="C363" i="11" s="1"/>
  <c r="C364" i="11" s="1"/>
  <c r="G353" i="11"/>
  <c r="H353" i="11" s="1"/>
  <c r="G352" i="11"/>
  <c r="H352" i="11" s="1"/>
  <c r="G351" i="11"/>
  <c r="H351" i="11" s="1"/>
  <c r="G350" i="11"/>
  <c r="H350" i="11" s="1"/>
  <c r="G349" i="11"/>
  <c r="H349" i="11" s="1"/>
  <c r="G348" i="11"/>
  <c r="H348" i="11" s="1"/>
  <c r="G347" i="11"/>
  <c r="H347" i="11" s="1"/>
  <c r="G346" i="11"/>
  <c r="H346" i="11" s="1"/>
  <c r="G345" i="11"/>
  <c r="H345" i="11" s="1"/>
  <c r="G344" i="11"/>
  <c r="H344" i="11" s="1"/>
  <c r="G343" i="11"/>
  <c r="H343" i="11" s="1"/>
  <c r="G342" i="11"/>
  <c r="H342" i="11" s="1"/>
  <c r="C342" i="11"/>
  <c r="C343" i="11" s="1"/>
  <c r="C344" i="11" s="1"/>
  <c r="C345" i="11" s="1"/>
  <c r="C346" i="11" s="1"/>
  <c r="C347" i="11" s="1"/>
  <c r="C348" i="11" s="1"/>
  <c r="C349" i="11" s="1"/>
  <c r="C350" i="11" s="1"/>
  <c r="C351" i="11" s="1"/>
  <c r="C352" i="11" s="1"/>
  <c r="G341" i="11"/>
  <c r="H341" i="11" s="1"/>
  <c r="G340" i="11"/>
  <c r="H340" i="11" s="1"/>
  <c r="G339" i="11"/>
  <c r="H339" i="11" s="1"/>
  <c r="G338" i="11"/>
  <c r="H338" i="11" s="1"/>
  <c r="G337" i="11"/>
  <c r="H337" i="11" s="1"/>
  <c r="G336" i="11"/>
  <c r="H336" i="11" s="1"/>
  <c r="G335" i="11"/>
  <c r="H335" i="11" s="1"/>
  <c r="G334" i="11"/>
  <c r="H334" i="11" s="1"/>
  <c r="G333" i="11"/>
  <c r="H333" i="11" s="1"/>
  <c r="G332" i="11"/>
  <c r="H332" i="11" s="1"/>
  <c r="G331" i="11"/>
  <c r="H331" i="11" s="1"/>
  <c r="G330" i="11"/>
  <c r="H330" i="11" s="1"/>
  <c r="C330" i="11"/>
  <c r="C331" i="11" s="1"/>
  <c r="C332" i="11" s="1"/>
  <c r="C333" i="11" s="1"/>
  <c r="C334" i="11" s="1"/>
  <c r="C335" i="11" s="1"/>
  <c r="C336" i="11" s="1"/>
  <c r="C337" i="11" s="1"/>
  <c r="C338" i="11" s="1"/>
  <c r="C339" i="11" s="1"/>
  <c r="C340" i="11" s="1"/>
  <c r="G329" i="11"/>
  <c r="H329" i="11" s="1"/>
  <c r="G328" i="11"/>
  <c r="H328" i="11" s="1"/>
  <c r="G327" i="11"/>
  <c r="H327" i="11" s="1"/>
  <c r="G326" i="11"/>
  <c r="H326" i="11" s="1"/>
  <c r="G325" i="11"/>
  <c r="H325" i="11" s="1"/>
  <c r="G324" i="11"/>
  <c r="H324" i="11" s="1"/>
  <c r="G323" i="11"/>
  <c r="H323" i="11" s="1"/>
  <c r="G322" i="11"/>
  <c r="H322" i="11" s="1"/>
  <c r="G321" i="11"/>
  <c r="H321" i="11" s="1"/>
  <c r="G320" i="11"/>
  <c r="H320" i="11" s="1"/>
  <c r="G319" i="11"/>
  <c r="H319" i="11" s="1"/>
  <c r="G318" i="11"/>
  <c r="H318" i="11" s="1"/>
  <c r="C318" i="11"/>
  <c r="C319" i="11" s="1"/>
  <c r="C320" i="11" s="1"/>
  <c r="C321" i="11" s="1"/>
  <c r="C322" i="11" s="1"/>
  <c r="C323" i="11" s="1"/>
  <c r="C324" i="11" s="1"/>
  <c r="C325" i="11" s="1"/>
  <c r="C326" i="11" s="1"/>
  <c r="C327" i="11" s="1"/>
  <c r="C328" i="11" s="1"/>
  <c r="G317" i="11"/>
  <c r="H317" i="11" s="1"/>
  <c r="G316" i="11"/>
  <c r="H316" i="11" s="1"/>
  <c r="G315" i="11"/>
  <c r="H315" i="11" s="1"/>
  <c r="G314" i="11"/>
  <c r="H314" i="11" s="1"/>
  <c r="G313" i="11"/>
  <c r="H313" i="11" s="1"/>
  <c r="G312" i="11"/>
  <c r="H312" i="11" s="1"/>
  <c r="G311" i="11"/>
  <c r="H311" i="11" s="1"/>
  <c r="G310" i="11"/>
  <c r="H310" i="11" s="1"/>
  <c r="G309" i="11"/>
  <c r="H309" i="11" s="1"/>
  <c r="G308" i="11"/>
  <c r="H308" i="11" s="1"/>
  <c r="G307" i="11"/>
  <c r="H307" i="11" s="1"/>
  <c r="G306" i="11"/>
  <c r="H306" i="11" s="1"/>
  <c r="C306" i="11"/>
  <c r="C307" i="11" s="1"/>
  <c r="C308" i="11" s="1"/>
  <c r="C309" i="11" s="1"/>
  <c r="C310" i="11" s="1"/>
  <c r="C311" i="11" s="1"/>
  <c r="C312" i="11" s="1"/>
  <c r="C313" i="11" s="1"/>
  <c r="C314" i="11" s="1"/>
  <c r="C315" i="11" s="1"/>
  <c r="C316" i="11" s="1"/>
  <c r="G305" i="11"/>
  <c r="H305" i="11" s="1"/>
  <c r="I226" i="11" l="1"/>
  <c r="J472" i="11"/>
  <c r="H619" i="11"/>
  <c r="M619" i="11" s="1"/>
  <c r="H472" i="11"/>
  <c r="I472" i="11"/>
  <c r="I484" i="11"/>
  <c r="J484" i="11"/>
  <c r="H484" i="11"/>
  <c r="K484" i="11" s="1"/>
  <c r="H496" i="11"/>
  <c r="K496" i="11" s="1"/>
  <c r="J496" i="11"/>
  <c r="I496" i="11"/>
  <c r="H508" i="11"/>
  <c r="K508" i="11" s="1"/>
  <c r="I508" i="11"/>
  <c r="J508" i="11"/>
  <c r="H520" i="11"/>
  <c r="K520" i="11" s="1"/>
  <c r="I520" i="11"/>
  <c r="J520" i="11"/>
  <c r="H532" i="11"/>
  <c r="K532" i="11" s="1"/>
  <c r="I532" i="11"/>
  <c r="J532" i="11"/>
  <c r="H544" i="11"/>
  <c r="K544" i="11" s="1"/>
  <c r="I544" i="11"/>
  <c r="J544" i="11"/>
  <c r="H620" i="11"/>
  <c r="M620" i="11" s="1"/>
  <c r="J500" i="11"/>
  <c r="I500" i="11"/>
  <c r="H500" i="11"/>
  <c r="K500" i="11" s="1"/>
  <c r="I552" i="11"/>
  <c r="H552" i="11"/>
  <c r="K552" i="11" s="1"/>
  <c r="J552" i="11"/>
  <c r="I479" i="11"/>
  <c r="H479" i="11"/>
  <c r="K479" i="11" s="1"/>
  <c r="J479" i="11"/>
  <c r="I486" i="11"/>
  <c r="H486" i="11"/>
  <c r="K486" i="11" s="1"/>
  <c r="J486" i="11"/>
  <c r="I494" i="11"/>
  <c r="H494" i="11"/>
  <c r="K494" i="11" s="1"/>
  <c r="J494" i="11"/>
  <c r="I501" i="11"/>
  <c r="H501" i="11"/>
  <c r="K501" i="11" s="1"/>
  <c r="J501" i="11"/>
  <c r="J516" i="11"/>
  <c r="I516" i="11"/>
  <c r="H516" i="11"/>
  <c r="K516" i="11" s="1"/>
  <c r="J523" i="11"/>
  <c r="I523" i="11"/>
  <c r="H523" i="11"/>
  <c r="K523" i="11" s="1"/>
  <c r="J531" i="11"/>
  <c r="I531" i="11"/>
  <c r="H531" i="11"/>
  <c r="K531" i="11" s="1"/>
  <c r="J538" i="11"/>
  <c r="I538" i="11"/>
  <c r="H538" i="11"/>
  <c r="K538" i="11" s="1"/>
  <c r="J545" i="11"/>
  <c r="I545" i="11"/>
  <c r="H545" i="11"/>
  <c r="K545" i="11" s="1"/>
  <c r="J553" i="11"/>
  <c r="I553" i="11"/>
  <c r="H553" i="11"/>
  <c r="K553" i="11" s="1"/>
  <c r="J522" i="11"/>
  <c r="I522" i="11"/>
  <c r="H522" i="11"/>
  <c r="K522" i="11" s="1"/>
  <c r="I480" i="11"/>
  <c r="H480" i="11"/>
  <c r="K480" i="11" s="1"/>
  <c r="J480" i="11"/>
  <c r="I487" i="11"/>
  <c r="H487" i="11"/>
  <c r="K487" i="11" s="1"/>
  <c r="J487" i="11"/>
  <c r="I495" i="11"/>
  <c r="H495" i="11"/>
  <c r="K495" i="11" s="1"/>
  <c r="J495" i="11"/>
  <c r="I502" i="11"/>
  <c r="H502" i="11"/>
  <c r="K502" i="11" s="1"/>
  <c r="J502" i="11"/>
  <c r="H509" i="11"/>
  <c r="K509" i="11" s="1"/>
  <c r="I509" i="11"/>
  <c r="J509" i="11"/>
  <c r="H517" i="11"/>
  <c r="K517" i="11" s="1"/>
  <c r="I517" i="11"/>
  <c r="J517" i="11"/>
  <c r="J524" i="11"/>
  <c r="I524" i="11"/>
  <c r="H524" i="11"/>
  <c r="K524" i="11" s="1"/>
  <c r="J539" i="11"/>
  <c r="I539" i="11"/>
  <c r="H539" i="11"/>
  <c r="K539" i="11" s="1"/>
  <c r="J546" i="11"/>
  <c r="I546" i="11"/>
  <c r="H546" i="11"/>
  <c r="K546" i="11" s="1"/>
  <c r="J554" i="11"/>
  <c r="I554" i="11"/>
  <c r="H554" i="11"/>
  <c r="K554" i="11" s="1"/>
  <c r="J537" i="11"/>
  <c r="H537" i="11"/>
  <c r="K537" i="11" s="1"/>
  <c r="I537" i="11"/>
  <c r="J473" i="11"/>
  <c r="I473" i="11"/>
  <c r="H473" i="11"/>
  <c r="K473" i="11" s="1"/>
  <c r="J481" i="11"/>
  <c r="I481" i="11"/>
  <c r="H481" i="11"/>
  <c r="K481" i="11" s="1"/>
  <c r="I488" i="11"/>
  <c r="H488" i="11"/>
  <c r="K488" i="11" s="1"/>
  <c r="J488" i="11"/>
  <c r="I503" i="11"/>
  <c r="H503" i="11"/>
  <c r="K503" i="11" s="1"/>
  <c r="J503" i="11"/>
  <c r="I510" i="11"/>
  <c r="H510" i="11"/>
  <c r="K510" i="11" s="1"/>
  <c r="J510" i="11"/>
  <c r="I518" i="11"/>
  <c r="H518" i="11"/>
  <c r="K518" i="11" s="1"/>
  <c r="J518" i="11"/>
  <c r="I525" i="11"/>
  <c r="H525" i="11"/>
  <c r="K525" i="11" s="1"/>
  <c r="J525" i="11"/>
  <c r="J540" i="11"/>
  <c r="I540" i="11"/>
  <c r="H540" i="11"/>
  <c r="K540" i="11" s="1"/>
  <c r="J547" i="11"/>
  <c r="I547" i="11"/>
  <c r="H547" i="11"/>
  <c r="K547" i="11" s="1"/>
  <c r="J555" i="11"/>
  <c r="I555" i="11"/>
  <c r="H555" i="11"/>
  <c r="K555" i="11" s="1"/>
  <c r="H485" i="11"/>
  <c r="K485" i="11" s="1"/>
  <c r="I485" i="11"/>
  <c r="J485" i="11"/>
  <c r="J474" i="11"/>
  <c r="I474" i="11"/>
  <c r="H474" i="11"/>
  <c r="K474" i="11" s="1"/>
  <c r="J482" i="11"/>
  <c r="I482" i="11"/>
  <c r="H482" i="11"/>
  <c r="K482" i="11" s="1"/>
  <c r="J489" i="11"/>
  <c r="I489" i="11"/>
  <c r="H489" i="11"/>
  <c r="K489" i="11" s="1"/>
  <c r="I504" i="11"/>
  <c r="H504" i="11"/>
  <c r="K504" i="11" s="1"/>
  <c r="J504" i="11"/>
  <c r="I511" i="11"/>
  <c r="H511" i="11"/>
  <c r="K511" i="11" s="1"/>
  <c r="J511" i="11"/>
  <c r="I519" i="11"/>
  <c r="H519" i="11"/>
  <c r="K519" i="11" s="1"/>
  <c r="J519" i="11"/>
  <c r="I526" i="11"/>
  <c r="H526" i="11"/>
  <c r="K526" i="11" s="1"/>
  <c r="J526" i="11"/>
  <c r="I533" i="11"/>
  <c r="H533" i="11"/>
  <c r="K533" i="11" s="1"/>
  <c r="J533" i="11"/>
  <c r="H541" i="11"/>
  <c r="K541" i="11" s="1"/>
  <c r="I541" i="11"/>
  <c r="J541" i="11"/>
  <c r="J548" i="11"/>
  <c r="I548" i="11"/>
  <c r="H548" i="11"/>
  <c r="K548" i="11" s="1"/>
  <c r="I478" i="11"/>
  <c r="H478" i="11"/>
  <c r="K478" i="11" s="1"/>
  <c r="J478" i="11"/>
  <c r="H493" i="11"/>
  <c r="K493" i="11" s="1"/>
  <c r="I493" i="11"/>
  <c r="J493" i="11"/>
  <c r="J515" i="11"/>
  <c r="I515" i="11"/>
  <c r="H515" i="11"/>
  <c r="K515" i="11" s="1"/>
  <c r="J475" i="11"/>
  <c r="I475" i="11"/>
  <c r="H475" i="11"/>
  <c r="J483" i="11"/>
  <c r="I483" i="11"/>
  <c r="H483" i="11"/>
  <c r="K483" i="11" s="1"/>
  <c r="J490" i="11"/>
  <c r="I490" i="11"/>
  <c r="H490" i="11"/>
  <c r="K490" i="11" s="1"/>
  <c r="J497" i="11"/>
  <c r="I497" i="11"/>
  <c r="H497" i="11"/>
  <c r="K497" i="11" s="1"/>
  <c r="J505" i="11"/>
  <c r="I505" i="11"/>
  <c r="H505" i="11"/>
  <c r="K505" i="11" s="1"/>
  <c r="I512" i="11"/>
  <c r="H512" i="11"/>
  <c r="K512" i="11" s="1"/>
  <c r="J512" i="11"/>
  <c r="I527" i="11"/>
  <c r="H527" i="11"/>
  <c r="K527" i="11" s="1"/>
  <c r="J527" i="11"/>
  <c r="I534" i="11"/>
  <c r="H534" i="11"/>
  <c r="K534" i="11" s="1"/>
  <c r="J534" i="11"/>
  <c r="I542" i="11"/>
  <c r="H542" i="11"/>
  <c r="K542" i="11" s="1"/>
  <c r="J542" i="11"/>
  <c r="I549" i="11"/>
  <c r="H549" i="11"/>
  <c r="K549" i="11" s="1"/>
  <c r="J549" i="11"/>
  <c r="J530" i="11"/>
  <c r="I530" i="11"/>
  <c r="H530" i="11"/>
  <c r="K530" i="11" s="1"/>
  <c r="J476" i="11"/>
  <c r="I476" i="11"/>
  <c r="H476" i="11"/>
  <c r="K476" i="11" s="1"/>
  <c r="J491" i="11"/>
  <c r="I491" i="11"/>
  <c r="H491" i="11"/>
  <c r="K491" i="11" s="1"/>
  <c r="J498" i="11"/>
  <c r="I498" i="11"/>
  <c r="H498" i="11"/>
  <c r="K498" i="11" s="1"/>
  <c r="J506" i="11"/>
  <c r="I506" i="11"/>
  <c r="H506" i="11"/>
  <c r="K506" i="11" s="1"/>
  <c r="J513" i="11"/>
  <c r="I513" i="11"/>
  <c r="H513" i="11"/>
  <c r="K513" i="11" s="1"/>
  <c r="I528" i="11"/>
  <c r="H528" i="11"/>
  <c r="K528" i="11" s="1"/>
  <c r="J528" i="11"/>
  <c r="I535" i="11"/>
  <c r="H535" i="11"/>
  <c r="K535" i="11" s="1"/>
  <c r="J535" i="11"/>
  <c r="I543" i="11"/>
  <c r="H543" i="11"/>
  <c r="K543" i="11" s="1"/>
  <c r="J543" i="11"/>
  <c r="I550" i="11"/>
  <c r="H550" i="11"/>
  <c r="K550" i="11" s="1"/>
  <c r="J550" i="11"/>
  <c r="I477" i="11"/>
  <c r="H477" i="11"/>
  <c r="K477" i="11" s="1"/>
  <c r="J477" i="11"/>
  <c r="J492" i="11"/>
  <c r="I492" i="11"/>
  <c r="H492" i="11"/>
  <c r="K492" i="11" s="1"/>
  <c r="J499" i="11"/>
  <c r="I499" i="11"/>
  <c r="H499" i="11"/>
  <c r="K499" i="11" s="1"/>
  <c r="J507" i="11"/>
  <c r="I507" i="11"/>
  <c r="H507" i="11"/>
  <c r="K507" i="11" s="1"/>
  <c r="J514" i="11"/>
  <c r="I514" i="11"/>
  <c r="H514" i="11"/>
  <c r="K514" i="11" s="1"/>
  <c r="J521" i="11"/>
  <c r="I521" i="11"/>
  <c r="H521" i="11"/>
  <c r="K521" i="11" s="1"/>
  <c r="J529" i="11"/>
  <c r="I529" i="11"/>
  <c r="H529" i="11"/>
  <c r="K529" i="11" s="1"/>
  <c r="I536" i="11"/>
  <c r="H536" i="11"/>
  <c r="K536" i="11" s="1"/>
  <c r="J536" i="11"/>
  <c r="I551" i="11"/>
  <c r="H551" i="11"/>
  <c r="K551" i="11" s="1"/>
  <c r="J551" i="11"/>
  <c r="I371" i="11"/>
  <c r="J367" i="11"/>
  <c r="I375" i="11"/>
  <c r="I419" i="11"/>
  <c r="K415" i="11"/>
  <c r="K423" i="11"/>
  <c r="J407" i="11"/>
  <c r="J403" i="11"/>
  <c r="I411" i="11"/>
  <c r="J391" i="11"/>
  <c r="J399" i="11"/>
  <c r="K395" i="11"/>
  <c r="J378" i="11"/>
  <c r="J384" i="11"/>
  <c r="J386" i="11"/>
  <c r="J380" i="11"/>
  <c r="J388" i="11"/>
  <c r="J382" i="11"/>
  <c r="J362" i="11"/>
  <c r="J358" i="11"/>
  <c r="I354" i="11"/>
  <c r="J342" i="11"/>
  <c r="I350" i="11"/>
  <c r="K350" i="11"/>
  <c r="J346" i="11"/>
  <c r="J330" i="11"/>
  <c r="K338" i="11"/>
  <c r="J334" i="11"/>
  <c r="J322" i="11"/>
  <c r="J318" i="11"/>
  <c r="J326" i="11"/>
  <c r="K326" i="11"/>
  <c r="J418" i="11"/>
  <c r="I418" i="11"/>
  <c r="K418" i="11"/>
  <c r="K421" i="11"/>
  <c r="J421" i="11"/>
  <c r="I421" i="11"/>
  <c r="K422" i="11"/>
  <c r="I422" i="11"/>
  <c r="J422" i="11"/>
  <c r="I414" i="11"/>
  <c r="J414" i="11"/>
  <c r="K414" i="11"/>
  <c r="I420" i="11"/>
  <c r="K420" i="11"/>
  <c r="J420" i="11"/>
  <c r="I424" i="11"/>
  <c r="K424" i="11"/>
  <c r="J424" i="11"/>
  <c r="I416" i="11"/>
  <c r="K416" i="11"/>
  <c r="J416" i="11"/>
  <c r="J417" i="11"/>
  <c r="I417" i="11"/>
  <c r="K417" i="11"/>
  <c r="K425" i="11"/>
  <c r="J425" i="11"/>
  <c r="I425" i="11"/>
  <c r="J415" i="11"/>
  <c r="J419" i="11"/>
  <c r="K419" i="11"/>
  <c r="I415" i="11"/>
  <c r="J423" i="11"/>
  <c r="I423" i="11"/>
  <c r="I404" i="11"/>
  <c r="K404" i="11"/>
  <c r="J404" i="11"/>
  <c r="I402" i="11"/>
  <c r="J402" i="11"/>
  <c r="K402" i="11"/>
  <c r="I408" i="11"/>
  <c r="J408" i="11"/>
  <c r="K408" i="11"/>
  <c r="K410" i="11"/>
  <c r="I410" i="11"/>
  <c r="J410" i="11"/>
  <c r="I412" i="11"/>
  <c r="K412" i="11"/>
  <c r="J412" i="11"/>
  <c r="I406" i="11"/>
  <c r="J406" i="11"/>
  <c r="K406" i="11"/>
  <c r="J409" i="11"/>
  <c r="K409" i="11"/>
  <c r="I409" i="11"/>
  <c r="K405" i="11"/>
  <c r="J405" i="11"/>
  <c r="I405" i="11"/>
  <c r="J413" i="11"/>
  <c r="I413" i="11"/>
  <c r="K413" i="11"/>
  <c r="I403" i="11"/>
  <c r="I407" i="11"/>
  <c r="J411" i="11"/>
  <c r="K403" i="11"/>
  <c r="K407" i="11"/>
  <c r="K411" i="11"/>
  <c r="I394" i="11"/>
  <c r="K394" i="11"/>
  <c r="J394" i="11"/>
  <c r="I396" i="11"/>
  <c r="J396" i="11"/>
  <c r="K396" i="11"/>
  <c r="J397" i="11"/>
  <c r="K397" i="11"/>
  <c r="I397" i="11"/>
  <c r="I392" i="11"/>
  <c r="K392" i="11"/>
  <c r="J392" i="11"/>
  <c r="I400" i="11"/>
  <c r="K400" i="11"/>
  <c r="J400" i="11"/>
  <c r="J390" i="11"/>
  <c r="K390" i="11"/>
  <c r="I390" i="11"/>
  <c r="I398" i="11"/>
  <c r="J398" i="11"/>
  <c r="K398" i="11"/>
  <c r="K393" i="11"/>
  <c r="J393" i="11"/>
  <c r="I393" i="11"/>
  <c r="K401" i="11"/>
  <c r="J401" i="11"/>
  <c r="I401" i="11"/>
  <c r="K391" i="11"/>
  <c r="K399" i="11"/>
  <c r="I391" i="11"/>
  <c r="I395" i="11"/>
  <c r="I399" i="11"/>
  <c r="J375" i="11"/>
  <c r="J395" i="11"/>
  <c r="K375" i="11"/>
  <c r="J371" i="11"/>
  <c r="J383" i="11"/>
  <c r="I383" i="11"/>
  <c r="K383" i="11"/>
  <c r="I385" i="11"/>
  <c r="K385" i="11"/>
  <c r="J385" i="11"/>
  <c r="J379" i="11"/>
  <c r="I379" i="11"/>
  <c r="K379" i="11"/>
  <c r="J387" i="11"/>
  <c r="I387" i="11"/>
  <c r="K387" i="11"/>
  <c r="I381" i="11"/>
  <c r="K381" i="11"/>
  <c r="J381" i="11"/>
  <c r="I389" i="11"/>
  <c r="K389" i="11"/>
  <c r="J389" i="11"/>
  <c r="K380" i="11"/>
  <c r="K384" i="11"/>
  <c r="K388" i="11"/>
  <c r="I380" i="11"/>
  <c r="I384" i="11"/>
  <c r="I388" i="11"/>
  <c r="K367" i="11"/>
  <c r="I367" i="11"/>
  <c r="K371" i="11"/>
  <c r="K378" i="11"/>
  <c r="K382" i="11"/>
  <c r="K386" i="11"/>
  <c r="I378" i="11"/>
  <c r="I382" i="11"/>
  <c r="I386" i="11"/>
  <c r="I372" i="11"/>
  <c r="K372" i="11"/>
  <c r="J372" i="11"/>
  <c r="I368" i="11"/>
  <c r="K368" i="11"/>
  <c r="J368" i="11"/>
  <c r="K374" i="11"/>
  <c r="J374" i="11"/>
  <c r="I374" i="11"/>
  <c r="J369" i="11"/>
  <c r="I369" i="11"/>
  <c r="K369" i="11"/>
  <c r="J370" i="11"/>
  <c r="K370" i="11"/>
  <c r="I370" i="11"/>
  <c r="I373" i="11"/>
  <c r="K373" i="11"/>
  <c r="J373" i="11"/>
  <c r="K366" i="11"/>
  <c r="J366" i="11"/>
  <c r="I366" i="11"/>
  <c r="I376" i="11"/>
  <c r="K376" i="11"/>
  <c r="J376" i="11"/>
  <c r="J377" i="11"/>
  <c r="I377" i="11"/>
  <c r="K377" i="11"/>
  <c r="J353" i="11"/>
  <c r="I353" i="11"/>
  <c r="K353" i="11"/>
  <c r="J357" i="11"/>
  <c r="I357" i="11"/>
  <c r="K357" i="11"/>
  <c r="I359" i="11"/>
  <c r="K359" i="11"/>
  <c r="J359" i="11"/>
  <c r="J360" i="11"/>
  <c r="I360" i="11"/>
  <c r="K360" i="11"/>
  <c r="I361" i="11"/>
  <c r="K361" i="11"/>
  <c r="J361" i="11"/>
  <c r="I355" i="11"/>
  <c r="K355" i="11"/>
  <c r="J355" i="11"/>
  <c r="I363" i="11"/>
  <c r="K363" i="11"/>
  <c r="J363" i="11"/>
  <c r="I356" i="11"/>
  <c r="K356" i="11"/>
  <c r="J356" i="11"/>
  <c r="I364" i="11"/>
  <c r="K364" i="11"/>
  <c r="J364" i="11"/>
  <c r="K358" i="11"/>
  <c r="K362" i="11"/>
  <c r="I358" i="11"/>
  <c r="I362" i="11"/>
  <c r="J354" i="11"/>
  <c r="K354" i="11"/>
  <c r="J341" i="11"/>
  <c r="I341" i="11"/>
  <c r="K341" i="11"/>
  <c r="J345" i="11"/>
  <c r="I345" i="11"/>
  <c r="K345" i="11"/>
  <c r="I347" i="11"/>
  <c r="K347" i="11"/>
  <c r="J347" i="11"/>
  <c r="J348" i="11"/>
  <c r="I348" i="11"/>
  <c r="K348" i="11"/>
  <c r="J349" i="11"/>
  <c r="K349" i="11"/>
  <c r="I349" i="11"/>
  <c r="I343" i="11"/>
  <c r="J343" i="11"/>
  <c r="K343" i="11"/>
  <c r="I351" i="11"/>
  <c r="K351" i="11"/>
  <c r="J351" i="11"/>
  <c r="K344" i="11"/>
  <c r="J344" i="11"/>
  <c r="I344" i="11"/>
  <c r="K352" i="11"/>
  <c r="J352" i="11"/>
  <c r="I352" i="11"/>
  <c r="K342" i="11"/>
  <c r="K346" i="11"/>
  <c r="J350" i="11"/>
  <c r="I342" i="11"/>
  <c r="I346" i="11"/>
  <c r="I333" i="11"/>
  <c r="J333" i="11"/>
  <c r="K333" i="11"/>
  <c r="J329" i="11"/>
  <c r="K329" i="11"/>
  <c r="I329" i="11"/>
  <c r="J336" i="11"/>
  <c r="K336" i="11"/>
  <c r="I336" i="11"/>
  <c r="I339" i="11"/>
  <c r="K339" i="11"/>
  <c r="J339" i="11"/>
  <c r="I335" i="11"/>
  <c r="K335" i="11"/>
  <c r="J335" i="11"/>
  <c r="J337" i="11"/>
  <c r="K337" i="11"/>
  <c r="I337" i="11"/>
  <c r="I331" i="11"/>
  <c r="J331" i="11"/>
  <c r="K331" i="11"/>
  <c r="J332" i="11"/>
  <c r="K332" i="11"/>
  <c r="I332" i="11"/>
  <c r="J340" i="11"/>
  <c r="I340" i="11"/>
  <c r="K340" i="11"/>
  <c r="J338" i="11"/>
  <c r="K330" i="11"/>
  <c r="I334" i="11"/>
  <c r="I338" i="11"/>
  <c r="K334" i="11"/>
  <c r="I330" i="11"/>
  <c r="J317" i="11"/>
  <c r="I317" i="11"/>
  <c r="K317" i="11"/>
  <c r="I324" i="11"/>
  <c r="J324" i="11"/>
  <c r="K324" i="11"/>
  <c r="I319" i="11"/>
  <c r="K319" i="11"/>
  <c r="J319" i="11"/>
  <c r="I327" i="11"/>
  <c r="K327" i="11"/>
  <c r="J327" i="11"/>
  <c r="J321" i="11"/>
  <c r="K321" i="11"/>
  <c r="I321" i="11"/>
  <c r="I323" i="11"/>
  <c r="J323" i="11"/>
  <c r="K323" i="11"/>
  <c r="J325" i="11"/>
  <c r="K325" i="11"/>
  <c r="I325" i="11"/>
  <c r="J320" i="11"/>
  <c r="I320" i="11"/>
  <c r="K320" i="11"/>
  <c r="I328" i="11"/>
  <c r="J328" i="11"/>
  <c r="K328" i="11"/>
  <c r="K318" i="11"/>
  <c r="K322" i="11"/>
  <c r="I318" i="11"/>
  <c r="M318" i="11" s="1"/>
  <c r="I322" i="11"/>
  <c r="I326" i="11"/>
  <c r="J308" i="11"/>
  <c r="I308" i="11"/>
  <c r="K308" i="11"/>
  <c r="J305" i="11"/>
  <c r="I305" i="11"/>
  <c r="K305" i="11"/>
  <c r="J309" i="11"/>
  <c r="I309" i="11"/>
  <c r="K309" i="11"/>
  <c r="J310" i="11"/>
  <c r="I310" i="11"/>
  <c r="K310" i="11"/>
  <c r="J306" i="11"/>
  <c r="I306" i="11"/>
  <c r="K306" i="11"/>
  <c r="K311" i="11"/>
  <c r="J311" i="11"/>
  <c r="I311" i="11"/>
  <c r="J312" i="11"/>
  <c r="I312" i="11"/>
  <c r="K312" i="11"/>
  <c r="J313" i="11"/>
  <c r="I313" i="11"/>
  <c r="K313" i="11"/>
  <c r="K307" i="11"/>
  <c r="J307" i="11"/>
  <c r="J314" i="11"/>
  <c r="I314" i="11"/>
  <c r="K314" i="11"/>
  <c r="I307" i="11"/>
  <c r="K315" i="11"/>
  <c r="J315" i="11"/>
  <c r="I315" i="11"/>
  <c r="J316" i="11"/>
  <c r="I316" i="11"/>
  <c r="K316" i="11"/>
  <c r="M541" i="11" l="1"/>
  <c r="M367" i="11"/>
  <c r="M384" i="11"/>
  <c r="M537" i="11"/>
  <c r="M621" i="11"/>
  <c r="M502" i="11"/>
  <c r="M505" i="11"/>
  <c r="M350" i="11"/>
  <c r="M358" i="11"/>
  <c r="M362" i="11"/>
  <c r="M388" i="11"/>
  <c r="M419" i="11"/>
  <c r="M322" i="11"/>
  <c r="M354" i="11"/>
  <c r="M399" i="11"/>
  <c r="M477" i="11"/>
  <c r="M481" i="11"/>
  <c r="M513" i="11"/>
  <c r="M521" i="11"/>
  <c r="M489" i="11"/>
  <c r="M497" i="11"/>
  <c r="M371" i="11"/>
  <c r="M375" i="11"/>
  <c r="M411" i="11"/>
  <c r="M378" i="11"/>
  <c r="M346" i="11"/>
  <c r="K475" i="11"/>
  <c r="J620" i="11"/>
  <c r="K472" i="11"/>
  <c r="J619" i="11"/>
  <c r="M391" i="11"/>
  <c r="M386" i="11"/>
  <c r="M382" i="11"/>
  <c r="M407" i="11"/>
  <c r="M403" i="11"/>
  <c r="M326" i="11"/>
  <c r="M525" i="11"/>
  <c r="M534" i="11"/>
  <c r="M508" i="11"/>
  <c r="M517" i="11"/>
  <c r="M509" i="11"/>
  <c r="M506" i="11"/>
  <c r="M493" i="11"/>
  <c r="M473" i="11"/>
  <c r="M533" i="11"/>
  <c r="M528" i="11"/>
  <c r="M501" i="11"/>
  <c r="M498" i="11"/>
  <c r="M380" i="11"/>
  <c r="M342" i="11"/>
  <c r="M334" i="11"/>
  <c r="M330" i="11"/>
  <c r="M549" i="11"/>
  <c r="L226" i="11"/>
  <c r="M512" i="11"/>
  <c r="M553" i="11"/>
  <c r="M390" i="11"/>
  <c r="M422" i="11"/>
  <c r="M472" i="11"/>
  <c r="M414" i="11"/>
  <c r="M520" i="11"/>
  <c r="M545" i="11"/>
  <c r="M547" i="11"/>
  <c r="M548" i="11"/>
  <c r="M364" i="11"/>
  <c r="M373" i="11"/>
  <c r="M368" i="11"/>
  <c r="M381" i="11"/>
  <c r="M416" i="11"/>
  <c r="M554" i="11"/>
  <c r="M327" i="11"/>
  <c r="M542" i="11"/>
  <c r="M526" i="11"/>
  <c r="M552" i="11"/>
  <c r="M544" i="11"/>
  <c r="M546" i="11"/>
  <c r="M550" i="11"/>
  <c r="M555" i="11"/>
  <c r="M551" i="11"/>
  <c r="M535" i="11"/>
  <c r="M538" i="11"/>
  <c r="M532" i="11"/>
  <c r="M524" i="11"/>
  <c r="M529" i="11"/>
  <c r="M540" i="11"/>
  <c r="M495" i="11"/>
  <c r="M523" i="11"/>
  <c r="M530" i="11"/>
  <c r="M527" i="11"/>
  <c r="M543" i="11"/>
  <c r="M539" i="11"/>
  <c r="M536" i="11"/>
  <c r="M515" i="11"/>
  <c r="M510" i="11"/>
  <c r="M514" i="11"/>
  <c r="M531" i="11"/>
  <c r="M494" i="11"/>
  <c r="M490" i="11"/>
  <c r="M522" i="11"/>
  <c r="M519" i="11"/>
  <c r="M396" i="11"/>
  <c r="M511" i="11"/>
  <c r="M518" i="11"/>
  <c r="M500" i="11"/>
  <c r="M516" i="11"/>
  <c r="M507" i="11"/>
  <c r="M491" i="11"/>
  <c r="M504" i="11"/>
  <c r="M487" i="11"/>
  <c r="M496" i="11"/>
  <c r="M499" i="11"/>
  <c r="M412" i="11"/>
  <c r="M404" i="11"/>
  <c r="M474" i="11"/>
  <c r="M486" i="11"/>
  <c r="M503" i="11"/>
  <c r="M485" i="11"/>
  <c r="M488" i="11"/>
  <c r="M492" i="11"/>
  <c r="M395" i="11"/>
  <c r="M408" i="11"/>
  <c r="M478" i="11"/>
  <c r="M475" i="11"/>
  <c r="M484" i="11"/>
  <c r="M480" i="11"/>
  <c r="M479" i="11"/>
  <c r="M476" i="11"/>
  <c r="M424" i="11"/>
  <c r="M483" i="11"/>
  <c r="M420" i="11"/>
  <c r="M482" i="11"/>
  <c r="M425" i="11"/>
  <c r="M417" i="11"/>
  <c r="M398" i="11"/>
  <c r="M421" i="11"/>
  <c r="M415" i="11"/>
  <c r="M423" i="11"/>
  <c r="M385" i="11"/>
  <c r="M418" i="11"/>
  <c r="M351" i="11"/>
  <c r="M347" i="11"/>
  <c r="M355" i="11"/>
  <c r="M406" i="11"/>
  <c r="M402" i="11"/>
  <c r="M413" i="11"/>
  <c r="M400" i="11"/>
  <c r="M394" i="11"/>
  <c r="M409" i="11"/>
  <c r="M372" i="11"/>
  <c r="M405" i="11"/>
  <c r="M410" i="11"/>
  <c r="M397" i="11"/>
  <c r="M401" i="11"/>
  <c r="M393" i="11"/>
  <c r="M392" i="11"/>
  <c r="M379" i="11"/>
  <c r="M363" i="11"/>
  <c r="M359" i="11"/>
  <c r="M376" i="11"/>
  <c r="M387" i="11"/>
  <c r="M383" i="11"/>
  <c r="M389" i="11"/>
  <c r="M374" i="11"/>
  <c r="M369" i="11"/>
  <c r="M366" i="11"/>
  <c r="M349" i="11"/>
  <c r="M377" i="11"/>
  <c r="M370" i="11"/>
  <c r="M360" i="11"/>
  <c r="M331" i="11"/>
  <c r="M343" i="11"/>
  <c r="M361" i="11"/>
  <c r="M357" i="11"/>
  <c r="M348" i="11"/>
  <c r="M356" i="11"/>
  <c r="M353" i="11"/>
  <c r="M332" i="11"/>
  <c r="M319" i="11"/>
  <c r="M352" i="11"/>
  <c r="M345" i="11"/>
  <c r="M335" i="11"/>
  <c r="M323" i="11"/>
  <c r="M324" i="11"/>
  <c r="M333" i="11"/>
  <c r="M344" i="11"/>
  <c r="M341" i="11"/>
  <c r="M336" i="11"/>
  <c r="M338" i="11"/>
  <c r="M337" i="11"/>
  <c r="M329" i="11"/>
  <c r="M340" i="11"/>
  <c r="M328" i="11"/>
  <c r="M339" i="11"/>
  <c r="M321" i="11"/>
  <c r="M325" i="11"/>
  <c r="M320" i="11"/>
  <c r="M317" i="11"/>
  <c r="M313" i="11"/>
  <c r="M316" i="11"/>
  <c r="M310" i="11"/>
  <c r="M315" i="11"/>
  <c r="M312" i="11"/>
  <c r="M309" i="11"/>
  <c r="M311" i="11"/>
  <c r="M305" i="11"/>
  <c r="M314" i="11"/>
  <c r="M307" i="11"/>
  <c r="M306" i="11"/>
  <c r="M308" i="11"/>
  <c r="J621" i="11" l="1"/>
  <c r="I629" i="11" s="1"/>
  <c r="G303" i="11"/>
  <c r="G301" i="11"/>
  <c r="H301" i="11" s="1"/>
  <c r="G300" i="11"/>
  <c r="G298" i="11"/>
  <c r="H298" i="11" s="1"/>
  <c r="G299" i="11"/>
  <c r="H299" i="11" s="1"/>
  <c r="G297" i="11"/>
  <c r="H297" i="11" s="1"/>
  <c r="G296" i="11"/>
  <c r="H296" i="11" s="1"/>
  <c r="F616" i="11"/>
  <c r="G294" i="11"/>
  <c r="H294" i="11" s="1"/>
  <c r="E222" i="11"/>
  <c r="G302" i="11"/>
  <c r="H302" i="11" s="1"/>
  <c r="E253" i="11"/>
  <c r="E252" i="11"/>
  <c r="E251" i="11"/>
  <c r="E250" i="11"/>
  <c r="E249" i="11"/>
  <c r="E248" i="11"/>
  <c r="E247" i="11"/>
  <c r="E246" i="11"/>
  <c r="E245" i="11"/>
  <c r="E244" i="11"/>
  <c r="E243" i="11"/>
  <c r="E242" i="11"/>
  <c r="E241" i="11"/>
  <c r="E240" i="11"/>
  <c r="E239" i="11"/>
  <c r="E238" i="11"/>
  <c r="E237" i="11"/>
  <c r="E236" i="11"/>
  <c r="E218" i="11" l="1"/>
  <c r="I300" i="11"/>
  <c r="H300" i="11"/>
  <c r="J303" i="11"/>
  <c r="H303" i="11"/>
  <c r="K303" i="11" s="1"/>
  <c r="J301" i="11"/>
  <c r="I298" i="11"/>
  <c r="I297" i="11"/>
  <c r="J294" i="11"/>
  <c r="F614" i="11"/>
  <c r="F617" i="11" s="1"/>
  <c r="G295" i="11"/>
  <c r="K299" i="11"/>
  <c r="J299" i="11"/>
  <c r="I299" i="11"/>
  <c r="K296" i="11"/>
  <c r="I296" i="11"/>
  <c r="J296" i="11"/>
  <c r="J302" i="11"/>
  <c r="I302" i="11"/>
  <c r="J298" i="11"/>
  <c r="K297" i="11"/>
  <c r="K300" i="11"/>
  <c r="I294" i="11"/>
  <c r="I303" i="11"/>
  <c r="M303" i="11" s="1"/>
  <c r="J297" i="11"/>
  <c r="J300" i="11"/>
  <c r="M300" i="11" s="1"/>
  <c r="K298" i="11"/>
  <c r="K301" i="11"/>
  <c r="I301" i="11"/>
  <c r="M298" i="11" l="1"/>
  <c r="M296" i="11"/>
  <c r="H295" i="11"/>
  <c r="H616" i="11"/>
  <c r="M616" i="11" s="1"/>
  <c r="M297" i="11"/>
  <c r="I295" i="11"/>
  <c r="M294" i="11"/>
  <c r="M301" i="11"/>
  <c r="K294" i="11"/>
  <c r="J295" i="11"/>
  <c r="K302" i="11"/>
  <c r="M299" i="11"/>
  <c r="M302" i="11"/>
  <c r="M295" i="11" l="1"/>
  <c r="J616" i="11"/>
  <c r="K295" i="11"/>
  <c r="C237" i="11"/>
  <c r="C238" i="11" s="1"/>
  <c r="C239" i="11" s="1"/>
  <c r="C240" i="11" s="1"/>
  <c r="C241" i="11" s="1"/>
  <c r="C242" i="11" s="1"/>
  <c r="C243" i="11" s="1"/>
  <c r="C244" i="11" s="1"/>
  <c r="C245" i="11" s="1"/>
  <c r="C246" i="11" s="1"/>
  <c r="C247" i="11" s="1"/>
  <c r="C248" i="11" s="1"/>
  <c r="C249" i="11" s="1"/>
  <c r="C250" i="11" s="1"/>
  <c r="C251" i="11" s="1"/>
  <c r="C252" i="11" s="1"/>
  <c r="C253" i="11" s="1"/>
  <c r="M188" i="11" l="1"/>
  <c r="M189" i="11" s="1"/>
  <c r="F188" i="11"/>
  <c r="F186" i="11"/>
  <c r="I284" i="11"/>
  <c r="I283" i="11"/>
  <c r="I282" i="11"/>
  <c r="I281" i="11"/>
  <c r="I280" i="11"/>
  <c r="I279" i="11"/>
  <c r="I278" i="11"/>
  <c r="I277" i="11"/>
  <c r="I276" i="11"/>
  <c r="I275" i="11"/>
  <c r="I274" i="11"/>
  <c r="I273" i="11"/>
  <c r="I272" i="11"/>
  <c r="I271" i="11"/>
  <c r="I270" i="11"/>
  <c r="I269" i="11"/>
  <c r="I268" i="11"/>
  <c r="I267" i="11"/>
  <c r="I266" i="11"/>
  <c r="I265" i="11"/>
  <c r="I237" i="11"/>
  <c r="I238" i="11"/>
  <c r="J238" i="11" s="1"/>
  <c r="I239" i="11"/>
  <c r="J239" i="11" s="1"/>
  <c r="I240" i="11"/>
  <c r="J240" i="11" s="1"/>
  <c r="I241" i="11"/>
  <c r="J241" i="11" s="1"/>
  <c r="I242" i="11"/>
  <c r="J242" i="11" s="1"/>
  <c r="I243" i="11"/>
  <c r="J243" i="11" s="1"/>
  <c r="I244" i="11"/>
  <c r="J244" i="11" s="1"/>
  <c r="I245" i="11"/>
  <c r="J245" i="11" s="1"/>
  <c r="I246" i="11"/>
  <c r="J246" i="11" s="1"/>
  <c r="I247" i="11"/>
  <c r="J247" i="11" s="1"/>
  <c r="I248" i="11"/>
  <c r="J248" i="11" s="1"/>
  <c r="I249" i="11"/>
  <c r="J249" i="11" s="1"/>
  <c r="I250" i="11"/>
  <c r="J250" i="11" s="1"/>
  <c r="I251" i="11"/>
  <c r="J251" i="11" s="1"/>
  <c r="I252" i="11"/>
  <c r="J252" i="11" s="1"/>
  <c r="I253" i="11"/>
  <c r="J253" i="11" s="1"/>
  <c r="I254" i="11"/>
  <c r="I255" i="11"/>
  <c r="I256" i="11"/>
  <c r="I257" i="11"/>
  <c r="I258" i="11"/>
  <c r="I259" i="11"/>
  <c r="I260" i="11"/>
  <c r="I261" i="11"/>
  <c r="I262" i="11"/>
  <c r="I236" i="11"/>
  <c r="J236" i="11" s="1"/>
  <c r="E227" i="11"/>
  <c r="E223" i="11"/>
  <c r="E219" i="11"/>
  <c r="G610" i="11"/>
  <c r="J610" i="11" s="1"/>
  <c r="G609" i="11"/>
  <c r="J609" i="11" s="1"/>
  <c r="G608" i="11"/>
  <c r="I608" i="11" s="1"/>
  <c r="G607" i="11"/>
  <c r="J607" i="11" s="1"/>
  <c r="G606" i="11"/>
  <c r="J606" i="11" s="1"/>
  <c r="G605" i="11"/>
  <c r="H605" i="11" s="1"/>
  <c r="G604" i="11"/>
  <c r="J604" i="11" s="1"/>
  <c r="G602" i="11"/>
  <c r="J602" i="11" s="1"/>
  <c r="G601" i="11"/>
  <c r="J601" i="11" s="1"/>
  <c r="G600" i="11"/>
  <c r="J600" i="11" s="1"/>
  <c r="G599" i="11"/>
  <c r="J599" i="11" s="1"/>
  <c r="G598" i="11"/>
  <c r="J598" i="11" s="1"/>
  <c r="G597" i="11"/>
  <c r="J597" i="11" s="1"/>
  <c r="G596" i="11"/>
  <c r="J596" i="11" s="1"/>
  <c r="G595" i="11"/>
  <c r="J595" i="11" s="1"/>
  <c r="G594" i="11"/>
  <c r="J594" i="11" s="1"/>
  <c r="G593" i="11"/>
  <c r="J593" i="11" s="1"/>
  <c r="G592" i="11"/>
  <c r="J592" i="11" s="1"/>
  <c r="G591" i="11"/>
  <c r="J591" i="11" s="1"/>
  <c r="G590" i="11"/>
  <c r="J590" i="11" s="1"/>
  <c r="G589" i="11"/>
  <c r="J589" i="11" s="1"/>
  <c r="G588" i="11"/>
  <c r="H588" i="11" s="1"/>
  <c r="G587" i="11"/>
  <c r="J587" i="11" s="1"/>
  <c r="G586" i="11"/>
  <c r="J586" i="11" s="1"/>
  <c r="G585" i="11"/>
  <c r="J585" i="11" s="1"/>
  <c r="G584" i="11"/>
  <c r="J584" i="11" s="1"/>
  <c r="G583" i="11"/>
  <c r="J583" i="11" s="1"/>
  <c r="G582" i="11"/>
  <c r="J582" i="11" s="1"/>
  <c r="G581" i="11"/>
  <c r="J581" i="11" s="1"/>
  <c r="G579" i="11"/>
  <c r="J579" i="11" s="1"/>
  <c r="G577" i="11"/>
  <c r="J577" i="11" s="1"/>
  <c r="G576" i="11"/>
  <c r="J576" i="11" s="1"/>
  <c r="G575" i="11"/>
  <c r="H575" i="11" s="1"/>
  <c r="G574" i="11"/>
  <c r="J574" i="11" s="1"/>
  <c r="G573" i="11"/>
  <c r="J573" i="11" s="1"/>
  <c r="G572" i="11"/>
  <c r="J572" i="11" s="1"/>
  <c r="G571" i="11"/>
  <c r="J571" i="11" s="1"/>
  <c r="G570" i="11"/>
  <c r="J570" i="11" s="1"/>
  <c r="G569" i="11"/>
  <c r="I569" i="11" s="1"/>
  <c r="G568" i="11"/>
  <c r="J568" i="11" s="1"/>
  <c r="G567" i="11"/>
  <c r="J567" i="11" s="1"/>
  <c r="G566" i="11"/>
  <c r="H566" i="11" s="1"/>
  <c r="G565" i="11"/>
  <c r="J565" i="11" s="1"/>
  <c r="G564" i="11"/>
  <c r="J564" i="11" s="1"/>
  <c r="G563" i="11"/>
  <c r="I563" i="11" s="1"/>
  <c r="G562" i="11"/>
  <c r="J562" i="11" s="1"/>
  <c r="G561" i="11"/>
  <c r="J561" i="11" s="1"/>
  <c r="G560" i="11"/>
  <c r="I560" i="11" s="1"/>
  <c r="G559" i="11"/>
  <c r="J559" i="11" s="1"/>
  <c r="G558" i="11"/>
  <c r="J558" i="11" s="1"/>
  <c r="G557" i="11"/>
  <c r="H557" i="11" s="1"/>
  <c r="G556" i="11"/>
  <c r="J556" i="11" s="1"/>
  <c r="G465" i="11"/>
  <c r="J465" i="11" s="1"/>
  <c r="G463" i="11"/>
  <c r="J463" i="11" s="1"/>
  <c r="G462" i="11"/>
  <c r="J462" i="11" s="1"/>
  <c r="G461" i="11"/>
  <c r="H461" i="11" s="1"/>
  <c r="G460" i="11"/>
  <c r="J460" i="11" s="1"/>
  <c r="G459" i="11"/>
  <c r="J459" i="11" s="1"/>
  <c r="G458" i="11"/>
  <c r="H458" i="11" s="1"/>
  <c r="G457" i="11"/>
  <c r="J457" i="11" s="1"/>
  <c r="G456" i="11"/>
  <c r="J456" i="11" s="1"/>
  <c r="G455" i="11"/>
  <c r="J455" i="11" s="1"/>
  <c r="G454" i="11"/>
  <c r="J454" i="11" s="1"/>
  <c r="G453" i="11"/>
  <c r="J453" i="11" s="1"/>
  <c r="G452" i="11"/>
  <c r="I452" i="11" s="1"/>
  <c r="G451" i="11"/>
  <c r="J451" i="11" s="1"/>
  <c r="G450" i="11"/>
  <c r="J450" i="11" s="1"/>
  <c r="G449" i="11"/>
  <c r="H449" i="11" s="1"/>
  <c r="G448" i="11"/>
  <c r="J448" i="11" s="1"/>
  <c r="G447" i="11"/>
  <c r="J447" i="11" s="1"/>
  <c r="G446" i="11"/>
  <c r="J446" i="11" s="1"/>
  <c r="G445" i="11"/>
  <c r="J445" i="11" s="1"/>
  <c r="G444" i="11"/>
  <c r="J444" i="11" s="1"/>
  <c r="G443" i="11"/>
  <c r="J443" i="11" s="1"/>
  <c r="G442" i="11"/>
  <c r="J442" i="11" s="1"/>
  <c r="G441" i="11"/>
  <c r="J441" i="11" s="1"/>
  <c r="G437" i="11"/>
  <c r="J437" i="11" s="1"/>
  <c r="G436" i="11"/>
  <c r="J436" i="11" s="1"/>
  <c r="G435" i="11"/>
  <c r="J435" i="11" s="1"/>
  <c r="G434" i="11"/>
  <c r="J434" i="11" s="1"/>
  <c r="G433" i="11"/>
  <c r="J433" i="11" s="1"/>
  <c r="G432" i="11"/>
  <c r="J432" i="11" s="1"/>
  <c r="G431" i="11"/>
  <c r="J431" i="11" s="1"/>
  <c r="G430" i="11"/>
  <c r="J430" i="11" s="1"/>
  <c r="G429" i="11"/>
  <c r="H429" i="11" s="1"/>
  <c r="G428" i="11"/>
  <c r="J428" i="11" s="1"/>
  <c r="G427" i="11"/>
  <c r="J427" i="11" s="1"/>
  <c r="G426" i="11"/>
  <c r="J426" i="11" s="1"/>
  <c r="G293" i="11"/>
  <c r="G292" i="11"/>
  <c r="N203" i="11" a="1"/>
  <c r="H615" i="11" l="1"/>
  <c r="M615" i="11" s="1"/>
  <c r="J292" i="11"/>
  <c r="I292" i="11"/>
  <c r="H292" i="11"/>
  <c r="I218" i="11"/>
  <c r="J237" i="11"/>
  <c r="L218" i="11" s="1"/>
  <c r="J293" i="11"/>
  <c r="H293" i="11"/>
  <c r="O293" i="11"/>
  <c r="I222" i="11"/>
  <c r="H614" i="11"/>
  <c r="E228" i="11"/>
  <c r="I604" i="11"/>
  <c r="N203" i="11"/>
  <c r="G208" i="11" s="1"/>
  <c r="I587" i="11"/>
  <c r="H607" i="11"/>
  <c r="I581" i="11"/>
  <c r="I590" i="11"/>
  <c r="I599" i="11"/>
  <c r="I607" i="11"/>
  <c r="H435" i="11"/>
  <c r="H608" i="11"/>
  <c r="I584" i="11"/>
  <c r="I593" i="11"/>
  <c r="I602" i="11"/>
  <c r="I596" i="11"/>
  <c r="H610" i="11"/>
  <c r="H604" i="11"/>
  <c r="I610" i="11"/>
  <c r="I605" i="11"/>
  <c r="H606" i="11"/>
  <c r="H609" i="11"/>
  <c r="J608" i="11"/>
  <c r="I606" i="11"/>
  <c r="I609" i="11"/>
  <c r="J605" i="11"/>
  <c r="H585" i="11"/>
  <c r="H594" i="11"/>
  <c r="H597" i="11"/>
  <c r="I582" i="11"/>
  <c r="I585" i="11"/>
  <c r="I588" i="11"/>
  <c r="I591" i="11"/>
  <c r="I594" i="11"/>
  <c r="I597" i="11"/>
  <c r="I600" i="11"/>
  <c r="H582" i="11"/>
  <c r="H591" i="11"/>
  <c r="H600" i="11"/>
  <c r="J588" i="11"/>
  <c r="H583" i="11"/>
  <c r="H586" i="11"/>
  <c r="H589" i="11"/>
  <c r="H592" i="11"/>
  <c r="H595" i="11"/>
  <c r="H598" i="11"/>
  <c r="H601" i="11"/>
  <c r="I583" i="11"/>
  <c r="I586" i="11"/>
  <c r="I589" i="11"/>
  <c r="I592" i="11"/>
  <c r="I595" i="11"/>
  <c r="I598" i="11"/>
  <c r="I601" i="11"/>
  <c r="H581" i="11"/>
  <c r="H584" i="11"/>
  <c r="H587" i="11"/>
  <c r="H590" i="11"/>
  <c r="H593" i="11"/>
  <c r="H596" i="11"/>
  <c r="H599" i="11"/>
  <c r="H602" i="11"/>
  <c r="I579" i="11"/>
  <c r="H579" i="11"/>
  <c r="I575" i="11"/>
  <c r="H563" i="11"/>
  <c r="H572" i="11"/>
  <c r="I557" i="11"/>
  <c r="I566" i="11"/>
  <c r="I572" i="11"/>
  <c r="J557" i="11"/>
  <c r="J560" i="11"/>
  <c r="J563" i="11"/>
  <c r="J566" i="11"/>
  <c r="J569" i="11"/>
  <c r="J575" i="11"/>
  <c r="H569" i="11"/>
  <c r="H558" i="11"/>
  <c r="H561" i="11"/>
  <c r="H564" i="11"/>
  <c r="H567" i="11"/>
  <c r="H570" i="11"/>
  <c r="H573" i="11"/>
  <c r="H576" i="11"/>
  <c r="I558" i="11"/>
  <c r="I561" i="11"/>
  <c r="I564" i="11"/>
  <c r="I567" i="11"/>
  <c r="I570" i="11"/>
  <c r="I573" i="11"/>
  <c r="I576" i="11"/>
  <c r="H560" i="11"/>
  <c r="H556" i="11"/>
  <c r="H559" i="11"/>
  <c r="H562" i="11"/>
  <c r="H565" i="11"/>
  <c r="H568" i="11"/>
  <c r="H571" i="11"/>
  <c r="H574" i="11"/>
  <c r="H577" i="11"/>
  <c r="I556" i="11"/>
  <c r="I559" i="11"/>
  <c r="I562" i="11"/>
  <c r="I565" i="11"/>
  <c r="I568" i="11"/>
  <c r="I571" i="11"/>
  <c r="I574" i="11"/>
  <c r="I577" i="11"/>
  <c r="I465" i="11"/>
  <c r="H465" i="11"/>
  <c r="H443" i="11"/>
  <c r="I455" i="11"/>
  <c r="I458" i="11"/>
  <c r="I461" i="11"/>
  <c r="H455" i="11"/>
  <c r="I443" i="11"/>
  <c r="J452" i="11"/>
  <c r="H441" i="11"/>
  <c r="H444" i="11"/>
  <c r="H447" i="11"/>
  <c r="H450" i="11"/>
  <c r="H453" i="11"/>
  <c r="H456" i="11"/>
  <c r="H459" i="11"/>
  <c r="H462" i="11"/>
  <c r="H446" i="11"/>
  <c r="I449" i="11"/>
  <c r="J449" i="11"/>
  <c r="I441" i="11"/>
  <c r="I444" i="11"/>
  <c r="I447" i="11"/>
  <c r="I450" i="11"/>
  <c r="I453" i="11"/>
  <c r="I456" i="11"/>
  <c r="I459" i="11"/>
  <c r="I462" i="11"/>
  <c r="I446" i="11"/>
  <c r="J458" i="11"/>
  <c r="J461" i="11"/>
  <c r="H442" i="11"/>
  <c r="H445" i="11"/>
  <c r="H448" i="11"/>
  <c r="H451" i="11"/>
  <c r="H454" i="11"/>
  <c r="H457" i="11"/>
  <c r="H460" i="11"/>
  <c r="H463" i="11"/>
  <c r="H452" i="11"/>
  <c r="I442" i="11"/>
  <c r="I445" i="11"/>
  <c r="I448" i="11"/>
  <c r="I451" i="11"/>
  <c r="I454" i="11"/>
  <c r="I457" i="11"/>
  <c r="I460" i="11"/>
  <c r="I463" i="11"/>
  <c r="I435" i="11"/>
  <c r="H432" i="11"/>
  <c r="I429" i="11"/>
  <c r="J429" i="11"/>
  <c r="I426" i="11"/>
  <c r="H427" i="11"/>
  <c r="H430" i="11"/>
  <c r="H433" i="11"/>
  <c r="H436" i="11"/>
  <c r="I427" i="11"/>
  <c r="I430" i="11"/>
  <c r="I433" i="11"/>
  <c r="I436" i="11"/>
  <c r="H426" i="11"/>
  <c r="I432" i="11"/>
  <c r="H428" i="11"/>
  <c r="H431" i="11"/>
  <c r="H434" i="11"/>
  <c r="H437" i="11"/>
  <c r="I293" i="11"/>
  <c r="I428" i="11"/>
  <c r="I431" i="11"/>
  <c r="I434" i="11"/>
  <c r="I437" i="11"/>
  <c r="G213" i="11" l="1"/>
  <c r="G214" i="11"/>
  <c r="G211" i="11"/>
  <c r="G212" i="11"/>
  <c r="G209" i="11"/>
  <c r="G210" i="11"/>
  <c r="M617" i="11"/>
  <c r="I624" i="11" s="1"/>
  <c r="H617" i="11"/>
  <c r="M292" i="11"/>
  <c r="J614" i="11"/>
  <c r="L222" i="11"/>
  <c r="K292" i="11"/>
  <c r="J615" i="11"/>
  <c r="K236" i="11"/>
  <c r="M458" i="11"/>
  <c r="M446" i="11"/>
  <c r="M608" i="11"/>
  <c r="M596" i="11"/>
  <c r="M595" i="11"/>
  <c r="M584" i="11"/>
  <c r="M583" i="11"/>
  <c r="M570" i="11"/>
  <c r="M569" i="11"/>
  <c r="M558" i="11"/>
  <c r="M557" i="11"/>
  <c r="M443" i="11"/>
  <c r="M455" i="11"/>
  <c r="M442" i="11"/>
  <c r="M428" i="11"/>
  <c r="M427" i="11"/>
  <c r="K610" i="11"/>
  <c r="K609" i="11"/>
  <c r="K608" i="11"/>
  <c r="K607" i="11"/>
  <c r="K606" i="11"/>
  <c r="K605" i="11"/>
  <c r="K604" i="11"/>
  <c r="K602" i="11"/>
  <c r="K601" i="11"/>
  <c r="K600" i="11"/>
  <c r="K599" i="11"/>
  <c r="K598" i="11"/>
  <c r="K597" i="11"/>
  <c r="K596" i="11"/>
  <c r="K595" i="11"/>
  <c r="K594" i="11"/>
  <c r="K593" i="11"/>
  <c r="K592" i="11"/>
  <c r="K591" i="11"/>
  <c r="K590" i="11"/>
  <c r="K589" i="11"/>
  <c r="K588" i="11"/>
  <c r="K587" i="11"/>
  <c r="K586" i="11"/>
  <c r="K585" i="11"/>
  <c r="K584" i="11"/>
  <c r="K583" i="11"/>
  <c r="K582" i="11"/>
  <c r="K581" i="11"/>
  <c r="K579" i="11"/>
  <c r="K577" i="11"/>
  <c r="K576" i="11"/>
  <c r="K575" i="11"/>
  <c r="K574" i="11"/>
  <c r="K573" i="11"/>
  <c r="K572" i="11"/>
  <c r="K571" i="11"/>
  <c r="K570" i="11"/>
  <c r="K569" i="11"/>
  <c r="K568" i="11"/>
  <c r="K567" i="11"/>
  <c r="K566" i="11"/>
  <c r="K565" i="11"/>
  <c r="K564" i="11"/>
  <c r="K563" i="11"/>
  <c r="K562" i="11"/>
  <c r="K561" i="11"/>
  <c r="K560" i="11"/>
  <c r="K559" i="11"/>
  <c r="K558" i="11"/>
  <c r="K557" i="11"/>
  <c r="K556" i="11"/>
  <c r="K465" i="11"/>
  <c r="K463" i="11"/>
  <c r="K462" i="11"/>
  <c r="K461" i="11"/>
  <c r="K460" i="11"/>
  <c r="K459" i="11"/>
  <c r="K458" i="11"/>
  <c r="K457" i="11"/>
  <c r="K456" i="11"/>
  <c r="K455" i="11"/>
  <c r="K454" i="11"/>
  <c r="K453" i="11"/>
  <c r="K452" i="11"/>
  <c r="K451" i="11"/>
  <c r="K450" i="11"/>
  <c r="K449" i="11"/>
  <c r="K448" i="11"/>
  <c r="K447" i="11"/>
  <c r="K446" i="11"/>
  <c r="K445" i="11"/>
  <c r="K444" i="11"/>
  <c r="K443" i="11"/>
  <c r="K442" i="11"/>
  <c r="K441" i="11"/>
  <c r="K293" i="11"/>
  <c r="K426" i="11"/>
  <c r="K427" i="11"/>
  <c r="K428" i="11"/>
  <c r="K429" i="11"/>
  <c r="K430" i="11"/>
  <c r="K431" i="11"/>
  <c r="K432" i="11"/>
  <c r="K433" i="11"/>
  <c r="K434" i="11"/>
  <c r="K435" i="11"/>
  <c r="K436" i="11"/>
  <c r="K437" i="11"/>
  <c r="J284" i="11"/>
  <c r="K284" i="11" s="1"/>
  <c r="J283" i="11"/>
  <c r="K283" i="11" s="1"/>
  <c r="J282" i="11"/>
  <c r="K282" i="11" s="1"/>
  <c r="J281" i="11"/>
  <c r="K281" i="11" s="1"/>
  <c r="J280" i="11"/>
  <c r="K280" i="11" s="1"/>
  <c r="J279" i="11"/>
  <c r="K279" i="11" s="1"/>
  <c r="J278" i="11"/>
  <c r="K278" i="11" s="1"/>
  <c r="J277" i="11"/>
  <c r="K277" i="11" s="1"/>
  <c r="J276" i="11"/>
  <c r="K276" i="11" s="1"/>
  <c r="J275" i="11"/>
  <c r="K275" i="11" s="1"/>
  <c r="J274" i="11"/>
  <c r="K274" i="11" s="1"/>
  <c r="J273" i="11"/>
  <c r="K273" i="11" s="1"/>
  <c r="J272" i="11"/>
  <c r="K272" i="11" s="1"/>
  <c r="J271" i="11"/>
  <c r="K271" i="11" s="1"/>
  <c r="J270" i="11"/>
  <c r="K270" i="11" s="1"/>
  <c r="J269" i="11"/>
  <c r="K269" i="11" s="1"/>
  <c r="J268" i="11"/>
  <c r="K268" i="11" s="1"/>
  <c r="J267" i="11"/>
  <c r="K267" i="11" s="1"/>
  <c r="J266" i="11"/>
  <c r="K266" i="11" s="1"/>
  <c r="J265" i="11"/>
  <c r="K265" i="11" s="1"/>
  <c r="K237" i="11"/>
  <c r="K238" i="11"/>
  <c r="K239" i="11"/>
  <c r="K240" i="11"/>
  <c r="K241" i="11"/>
  <c r="K242" i="11"/>
  <c r="K243" i="11"/>
  <c r="K244" i="11"/>
  <c r="K245" i="11"/>
  <c r="K246" i="11"/>
  <c r="K247" i="11"/>
  <c r="K248" i="11"/>
  <c r="K249" i="11"/>
  <c r="K250" i="11"/>
  <c r="K251" i="11"/>
  <c r="K252" i="11"/>
  <c r="K253" i="11"/>
  <c r="J254" i="11"/>
  <c r="K254" i="11" s="1"/>
  <c r="J255" i="11"/>
  <c r="K255" i="11" s="1"/>
  <c r="J256" i="11"/>
  <c r="K256" i="11" s="1"/>
  <c r="J257" i="11"/>
  <c r="K257" i="11" s="1"/>
  <c r="J258" i="11"/>
  <c r="K258" i="11" s="1"/>
  <c r="J259" i="11"/>
  <c r="K259" i="11" s="1"/>
  <c r="J260" i="11"/>
  <c r="K260" i="11" s="1"/>
  <c r="J261" i="11"/>
  <c r="K261" i="11" s="1"/>
  <c r="J262" i="11"/>
  <c r="K262" i="11" s="1"/>
  <c r="J617" i="11" l="1"/>
  <c r="I625" i="11" s="1"/>
  <c r="M429" i="11"/>
  <c r="M430" i="11"/>
  <c r="M445" i="11"/>
  <c r="M457" i="11"/>
  <c r="M560" i="11"/>
  <c r="M572" i="11"/>
  <c r="M586" i="11"/>
  <c r="M598" i="11"/>
  <c r="M431" i="11"/>
  <c r="M561" i="11"/>
  <c r="M573" i="11"/>
  <c r="M587" i="11"/>
  <c r="M599" i="11"/>
  <c r="M433" i="11"/>
  <c r="M563" i="11"/>
  <c r="M575" i="11"/>
  <c r="M589" i="11"/>
  <c r="M601" i="11"/>
  <c r="M434" i="11"/>
  <c r="M564" i="11"/>
  <c r="M576" i="11"/>
  <c r="M590" i="11"/>
  <c r="M602" i="11"/>
  <c r="M436" i="11"/>
  <c r="M451" i="11"/>
  <c r="M463" i="11"/>
  <c r="M566" i="11"/>
  <c r="M579" i="11"/>
  <c r="M592" i="11"/>
  <c r="M605" i="11"/>
  <c r="M293" i="11"/>
  <c r="M437" i="11"/>
  <c r="M452" i="11"/>
  <c r="M465" i="11"/>
  <c r="M567" i="11"/>
  <c r="M581" i="11"/>
  <c r="M593" i="11"/>
  <c r="M606" i="11"/>
  <c r="M426" i="11"/>
  <c r="M441" i="11"/>
  <c r="M453" i="11"/>
  <c r="M556" i="11"/>
  <c r="M568" i="11"/>
  <c r="M582" i="11"/>
  <c r="M594" i="11"/>
  <c r="M607" i="11"/>
  <c r="M444" i="11"/>
  <c r="M456" i="11"/>
  <c r="M559" i="11"/>
  <c r="M571" i="11"/>
  <c r="M585" i="11"/>
  <c r="M597" i="11"/>
  <c r="M610" i="11"/>
  <c r="M448" i="11"/>
  <c r="M460" i="11"/>
  <c r="M449" i="11"/>
  <c r="M461" i="11"/>
  <c r="M435" i="11"/>
  <c r="M450" i="11"/>
  <c r="M462" i="11"/>
  <c r="M565" i="11"/>
  <c r="M577" i="11"/>
  <c r="M591" i="11"/>
  <c r="M604" i="11"/>
  <c r="M609" i="11"/>
  <c r="M454" i="11"/>
  <c r="M432" i="11"/>
  <c r="M447" i="11"/>
  <c r="M459" i="11"/>
  <c r="M562" i="11"/>
  <c r="M574" i="11"/>
  <c r="M588" i="11"/>
  <c r="M600" i="11"/>
  <c r="I141" i="11"/>
  <c r="M141" i="11" s="1"/>
  <c r="I138" i="11"/>
  <c r="M464" i="11" l="1"/>
  <c r="H621" i="11" l="1"/>
  <c r="L227" i="11"/>
  <c r="I227" i="11"/>
  <c r="L223" i="11"/>
  <c r="I223" i="11"/>
  <c r="I219" i="11"/>
  <c r="L219" i="11"/>
  <c r="I228" i="11" l="1"/>
  <c r="L228" i="11"/>
  <c r="D188" i="11"/>
  <c r="I111" i="11"/>
  <c r="I79" i="11"/>
  <c r="I102" i="11" s="1"/>
  <c r="K1150" i="11" l="1"/>
  <c r="M48" i="11"/>
  <c r="G215" i="11"/>
  <c r="P213" i="11"/>
  <c r="P212" i="11"/>
  <c r="P211" i="11"/>
  <c r="P210" i="11"/>
  <c r="P208" i="11"/>
  <c r="P209" i="11" s="1"/>
  <c r="P214" i="11" s="1"/>
  <c r="P215" i="11" s="1"/>
  <c r="E207" i="11" s="1"/>
  <c r="P207" i="11"/>
  <c r="P206" i="11"/>
  <c r="P205" i="11"/>
  <c r="J206" i="11" l="1"/>
  <c r="G207" i="11"/>
  <c r="E206" i="11"/>
  <c r="I112" i="11"/>
  <c r="G206" i="11" l="1"/>
  <c r="O202" i="11" s="1"/>
  <c r="E204" i="11" s="1"/>
  <c r="L206" i="11"/>
  <c r="I57" i="11"/>
  <c r="H16" i="16" l="1"/>
  <c r="H15" i="16"/>
  <c r="H14" i="16"/>
  <c r="H13" i="16"/>
  <c r="F6" i="16"/>
  <c r="D18" i="16" l="1"/>
  <c r="D12" i="16"/>
  <c r="H11" i="16"/>
  <c r="H12" i="16" s="1"/>
  <c r="H17" i="16" s="1"/>
  <c r="H18" i="16" s="1"/>
  <c r="E9" i="16"/>
  <c r="G5" i="16" s="1"/>
  <c r="B7" i="16" s="1"/>
  <c r="H8" i="16"/>
  <c r="D13" i="16"/>
  <c r="D17" i="16"/>
  <c r="D11" i="16"/>
  <c r="H10" i="16"/>
  <c r="D16" i="16"/>
  <c r="D10" i="16"/>
  <c r="D15" i="16"/>
  <c r="D9" i="16"/>
  <c r="D14" i="16"/>
  <c r="H9" i="16"/>
  <c r="C605" i="11" l="1"/>
  <c r="C599" i="11"/>
  <c r="C593" i="11"/>
  <c r="C587" i="11"/>
  <c r="C581" i="11"/>
  <c r="C574" i="11"/>
  <c r="C568" i="11"/>
  <c r="C562" i="11"/>
  <c r="C556" i="11"/>
  <c r="C460" i="11"/>
  <c r="C454" i="11"/>
  <c r="C448" i="11"/>
  <c r="C442" i="11"/>
  <c r="C432" i="11"/>
  <c r="C426" i="11"/>
  <c r="C557" i="11" l="1"/>
  <c r="C558" i="11" s="1"/>
  <c r="C559" i="11" s="1"/>
  <c r="C560" i="11" s="1"/>
  <c r="C561" i="11" s="1"/>
  <c r="C606" i="11"/>
  <c r="C607" i="11" s="1"/>
  <c r="C608" i="11" s="1"/>
  <c r="C609" i="11" s="1"/>
  <c r="C610" i="11" s="1"/>
  <c r="A605" i="11"/>
  <c r="A606" i="11" s="1"/>
  <c r="A607" i="11" s="1"/>
  <c r="A608" i="11" s="1"/>
  <c r="A609" i="11" s="1"/>
  <c r="A610" i="11" s="1"/>
  <c r="C600" i="11"/>
  <c r="C601" i="11" s="1"/>
  <c r="C602" i="11" s="1"/>
  <c r="C594" i="11"/>
  <c r="C595" i="11" s="1"/>
  <c r="C596" i="11" s="1"/>
  <c r="C597" i="11" s="1"/>
  <c r="C598" i="11" s="1"/>
  <c r="C588" i="11"/>
  <c r="C589" i="11" s="1"/>
  <c r="C590" i="11" s="1"/>
  <c r="C591" i="11" s="1"/>
  <c r="C592" i="11" s="1"/>
  <c r="C582" i="11"/>
  <c r="C583" i="11" s="1"/>
  <c r="C584" i="11" s="1"/>
  <c r="C585" i="11" s="1"/>
  <c r="C586" i="11" s="1"/>
  <c r="A582" i="11"/>
  <c r="A583" i="11" s="1"/>
  <c r="A584" i="11" s="1"/>
  <c r="A585" i="11" s="1"/>
  <c r="A586" i="11" s="1"/>
  <c r="A587" i="11" s="1"/>
  <c r="A588" i="11" s="1"/>
  <c r="A589" i="11" s="1"/>
  <c r="A590" i="11" s="1"/>
  <c r="A591" i="11" s="1"/>
  <c r="A592" i="11" s="1"/>
  <c r="A593" i="11" s="1"/>
  <c r="A594" i="11" s="1"/>
  <c r="A595" i="11" s="1"/>
  <c r="A596" i="11" s="1"/>
  <c r="A597" i="11" s="1"/>
  <c r="A598" i="11" s="1"/>
  <c r="A599" i="11" s="1"/>
  <c r="A600" i="11" s="1"/>
  <c r="A601" i="11" s="1"/>
  <c r="A602" i="11" s="1"/>
  <c r="C575" i="11"/>
  <c r="C576" i="11" s="1"/>
  <c r="C577" i="11" s="1"/>
  <c r="C569" i="11"/>
  <c r="C570" i="11" s="1"/>
  <c r="C571" i="11" s="1"/>
  <c r="C572" i="11" s="1"/>
  <c r="C573" i="11" s="1"/>
  <c r="C563" i="11"/>
  <c r="C564" i="11" s="1"/>
  <c r="C565" i="11" s="1"/>
  <c r="C566" i="11" s="1"/>
  <c r="C567" i="11" s="1"/>
  <c r="A557" i="11"/>
  <c r="A558" i="11" s="1"/>
  <c r="A559" i="11" s="1"/>
  <c r="A560" i="11" s="1"/>
  <c r="A561" i="11" s="1"/>
  <c r="A562" i="11" s="1"/>
  <c r="A563" i="11" s="1"/>
  <c r="A564" i="11" s="1"/>
  <c r="A565" i="11" s="1"/>
  <c r="A566" i="11" s="1"/>
  <c r="A567" i="11" s="1"/>
  <c r="A568" i="11" s="1"/>
  <c r="A569" i="11" s="1"/>
  <c r="A570" i="11" s="1"/>
  <c r="A571" i="11" s="1"/>
  <c r="A572" i="11" s="1"/>
  <c r="A573" i="11" s="1"/>
  <c r="A574" i="11" s="1"/>
  <c r="A575" i="11" s="1"/>
  <c r="A576" i="11" s="1"/>
  <c r="A577" i="11" s="1"/>
  <c r="C461" i="11" l="1"/>
  <c r="C462" i="11" s="1"/>
  <c r="C463" i="11" s="1"/>
  <c r="C455" i="11"/>
  <c r="C456" i="11" s="1"/>
  <c r="C457" i="11" s="1"/>
  <c r="C458" i="11" s="1"/>
  <c r="C459" i="11" s="1"/>
  <c r="C449" i="11"/>
  <c r="C450" i="11" s="1"/>
  <c r="C451" i="11" s="1"/>
  <c r="C452" i="11" s="1"/>
  <c r="C453" i="11" s="1"/>
  <c r="C443" i="11"/>
  <c r="C444" i="11" s="1"/>
  <c r="C445" i="11" s="1"/>
  <c r="C446" i="11" s="1"/>
  <c r="C447" i="11" s="1"/>
  <c r="C433" i="11"/>
  <c r="C434" i="11" s="1"/>
  <c r="C435" i="11" s="1"/>
  <c r="C436" i="11" s="1"/>
  <c r="C437" i="11" s="1"/>
  <c r="C427" i="11"/>
  <c r="C428" i="11" s="1"/>
  <c r="C429" i="11" s="1"/>
  <c r="C430" i="11" s="1"/>
  <c r="C431" i="11" s="1"/>
  <c r="C293" i="11"/>
  <c r="C294" i="11" s="1"/>
  <c r="C295" i="11" s="1"/>
  <c r="C296" i="11" s="1"/>
  <c r="C297" i="11" s="1"/>
  <c r="C298" i="11" s="1"/>
  <c r="C299" i="11" s="1"/>
  <c r="C300" i="11" s="1"/>
  <c r="C301" i="11" s="1"/>
  <c r="C302" i="11" s="1"/>
  <c r="C303" i="11" s="1"/>
  <c r="M138" i="11" l="1"/>
  <c r="A676" i="11"/>
  <c r="A677" i="11" s="1"/>
  <c r="A678" i="11" s="1"/>
  <c r="A679" i="11" s="1"/>
  <c r="A680" i="11" s="1"/>
  <c r="A681" i="11" l="1"/>
  <c r="P236" i="11"/>
  <c r="A442" i="11"/>
  <c r="A443" i="11" s="1"/>
  <c r="A444" i="11" s="1"/>
  <c r="A445" i="11" s="1"/>
  <c r="A446" i="11" s="1"/>
  <c r="A447" i="11" s="1"/>
  <c r="A448" i="11" s="1"/>
  <c r="A449" i="11" s="1"/>
  <c r="A450" i="11" s="1"/>
  <c r="A451" i="11" s="1"/>
  <c r="A452" i="11" s="1"/>
  <c r="A453" i="11" s="1"/>
  <c r="A454" i="11" s="1"/>
  <c r="A455" i="11" s="1"/>
  <c r="A456" i="11" s="1"/>
  <c r="A457" i="11" s="1"/>
  <c r="A458" i="11" s="1"/>
  <c r="A459" i="11" s="1"/>
  <c r="A460" i="11" s="1"/>
  <c r="A461" i="11" s="1"/>
  <c r="A462" i="11" s="1"/>
  <c r="A463" i="11" s="1"/>
  <c r="A682" i="11" l="1"/>
  <c r="A683" i="11" s="1"/>
  <c r="A684" i="11" s="1"/>
  <c r="I628" i="11" l="1"/>
  <c r="I669" i="11" s="1"/>
  <c r="A293" i="11" l="1"/>
  <c r="A426" i="11" l="1"/>
  <c r="A427" i="11" s="1"/>
  <c r="A428" i="11" s="1"/>
  <c r="A429" i="11" s="1"/>
  <c r="A430" i="11" s="1"/>
  <c r="A431" i="11" s="1"/>
  <c r="A432" i="11" s="1"/>
  <c r="A433" i="11" s="1"/>
  <c r="A434" i="11" s="1"/>
  <c r="A435" i="11" s="1"/>
  <c r="A436" i="11" s="1"/>
  <c r="A437" i="11" s="1"/>
  <c r="A294" i="11"/>
  <c r="A295" i="11" s="1"/>
  <c r="A296" i="11" s="1"/>
  <c r="A297" i="11" s="1"/>
  <c r="A298" i="11" s="1"/>
  <c r="A299" i="11" s="1"/>
  <c r="A300" i="11" s="1"/>
  <c r="A301" i="11" s="1"/>
  <c r="A302" i="11" s="1"/>
  <c r="A303"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6" i="11" s="1"/>
  <c r="A367" i="11" s="1"/>
  <c r="A368" i="11" s="1"/>
  <c r="A369" i="11" s="1"/>
  <c r="A370" i="11" s="1"/>
  <c r="A371" i="11" s="1"/>
  <c r="A372" i="11" s="1"/>
  <c r="A373" i="11" s="1"/>
  <c r="A374" i="11" s="1"/>
  <c r="A375" i="11" s="1"/>
  <c r="A376" i="11" s="1"/>
  <c r="A377" i="11" s="1"/>
  <c r="A378" i="11" s="1"/>
  <c r="A379" i="11" s="1"/>
  <c r="A380" i="11" s="1"/>
  <c r="A381" i="11" s="1"/>
  <c r="A382" i="11" s="1"/>
  <c r="A383" i="11" s="1"/>
  <c r="A384" i="11" s="1"/>
  <c r="A385" i="11" s="1"/>
  <c r="A386" i="11" s="1"/>
  <c r="A387" i="11" s="1"/>
  <c r="A388" i="11" s="1"/>
  <c r="A389" i="11" s="1"/>
  <c r="A390" i="11" s="1"/>
  <c r="A391" i="11" s="1"/>
  <c r="A392" i="11" s="1"/>
  <c r="A393" i="11" s="1"/>
  <c r="A394" i="11" s="1"/>
  <c r="A395" i="11" s="1"/>
  <c r="A396" i="11" s="1"/>
  <c r="A397" i="11" s="1"/>
  <c r="A398" i="11" s="1"/>
  <c r="A399" i="11" s="1"/>
  <c r="A400" i="11" s="1"/>
  <c r="A401" i="11" s="1"/>
  <c r="A402" i="11" s="1"/>
  <c r="A403" i="11" s="1"/>
  <c r="A404" i="11" s="1"/>
  <c r="A405" i="11" s="1"/>
  <c r="A406" i="11" s="1"/>
  <c r="A407" i="11" s="1"/>
  <c r="A408" i="11" s="1"/>
  <c r="A409" i="11" s="1"/>
  <c r="A410" i="11" s="1"/>
  <c r="A411" i="11" s="1"/>
  <c r="A412" i="11" s="1"/>
  <c r="A413" i="11" s="1"/>
  <c r="A414" i="11" s="1"/>
  <c r="A415" i="11" s="1"/>
  <c r="A416" i="11" s="1"/>
  <c r="A417" i="11" s="1"/>
  <c r="A418" i="11" s="1"/>
  <c r="A419" i="11" s="1"/>
  <c r="A420" i="11" s="1"/>
  <c r="A421" i="11" s="1"/>
  <c r="A422" i="11" s="1"/>
  <c r="A423" i="11" s="1"/>
  <c r="A424" i="11" s="1"/>
  <c r="A425" i="11" s="1"/>
  <c r="A237" i="11" l="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I73" i="11" l="1"/>
  <c r="A1100" i="11" l="1"/>
  <c r="A1101" i="11" s="1"/>
  <c r="A1102" i="11" s="1"/>
  <c r="A1103" i="11" s="1"/>
  <c r="A1104" i="11" s="1"/>
  <c r="H685" i="11" l="1"/>
  <c r="I152" i="11" l="1"/>
  <c r="I144" i="11"/>
  <c r="J161" i="14" l="1"/>
  <c r="J160" i="14"/>
  <c r="J159" i="14"/>
  <c r="J158" i="14"/>
  <c r="J157" i="14"/>
  <c r="J156" i="14"/>
  <c r="J155" i="14"/>
  <c r="J154" i="14"/>
  <c r="J153" i="14"/>
  <c r="J152" i="14"/>
  <c r="J151" i="14"/>
  <c r="J150" i="14"/>
  <c r="J149" i="14"/>
  <c r="J148" i="14"/>
  <c r="J147" i="14"/>
  <c r="J146" i="14"/>
  <c r="J145" i="14"/>
  <c r="J144" i="14"/>
  <c r="J143" i="14"/>
  <c r="J142" i="14"/>
  <c r="J141" i="14"/>
  <c r="J140" i="14"/>
  <c r="J139" i="14"/>
  <c r="J138" i="14"/>
  <c r="J137" i="14"/>
  <c r="J136" i="14"/>
  <c r="J135" i="14"/>
  <c r="J134" i="14"/>
  <c r="J133" i="14"/>
  <c r="J132" i="14"/>
  <c r="J131" i="14"/>
  <c r="J130" i="14"/>
  <c r="J129" i="14"/>
  <c r="J128" i="14"/>
  <c r="J127" i="14"/>
  <c r="J126" i="14"/>
  <c r="J125" i="14"/>
  <c r="J124" i="14"/>
  <c r="J123" i="14"/>
  <c r="J122" i="14"/>
  <c r="J121" i="14"/>
  <c r="J120" i="14"/>
  <c r="J119" i="14"/>
  <c r="J118" i="14"/>
  <c r="J117" i="14"/>
  <c r="J116" i="14"/>
  <c r="J115" i="14"/>
  <c r="J114" i="14"/>
  <c r="J113" i="14"/>
  <c r="J112" i="14"/>
  <c r="J111" i="14"/>
  <c r="J110" i="14"/>
  <c r="J109" i="14"/>
  <c r="J108" i="14"/>
  <c r="J107" i="14"/>
  <c r="J106" i="14"/>
  <c r="J105" i="14"/>
  <c r="J104" i="14"/>
  <c r="J103" i="14"/>
  <c r="J102" i="14"/>
  <c r="J101" i="14"/>
  <c r="J100" i="14"/>
  <c r="J99" i="14"/>
  <c r="J98" i="14"/>
  <c r="J97" i="14"/>
  <c r="J96" i="14"/>
  <c r="J95" i="14"/>
  <c r="J94" i="14"/>
  <c r="J93" i="14"/>
  <c r="J92" i="14"/>
  <c r="J89" i="14"/>
  <c r="J88" i="14"/>
  <c r="J87" i="14"/>
  <c r="J86" i="14"/>
  <c r="J85" i="14"/>
  <c r="J84" i="14"/>
  <c r="J83" i="14"/>
  <c r="J82" i="14"/>
  <c r="J81" i="14"/>
  <c r="J80" i="14"/>
  <c r="J79" i="14"/>
  <c r="J78" i="14"/>
  <c r="J77" i="14"/>
  <c r="J76" i="14"/>
  <c r="J75" i="14"/>
  <c r="J74" i="14"/>
  <c r="J73" i="14"/>
  <c r="J72" i="14"/>
  <c r="J71" i="14"/>
  <c r="J70" i="14"/>
  <c r="J69" i="14"/>
  <c r="J68" i="14"/>
  <c r="J67" i="14"/>
  <c r="J66" i="14"/>
  <c r="J65" i="14"/>
  <c r="J64" i="14"/>
  <c r="J63" i="14"/>
  <c r="J62" i="14"/>
  <c r="J61" i="14"/>
  <c r="J60" i="14"/>
  <c r="J59" i="14"/>
  <c r="J58" i="14"/>
  <c r="J57" i="14"/>
  <c r="J56" i="14"/>
  <c r="J55" i="14"/>
  <c r="J54" i="14"/>
  <c r="J53" i="14"/>
  <c r="J52" i="14"/>
  <c r="J51" i="14"/>
  <c r="J50" i="14"/>
  <c r="J49" i="14"/>
  <c r="J48" i="14"/>
  <c r="J47" i="14"/>
  <c r="J46" i="14"/>
  <c r="J45" i="14"/>
  <c r="J44" i="14"/>
  <c r="J43" i="14"/>
  <c r="J42" i="14"/>
  <c r="J41" i="14"/>
  <c r="J40" i="14"/>
  <c r="J39" i="14"/>
  <c r="J38" i="14"/>
  <c r="J37" i="14"/>
  <c r="J36" i="14"/>
  <c r="J35" i="14"/>
  <c r="J34" i="14"/>
  <c r="J33" i="14"/>
  <c r="J32" i="14"/>
  <c r="J31" i="14"/>
  <c r="J30" i="14"/>
  <c r="J29" i="14"/>
  <c r="J28" i="14"/>
  <c r="J27" i="14"/>
  <c r="J24" i="14"/>
  <c r="J23" i="14"/>
  <c r="J22" i="14"/>
  <c r="J21" i="14"/>
  <c r="J20" i="14"/>
  <c r="J19" i="14"/>
  <c r="J18" i="14"/>
  <c r="J17" i="14"/>
  <c r="J16" i="14"/>
  <c r="J15" i="14"/>
  <c r="J14" i="14"/>
  <c r="J13" i="14"/>
  <c r="J12" i="14"/>
  <c r="J11" i="14"/>
  <c r="J10" i="14"/>
  <c r="J9" i="14"/>
  <c r="J8" i="14"/>
  <c r="J7" i="14"/>
  <c r="J6" i="14"/>
  <c r="J5" i="14"/>
  <c r="J4" i="14"/>
  <c r="H5" i="2" l="1"/>
  <c r="I5" i="2" s="1"/>
  <c r="G8" i="2"/>
  <c r="G11" i="2"/>
  <c r="I7" i="2"/>
  <c r="I8" i="2"/>
  <c r="I9" i="2"/>
  <c r="I10" i="2"/>
  <c r="I11" i="2"/>
  <c r="I6" i="2"/>
  <c r="G161" i="14" l="1"/>
  <c r="G160" i="14"/>
  <c r="G159" i="14"/>
  <c r="G158" i="14"/>
  <c r="G157" i="14"/>
  <c r="G156" i="14"/>
  <c r="G155" i="14"/>
  <c r="G154" i="14"/>
  <c r="G152" i="14"/>
  <c r="G151" i="14"/>
  <c r="G150" i="14"/>
  <c r="G149" i="14"/>
  <c r="G141" i="14"/>
  <c r="G140" i="14"/>
  <c r="G139" i="14"/>
  <c r="G138" i="14"/>
  <c r="G137" i="14"/>
  <c r="G136" i="14"/>
  <c r="G135" i="14"/>
  <c r="G134" i="14"/>
  <c r="G132" i="14"/>
  <c r="G131" i="14"/>
  <c r="G130" i="14"/>
  <c r="G129" i="14"/>
  <c r="G121" i="14"/>
  <c r="G120" i="14"/>
  <c r="G119" i="14"/>
  <c r="G118" i="14"/>
  <c r="G117" i="14"/>
  <c r="G116" i="14"/>
  <c r="G115" i="14"/>
  <c r="G114" i="14"/>
  <c r="G112" i="14"/>
  <c r="G111" i="14"/>
  <c r="G110" i="14"/>
  <c r="G109" i="14"/>
  <c r="F161" i="14"/>
  <c r="F160" i="14"/>
  <c r="F159" i="14"/>
  <c r="F158" i="14"/>
  <c r="F157" i="14"/>
  <c r="F156" i="14"/>
  <c r="F155" i="14"/>
  <c r="F154" i="14"/>
  <c r="F153" i="14"/>
  <c r="F152" i="14"/>
  <c r="F151" i="14"/>
  <c r="F150" i="14"/>
  <c r="F149" i="14"/>
  <c r="F148" i="14"/>
  <c r="F147" i="14"/>
  <c r="F146" i="14"/>
  <c r="F145" i="14"/>
  <c r="F144" i="14"/>
  <c r="F143" i="14"/>
  <c r="F142" i="14"/>
  <c r="F141" i="14"/>
  <c r="F140" i="14"/>
  <c r="F139" i="14"/>
  <c r="F138" i="14"/>
  <c r="F137" i="14"/>
  <c r="F136" i="14"/>
  <c r="F135" i="14"/>
  <c r="F134" i="14"/>
  <c r="F133" i="14"/>
  <c r="F132" i="14"/>
  <c r="F131" i="14"/>
  <c r="F130" i="14"/>
  <c r="F129" i="14"/>
  <c r="F128" i="14"/>
  <c r="F127" i="14"/>
  <c r="F126" i="14"/>
  <c r="F125" i="14"/>
  <c r="F124" i="14"/>
  <c r="F123" i="14"/>
  <c r="F122" i="14"/>
  <c r="F121" i="14"/>
  <c r="F120" i="14"/>
  <c r="F119" i="14"/>
  <c r="F118" i="14"/>
  <c r="F117" i="14"/>
  <c r="F116" i="14"/>
  <c r="F115" i="14"/>
  <c r="F114" i="14"/>
  <c r="F113" i="14"/>
  <c r="F112" i="14"/>
  <c r="F111" i="14"/>
  <c r="F110" i="14"/>
  <c r="F109" i="14"/>
  <c r="F108" i="14"/>
  <c r="F107" i="14"/>
  <c r="F106" i="14"/>
  <c r="F105" i="14"/>
  <c r="F104" i="14"/>
  <c r="F103" i="14"/>
  <c r="F102" i="14"/>
  <c r="D111" i="14"/>
  <c r="D121" i="14" s="1"/>
  <c r="D131" i="14" s="1"/>
  <c r="D141" i="14" s="1"/>
  <c r="D151" i="14" s="1"/>
  <c r="D161" i="14" s="1"/>
  <c r="G101" i="14"/>
  <c r="G100" i="14"/>
  <c r="G99" i="14"/>
  <c r="G98" i="14"/>
  <c r="G97" i="14"/>
  <c r="G96" i="14"/>
  <c r="G95" i="14"/>
  <c r="G94" i="14"/>
  <c r="G92" i="14"/>
  <c r="F101" i="14"/>
  <c r="F100" i="14"/>
  <c r="F99" i="14"/>
  <c r="F98" i="14"/>
  <c r="F97" i="14"/>
  <c r="F96" i="14"/>
  <c r="F95" i="14"/>
  <c r="F94" i="14"/>
  <c r="F93" i="14"/>
  <c r="F92" i="14"/>
  <c r="D110" i="14"/>
  <c r="D120" i="14" s="1"/>
  <c r="D130" i="14" s="1"/>
  <c r="D140" i="14" s="1"/>
  <c r="D150" i="14" s="1"/>
  <c r="D160" i="14" s="1"/>
  <c r="D109" i="14"/>
  <c r="D119" i="14" s="1"/>
  <c r="D129" i="14" s="1"/>
  <c r="D139" i="14" s="1"/>
  <c r="D149" i="14" s="1"/>
  <c r="D159" i="14" s="1"/>
  <c r="D108" i="14"/>
  <c r="D118" i="14" s="1"/>
  <c r="D128" i="14" s="1"/>
  <c r="D138" i="14" s="1"/>
  <c r="D148" i="14" s="1"/>
  <c r="D158" i="14" s="1"/>
  <c r="D107" i="14"/>
  <c r="D117" i="14" s="1"/>
  <c r="D127" i="14" s="1"/>
  <c r="D137" i="14" s="1"/>
  <c r="D147" i="14" s="1"/>
  <c r="D157" i="14" s="1"/>
  <c r="D106" i="14"/>
  <c r="D116" i="14" s="1"/>
  <c r="D126" i="14" s="1"/>
  <c r="D136" i="14" s="1"/>
  <c r="D146" i="14" s="1"/>
  <c r="D156" i="14" s="1"/>
  <c r="D105" i="14"/>
  <c r="D115" i="14" s="1"/>
  <c r="D125" i="14" s="1"/>
  <c r="D135" i="14" s="1"/>
  <c r="D145" i="14" s="1"/>
  <c r="D155" i="14" s="1"/>
  <c r="D104" i="14"/>
  <c r="D114" i="14" s="1"/>
  <c r="D124" i="14" s="1"/>
  <c r="D134" i="14" s="1"/>
  <c r="D144" i="14" s="1"/>
  <c r="D154" i="14" s="1"/>
  <c r="D103" i="14"/>
  <c r="D113" i="14" s="1"/>
  <c r="D123" i="14" s="1"/>
  <c r="D133" i="14" s="1"/>
  <c r="D143" i="14" s="1"/>
  <c r="D153" i="14" s="1"/>
  <c r="D102" i="14"/>
  <c r="D112" i="14" s="1"/>
  <c r="D122" i="14" s="1"/>
  <c r="D132" i="14" s="1"/>
  <c r="D142" i="14" s="1"/>
  <c r="D152" i="14" s="1"/>
  <c r="G89" i="14"/>
  <c r="F89" i="14"/>
  <c r="G88" i="14"/>
  <c r="F88" i="14"/>
  <c r="G87" i="14"/>
  <c r="F87" i="14"/>
  <c r="G86" i="14"/>
  <c r="F86" i="14"/>
  <c r="G85" i="14"/>
  <c r="F85" i="14"/>
  <c r="G84" i="14"/>
  <c r="F84" i="14"/>
  <c r="F83" i="14"/>
  <c r="G82" i="14"/>
  <c r="F82" i="14"/>
  <c r="G81" i="14"/>
  <c r="F81" i="14"/>
  <c r="G80" i="14"/>
  <c r="F80" i="14"/>
  <c r="F79" i="14"/>
  <c r="F78" i="14"/>
  <c r="F77" i="14"/>
  <c r="F76" i="14"/>
  <c r="F75" i="14"/>
  <c r="F74" i="14"/>
  <c r="F73" i="14"/>
  <c r="F72" i="14"/>
  <c r="G71" i="14"/>
  <c r="F71" i="14"/>
  <c r="G70" i="14"/>
  <c r="F70" i="14"/>
  <c r="G69" i="14"/>
  <c r="F69" i="14"/>
  <c r="G68" i="14"/>
  <c r="F68" i="14"/>
  <c r="G67" i="14"/>
  <c r="F67" i="14"/>
  <c r="G66" i="14"/>
  <c r="F66" i="14"/>
  <c r="F65" i="14"/>
  <c r="G64" i="14"/>
  <c r="F64" i="14"/>
  <c r="G63" i="14"/>
  <c r="F63" i="14"/>
  <c r="G62" i="14"/>
  <c r="F62" i="14"/>
  <c r="F61" i="14"/>
  <c r="F60" i="14"/>
  <c r="F59" i="14"/>
  <c r="F58" i="14"/>
  <c r="F57" i="14"/>
  <c r="F56" i="14"/>
  <c r="F55" i="14"/>
  <c r="F54" i="14"/>
  <c r="G53" i="14"/>
  <c r="F53" i="14"/>
  <c r="G52" i="14"/>
  <c r="F52" i="14"/>
  <c r="G51" i="14"/>
  <c r="F51" i="14"/>
  <c r="G50" i="14"/>
  <c r="F50" i="14"/>
  <c r="G49" i="14"/>
  <c r="F49" i="14"/>
  <c r="G48" i="14"/>
  <c r="F48" i="14"/>
  <c r="F47" i="14"/>
  <c r="G46" i="14"/>
  <c r="F46" i="14"/>
  <c r="G45" i="14"/>
  <c r="F45" i="14"/>
  <c r="G44" i="14"/>
  <c r="D38" i="14"/>
  <c r="D47" i="14" s="1"/>
  <c r="D56" i="14" s="1"/>
  <c r="D65" i="14" s="1"/>
  <c r="D74" i="14" s="1"/>
  <c r="D83" i="14" s="1"/>
  <c r="D39" i="14"/>
  <c r="D48" i="14" s="1"/>
  <c r="D57" i="14" s="1"/>
  <c r="D66" i="14" s="1"/>
  <c r="D75" i="14" s="1"/>
  <c r="D84" i="14" s="1"/>
  <c r="D40" i="14"/>
  <c r="D49" i="14" s="1"/>
  <c r="D58" i="14" s="1"/>
  <c r="D67" i="14" s="1"/>
  <c r="D76" i="14" s="1"/>
  <c r="D85" i="14" s="1"/>
  <c r="D41" i="14"/>
  <c r="D50" i="14" s="1"/>
  <c r="D59" i="14" s="1"/>
  <c r="D68" i="14" s="1"/>
  <c r="D77" i="14" s="1"/>
  <c r="D86" i="14" s="1"/>
  <c r="D42" i="14"/>
  <c r="D51" i="14" s="1"/>
  <c r="D60" i="14" s="1"/>
  <c r="D69" i="14" s="1"/>
  <c r="D78" i="14" s="1"/>
  <c r="D87" i="14" s="1"/>
  <c r="D43" i="14"/>
  <c r="D52" i="14" s="1"/>
  <c r="D61" i="14" s="1"/>
  <c r="D70" i="14" s="1"/>
  <c r="D79" i="14" s="1"/>
  <c r="D88" i="14" s="1"/>
  <c r="D44" i="14"/>
  <c r="D53" i="14" s="1"/>
  <c r="D62" i="14" s="1"/>
  <c r="D71" i="14" s="1"/>
  <c r="D80" i="14" s="1"/>
  <c r="D89" i="14" s="1"/>
  <c r="D37" i="14"/>
  <c r="D46" i="14" s="1"/>
  <c r="D55" i="14" s="1"/>
  <c r="D64" i="14" s="1"/>
  <c r="D73" i="14" s="1"/>
  <c r="D82" i="14" s="1"/>
  <c r="D36" i="14"/>
  <c r="D45" i="14" s="1"/>
  <c r="D54" i="14" s="1"/>
  <c r="D63" i="14" s="1"/>
  <c r="D72" i="14" s="1"/>
  <c r="D81" i="14" s="1"/>
  <c r="F44" i="14"/>
  <c r="F43" i="14"/>
  <c r="F42" i="14"/>
  <c r="F41" i="14"/>
  <c r="F40" i="14"/>
  <c r="F39" i="14"/>
  <c r="F38" i="14"/>
  <c r="F37" i="14"/>
  <c r="F36" i="14"/>
  <c r="G35" i="14"/>
  <c r="G34" i="14"/>
  <c r="G33" i="14"/>
  <c r="G32" i="14"/>
  <c r="G31" i="14"/>
  <c r="G30" i="14"/>
  <c r="G28" i="14"/>
  <c r="G27" i="14"/>
  <c r="F35" i="14"/>
  <c r="F34" i="14"/>
  <c r="F33" i="14"/>
  <c r="F32" i="14"/>
  <c r="F31" i="14"/>
  <c r="F30" i="14"/>
  <c r="F29" i="14"/>
  <c r="F28" i="14"/>
  <c r="F27" i="14"/>
  <c r="G24" i="14"/>
  <c r="F24" i="14"/>
  <c r="G23" i="14"/>
  <c r="F23" i="14"/>
  <c r="F22" i="14"/>
  <c r="F21" i="14"/>
  <c r="F20" i="14"/>
  <c r="F19" i="14"/>
  <c r="G18" i="14"/>
  <c r="F18" i="14"/>
  <c r="G17" i="14"/>
  <c r="F17" i="14"/>
  <c r="F16" i="14"/>
  <c r="F15" i="14"/>
  <c r="F14" i="14"/>
  <c r="F13" i="14"/>
  <c r="G12" i="14"/>
  <c r="F12" i="14"/>
  <c r="G11" i="14"/>
  <c r="F11" i="14"/>
  <c r="F10" i="14"/>
  <c r="D9" i="14"/>
  <c r="D12" i="14" s="1"/>
  <c r="D15" i="14" s="1"/>
  <c r="D18" i="14" s="1"/>
  <c r="D21" i="14" s="1"/>
  <c r="D24" i="14" s="1"/>
  <c r="D8" i="14"/>
  <c r="D11" i="14" s="1"/>
  <c r="D14" i="14" s="1"/>
  <c r="D17" i="14" s="1"/>
  <c r="D20" i="14" s="1"/>
  <c r="D23" i="14" s="1"/>
  <c r="D7" i="14"/>
  <c r="D10" i="14" s="1"/>
  <c r="D13" i="14" s="1"/>
  <c r="D16" i="14" s="1"/>
  <c r="D19" i="14" s="1"/>
  <c r="D22" i="14" s="1"/>
  <c r="G6" i="14"/>
  <c r="F6" i="14"/>
  <c r="F5" i="14"/>
  <c r="G5" i="14"/>
  <c r="F7" i="14"/>
  <c r="F8" i="14"/>
  <c r="F9" i="14"/>
  <c r="F4" i="14"/>
  <c r="H6" i="12" l="1"/>
  <c r="H7" i="12" s="1"/>
  <c r="J13" i="12" s="1"/>
  <c r="I6" i="12"/>
  <c r="I7" i="12"/>
  <c r="J14" i="12" s="1"/>
  <c r="B8" i="12"/>
  <c r="J6" i="12" s="1"/>
  <c r="I15" i="12" s="1"/>
  <c r="B10" i="12"/>
  <c r="K7" i="12" s="1"/>
  <c r="J16" i="12" s="1"/>
  <c r="B12" i="12"/>
  <c r="L7" i="12" s="1"/>
  <c r="J17" i="12" s="1"/>
  <c r="B14" i="12"/>
  <c r="M6" i="12" s="1"/>
  <c r="I18" i="12" s="1"/>
  <c r="I14" i="12"/>
  <c r="B16" i="12"/>
  <c r="N6" i="12" s="1"/>
  <c r="I19" i="12" s="1"/>
  <c r="N7" i="12" l="1"/>
  <c r="J19" i="12" s="1"/>
  <c r="M7" i="12"/>
  <c r="J18" i="12" s="1"/>
  <c r="J7" i="12"/>
  <c r="J15" i="12" s="1"/>
  <c r="I13" i="12"/>
  <c r="L6" i="12"/>
  <c r="I17" i="12" s="1"/>
  <c r="I12" i="2"/>
  <c r="K6" i="12"/>
  <c r="I16" i="12" s="1"/>
  <c r="I20" i="12" s="1"/>
  <c r="J20" i="12" l="1"/>
</calcChain>
</file>

<file path=xl/comments1.xml><?xml version="1.0" encoding="utf-8"?>
<comments xmlns="http://schemas.openxmlformats.org/spreadsheetml/2006/main">
  <authors>
    <author>SACHIN</author>
  </authors>
  <commentList>
    <comment ref="A8" authorId="0" shapeId="0">
      <text>
        <r>
          <rPr>
            <b/>
            <sz val="9"/>
            <color indexed="81"/>
            <rFont val="Tahoma"/>
            <family val="2"/>
          </rPr>
          <t>SACHIN:</t>
        </r>
        <r>
          <rPr>
            <sz val="9"/>
            <color indexed="81"/>
            <rFont val="Tahoma"/>
            <family val="2"/>
          </rPr>
          <t xml:space="preserve">
</t>
        </r>
        <r>
          <rPr>
            <sz val="16"/>
            <color indexed="81"/>
            <rFont val="Tahoma"/>
            <family val="2"/>
          </rPr>
          <t>Project Name</t>
        </r>
      </text>
    </comment>
    <comment ref="A9" authorId="0" shapeId="0">
      <text>
        <r>
          <rPr>
            <b/>
            <sz val="9"/>
            <color indexed="81"/>
            <rFont val="Tahoma"/>
            <family val="2"/>
          </rPr>
          <t>SACHIN:</t>
        </r>
        <r>
          <rPr>
            <sz val="9"/>
            <color indexed="81"/>
            <rFont val="Tahoma"/>
            <family val="2"/>
          </rPr>
          <t xml:space="preserve">
</t>
        </r>
        <r>
          <rPr>
            <sz val="16"/>
            <color indexed="81"/>
            <rFont val="Tahoma"/>
            <family val="2"/>
          </rPr>
          <t>Project Legal Address</t>
        </r>
      </text>
    </comment>
    <comment ref="A10" authorId="0" shapeId="0">
      <text>
        <r>
          <rPr>
            <b/>
            <sz val="9"/>
            <color indexed="81"/>
            <rFont val="Tahoma"/>
            <family val="2"/>
          </rPr>
          <t>SACHIN:</t>
        </r>
        <r>
          <rPr>
            <sz val="9"/>
            <color indexed="81"/>
            <rFont val="Tahoma"/>
            <family val="2"/>
          </rPr>
          <t xml:space="preserve">
</t>
        </r>
        <r>
          <rPr>
            <sz val="16"/>
            <color indexed="81"/>
            <rFont val="Tahoma"/>
            <family val="2"/>
          </rPr>
          <t>Project Picture</t>
        </r>
      </text>
    </comment>
    <comment ref="I56" authorId="0" shapeId="0">
      <text>
        <r>
          <rPr>
            <b/>
            <sz val="9"/>
            <color indexed="81"/>
            <rFont val="Tahoma"/>
            <family val="2"/>
          </rPr>
          <t>SACHIN:</t>
        </r>
        <r>
          <rPr>
            <sz val="9"/>
            <color indexed="81"/>
            <rFont val="Tahoma"/>
            <family val="2"/>
          </rPr>
          <t xml:space="preserve">
Visit Date</t>
        </r>
      </text>
    </comment>
    <comment ref="I58" authorId="0" shapeId="0">
      <text>
        <r>
          <rPr>
            <b/>
            <sz val="9"/>
            <color indexed="81"/>
            <rFont val="Tahoma"/>
            <family val="2"/>
          </rPr>
          <t>SACHIN:</t>
        </r>
        <r>
          <rPr>
            <sz val="9"/>
            <color indexed="81"/>
            <rFont val="Tahoma"/>
            <family val="2"/>
          </rPr>
          <t xml:space="preserve">
All documents name
Layout plan, floor plan CC and other NOC with Name n no</t>
        </r>
      </text>
    </comment>
    <comment ref="I60" authorId="0" shapeId="0">
      <text>
        <r>
          <rPr>
            <b/>
            <sz val="9"/>
            <color indexed="81"/>
            <rFont val="Tahoma"/>
            <family val="2"/>
          </rPr>
          <t>SACHIN:</t>
        </r>
        <r>
          <rPr>
            <sz val="9"/>
            <color indexed="81"/>
            <rFont val="Tahoma"/>
            <family val="2"/>
          </rPr>
          <t xml:space="preserve">
Project Name, Location, Marketbility, Total Flats, range of carpet etc</t>
        </r>
      </text>
    </comment>
    <comment ref="I105" authorId="0" shapeId="0">
      <text>
        <r>
          <rPr>
            <b/>
            <sz val="9"/>
            <color indexed="81"/>
            <rFont val="Tahoma"/>
            <family val="2"/>
          </rPr>
          <t>2 School
2 Shopping Centre or mall
2 Hospital</t>
        </r>
        <r>
          <rPr>
            <sz val="9"/>
            <color indexed="81"/>
            <rFont val="Tahoma"/>
            <family val="2"/>
          </rPr>
          <t xml:space="preserve">
</t>
        </r>
      </text>
    </comment>
    <comment ref="I106" authorId="0" shapeId="0">
      <text>
        <r>
          <rPr>
            <b/>
            <sz val="9"/>
            <color indexed="81"/>
            <rFont val="Tahoma"/>
            <family val="2"/>
          </rPr>
          <t>2 School
2 Shopping Centre or mall
2 Hospital</t>
        </r>
        <r>
          <rPr>
            <sz val="9"/>
            <color indexed="81"/>
            <rFont val="Tahoma"/>
            <family val="2"/>
          </rPr>
          <t xml:space="preserve">
</t>
        </r>
      </text>
    </comment>
    <comment ref="I107" authorId="0" shapeId="0">
      <text>
        <r>
          <rPr>
            <b/>
            <sz val="9"/>
            <color indexed="81"/>
            <rFont val="Tahoma"/>
            <family val="2"/>
          </rPr>
          <t>2 School
2 Shopping Centre or mall
2 Hospital</t>
        </r>
        <r>
          <rPr>
            <sz val="9"/>
            <color indexed="81"/>
            <rFont val="Tahoma"/>
            <family val="2"/>
          </rPr>
          <t xml:space="preserve">
</t>
        </r>
      </text>
    </comment>
    <comment ref="I108" authorId="0" shapeId="0">
      <text>
        <r>
          <rPr>
            <b/>
            <sz val="9"/>
            <color indexed="81"/>
            <rFont val="Tahoma"/>
            <family val="2"/>
          </rPr>
          <t>2 School
2 Shopping Centre or mall
2 Hospital</t>
        </r>
        <r>
          <rPr>
            <sz val="9"/>
            <color indexed="81"/>
            <rFont val="Tahoma"/>
            <family val="2"/>
          </rPr>
          <t xml:space="preserve">
</t>
        </r>
      </text>
    </comment>
    <comment ref="I116" authorId="0" shapeId="0">
      <text>
        <r>
          <rPr>
            <b/>
            <sz val="9"/>
            <color indexed="81"/>
            <rFont val="Tahoma"/>
            <family val="2"/>
          </rPr>
          <t>SACHIN:</t>
        </r>
        <r>
          <rPr>
            <sz val="9"/>
            <color indexed="81"/>
            <rFont val="Tahoma"/>
            <family val="2"/>
          </rPr>
          <t xml:space="preserve">
Type of Road</t>
        </r>
      </text>
    </comment>
    <comment ref="I117" authorId="0" shapeId="0">
      <text>
        <r>
          <rPr>
            <b/>
            <sz val="9"/>
            <color indexed="81"/>
            <rFont val="Tahoma"/>
            <family val="2"/>
          </rPr>
          <t>SACHIN:</t>
        </r>
        <r>
          <rPr>
            <sz val="9"/>
            <color indexed="81"/>
            <rFont val="Tahoma"/>
            <family val="2"/>
          </rPr>
          <t xml:space="preserve">
Size of Road</t>
        </r>
      </text>
    </comment>
    <comment ref="I119" authorId="0" shapeId="0">
      <text>
        <r>
          <rPr>
            <b/>
            <sz val="9"/>
            <color indexed="81"/>
            <rFont val="Tahoma"/>
            <family val="2"/>
          </rPr>
          <t>SACHIN:</t>
        </r>
        <r>
          <rPr>
            <sz val="9"/>
            <color indexed="81"/>
            <rFont val="Tahoma"/>
            <family val="2"/>
          </rPr>
          <t xml:space="preserve">
Water supply authority
</t>
        </r>
      </text>
    </comment>
    <comment ref="I122" authorId="0" shapeId="0">
      <text>
        <r>
          <rPr>
            <b/>
            <sz val="9"/>
            <color indexed="81"/>
            <rFont val="Tahoma"/>
            <family val="2"/>
          </rPr>
          <t>SACHIN:</t>
        </r>
        <r>
          <rPr>
            <sz val="9"/>
            <color indexed="81"/>
            <rFont val="Tahoma"/>
            <family val="2"/>
          </rPr>
          <t xml:space="preserve">
Advantages like markets,banks,development,nearby stn etc
</t>
        </r>
      </text>
    </comment>
    <comment ref="I133" authorId="0" shapeId="0">
      <text>
        <r>
          <rPr>
            <b/>
            <sz val="9"/>
            <color indexed="81"/>
            <rFont val="Tahoma"/>
            <family val="2"/>
          </rPr>
          <t>SACHIN:</t>
        </r>
        <r>
          <rPr>
            <sz val="9"/>
            <color indexed="81"/>
            <rFont val="Tahoma"/>
            <family val="2"/>
          </rPr>
          <t xml:space="preserve">
Ready Recknor Rate</t>
        </r>
      </text>
    </comment>
    <comment ref="K133" authorId="0" shapeId="0">
      <text>
        <r>
          <rPr>
            <b/>
            <sz val="9"/>
            <color indexed="81"/>
            <rFont val="Tahoma"/>
            <family val="2"/>
          </rPr>
          <t>SACHIN:</t>
        </r>
        <r>
          <rPr>
            <sz val="9"/>
            <color indexed="81"/>
            <rFont val="Tahoma"/>
            <family val="2"/>
          </rPr>
          <t xml:space="preserve">
Ready Reconer rate 
ONLY IN SQM</t>
        </r>
      </text>
    </comment>
    <comment ref="I134" authorId="0" shapeId="0">
      <text>
        <r>
          <rPr>
            <b/>
            <sz val="9"/>
            <color indexed="81"/>
            <rFont val="Tahoma"/>
            <family val="2"/>
          </rPr>
          <t>SACHIN:</t>
        </r>
        <r>
          <rPr>
            <sz val="9"/>
            <color indexed="81"/>
            <rFont val="Tahoma"/>
            <family val="2"/>
          </rPr>
          <t xml:space="preserve">
Ready Recknor Rate</t>
        </r>
      </text>
    </comment>
    <comment ref="K134" authorId="0" shapeId="0">
      <text>
        <r>
          <rPr>
            <b/>
            <sz val="9"/>
            <color indexed="81"/>
            <rFont val="Tahoma"/>
            <family val="2"/>
          </rPr>
          <t>SACHIN:</t>
        </r>
        <r>
          <rPr>
            <sz val="9"/>
            <color indexed="81"/>
            <rFont val="Tahoma"/>
            <family val="2"/>
          </rPr>
          <t xml:space="preserve">
Ready Reconer rate 
ONLY IN SQM</t>
        </r>
      </text>
    </comment>
    <comment ref="I147" authorId="0" shapeId="0">
      <text>
        <r>
          <rPr>
            <b/>
            <sz val="9"/>
            <color indexed="81"/>
            <rFont val="Tahoma"/>
            <family val="2"/>
          </rPr>
          <t>SACHIN:</t>
        </r>
        <r>
          <rPr>
            <sz val="9"/>
            <color indexed="81"/>
            <rFont val="Tahoma"/>
            <family val="2"/>
          </rPr>
          <t xml:space="preserve">
Building Names with Approved No. of Floors</t>
        </r>
      </text>
    </comment>
    <comment ref="I151" authorId="0" shapeId="0">
      <text>
        <r>
          <rPr>
            <b/>
            <sz val="9"/>
            <color indexed="81"/>
            <rFont val="Tahoma"/>
            <family val="2"/>
          </rPr>
          <t>SACHIN:</t>
        </r>
        <r>
          <rPr>
            <sz val="9"/>
            <color indexed="81"/>
            <rFont val="Tahoma"/>
            <family val="2"/>
          </rPr>
          <t xml:space="preserve">
Plan date &amp; Valid upto Date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<sst xmlns="http://schemas.openxmlformats.org/spreadsheetml/2006/main" count="1781" uniqueCount="705">
  <si>
    <t>GOOGLE MAP :</t>
  </si>
  <si>
    <t xml:space="preserve">Dated: </t>
  </si>
  <si>
    <t>Name &amp; Address of Branch</t>
  </si>
  <si>
    <t>:</t>
  </si>
  <si>
    <t xml:space="preserve">Name of the Project </t>
  </si>
  <si>
    <t>a)</t>
  </si>
  <si>
    <t>b)</t>
  </si>
  <si>
    <t>d)</t>
  </si>
  <si>
    <t>Purpose of Valuation</t>
  </si>
  <si>
    <t>Date of Inspection of Property</t>
  </si>
  <si>
    <t xml:space="preserve">Location of the Property </t>
  </si>
  <si>
    <t>Carpet Area, Terrace Area and Saleable area to be mentioned separately and clarified</t>
  </si>
  <si>
    <t>See below mentioned schedule of the property.</t>
  </si>
  <si>
    <t>Rate</t>
  </si>
  <si>
    <t>Particulars</t>
  </si>
  <si>
    <t xml:space="preserve">total </t>
  </si>
  <si>
    <t xml:space="preserve">completed  </t>
  </si>
  <si>
    <t>plinth</t>
  </si>
  <si>
    <t>slab</t>
  </si>
  <si>
    <t>total slab</t>
  </si>
  <si>
    <t>completed slab</t>
  </si>
  <si>
    <t>p</t>
  </si>
  <si>
    <t>rcc</t>
  </si>
  <si>
    <t>Bricks</t>
  </si>
  <si>
    <t>Plaster</t>
  </si>
  <si>
    <t>Flooring</t>
  </si>
  <si>
    <t>Wood &amp; painting</t>
  </si>
  <si>
    <t>Finishing</t>
  </si>
  <si>
    <t>Progress</t>
  </si>
  <si>
    <t xml:space="preserve">Bricks </t>
  </si>
  <si>
    <t>Total Floor</t>
  </si>
  <si>
    <t>completed Floor</t>
  </si>
  <si>
    <t xml:space="preserve">Recommended </t>
  </si>
  <si>
    <t>plaster</t>
  </si>
  <si>
    <t>Recommended</t>
  </si>
  <si>
    <t xml:space="preserve"> </t>
  </si>
  <si>
    <t>Plinth</t>
  </si>
  <si>
    <t>RCC</t>
  </si>
  <si>
    <t>total</t>
  </si>
  <si>
    <t xml:space="preserve">total floor </t>
  </si>
  <si>
    <t>e)</t>
  </si>
  <si>
    <t>f)</t>
  </si>
  <si>
    <t>g)</t>
  </si>
  <si>
    <t>h)</t>
  </si>
  <si>
    <t>i)</t>
  </si>
  <si>
    <t>j)</t>
  </si>
  <si>
    <t>Description</t>
  </si>
  <si>
    <t>East</t>
  </si>
  <si>
    <t>West</t>
  </si>
  <si>
    <t>North</t>
  </si>
  <si>
    <t>South</t>
  </si>
  <si>
    <t>NA</t>
  </si>
  <si>
    <t>Proposed</t>
  </si>
  <si>
    <t>Yes</t>
  </si>
  <si>
    <t>No</t>
  </si>
  <si>
    <t>Introduction :</t>
  </si>
  <si>
    <t>To assess present market value for the purpose of advance.</t>
  </si>
  <si>
    <t>Remark :</t>
  </si>
  <si>
    <t xml:space="preserve">PHOTOGRAPHS OF PROPERTY : 
</t>
  </si>
  <si>
    <t>Market Research Data</t>
  </si>
  <si>
    <t>Source</t>
  </si>
  <si>
    <t>Net Carpet</t>
  </si>
  <si>
    <t>Market Value</t>
  </si>
  <si>
    <t>Average</t>
  </si>
  <si>
    <t xml:space="preserve">Valuation Adopted </t>
  </si>
  <si>
    <t>Value (Rs.)</t>
  </si>
  <si>
    <r>
      <rPr>
        <b/>
        <u/>
        <sz val="11"/>
        <color indexed="8"/>
        <rFont val="Times New Roman"/>
        <family val="1"/>
      </rPr>
      <t>VALUATION</t>
    </r>
    <r>
      <rPr>
        <b/>
        <sz val="11"/>
        <color indexed="8"/>
        <rFont val="Times New Roman"/>
        <family val="1"/>
      </rPr>
      <t xml:space="preserve"> </t>
    </r>
    <r>
      <rPr>
        <b/>
        <u/>
        <sz val="11"/>
        <color indexed="8"/>
        <rFont val="Times New Roman"/>
        <family val="1"/>
      </rPr>
      <t>REPORT</t>
    </r>
  </si>
  <si>
    <t>Sr. No.</t>
  </si>
  <si>
    <t>Floor No.</t>
  </si>
  <si>
    <t>Flat / Shop No.</t>
  </si>
  <si>
    <t>Configuration</t>
  </si>
  <si>
    <t>Flat</t>
  </si>
  <si>
    <t>1 BHK</t>
  </si>
  <si>
    <t>1 RK</t>
  </si>
  <si>
    <t>99 Acres</t>
  </si>
  <si>
    <t>Valuation Summary :</t>
  </si>
  <si>
    <t>VALUATION OF PROPERTIES</t>
  </si>
  <si>
    <t>OF</t>
  </si>
  <si>
    <t>BY</t>
  </si>
  <si>
    <t>Distance from proposed property</t>
  </si>
  <si>
    <t>Sarvam</t>
  </si>
  <si>
    <t>Ground Floor For Parking</t>
  </si>
  <si>
    <t>1st Floor</t>
  </si>
  <si>
    <t>Carpet Area 
(in Sq. Ft.)</t>
  </si>
  <si>
    <t>2nd Floor</t>
  </si>
  <si>
    <t>3rd Floor</t>
  </si>
  <si>
    <t>4th Floor</t>
  </si>
  <si>
    <t>5th Floor</t>
  </si>
  <si>
    <t>6th Floor</t>
  </si>
  <si>
    <t>7th Floor</t>
  </si>
  <si>
    <t>Saleable Area
(in Sq. Ft.)</t>
  </si>
  <si>
    <t>Attached Terrace Area
(in Sq. Ft.)</t>
  </si>
  <si>
    <t>Building No.1 - B Wing</t>
  </si>
  <si>
    <t>Building No.1 - A Wing</t>
  </si>
  <si>
    <t>2 BHK</t>
  </si>
  <si>
    <t>Building &amp; Wing</t>
  </si>
  <si>
    <t>Building No.2 - C Wing</t>
  </si>
  <si>
    <t>Carpet Area (Sq.ft)</t>
  </si>
  <si>
    <t>Saleable Area</t>
  </si>
  <si>
    <t>Housing</t>
  </si>
  <si>
    <t>1BHK</t>
  </si>
  <si>
    <t>1RK</t>
  </si>
  <si>
    <t>Proptiger</t>
  </si>
  <si>
    <t>Gardenia - 650m</t>
  </si>
  <si>
    <t>2BHK</t>
  </si>
  <si>
    <t>Mahaavir Majesty - 550m</t>
  </si>
  <si>
    <t>Arihant Anaika - 550m</t>
  </si>
  <si>
    <t>Krushna Kunj - 950m</t>
  </si>
  <si>
    <t>Rate 
(on Saleable Area)</t>
  </si>
  <si>
    <t>We verified Approved Plans, CC, Sale Plans &amp; others Documents.</t>
  </si>
  <si>
    <t>Rate on Saleable Area</t>
  </si>
  <si>
    <t xml:space="preserve">A Wing </t>
  </si>
  <si>
    <t xml:space="preserve">B Wing </t>
  </si>
  <si>
    <t>C Wing</t>
  </si>
  <si>
    <t>market Value</t>
  </si>
  <si>
    <t>Office No. J-1031, Akshar Business Park, Plot No. 03</t>
  </si>
  <si>
    <t xml:space="preserve">Sector 25, Near APMC Market, Vashi, </t>
  </si>
  <si>
    <t>Navi Mumbai, Maharashtra 400703</t>
  </si>
  <si>
    <t xml:space="preserve">Web site: www.vsjadon.com    </t>
  </si>
  <si>
    <t>TEL: 022-46090378/79/80 Email: vsjc.apf@gmail.com.</t>
  </si>
  <si>
    <t>Office No. 1031, Wing J, Akshar Business Park, Plot No. 03 Sector 25, Near APMC Market, Vashi, 
Navi Mumbai, Maharashtra 400703 TEL: 022-46090378/79/80                                                                       
E mail : vsjcapf@gmail.com. Web site : www.vsjadon.com</t>
  </si>
  <si>
    <t>Date on which the valuation is made</t>
  </si>
  <si>
    <t>List of documents produced for perusal</t>
  </si>
  <si>
    <t>Name of the owner(s) and his / their address
(es) with Phone no. (details of share of each
owner in case of joint ownership)</t>
  </si>
  <si>
    <t>Brief description of the property (Including
leasehold / freehold etc)</t>
  </si>
  <si>
    <t>Village</t>
  </si>
  <si>
    <t>District</t>
  </si>
  <si>
    <t>Taluka</t>
  </si>
  <si>
    <t>Postal address of the property</t>
  </si>
  <si>
    <t>City / Town</t>
  </si>
  <si>
    <t>Residential Area</t>
  </si>
  <si>
    <t>Commercial Area</t>
  </si>
  <si>
    <t>Industrial Area</t>
  </si>
  <si>
    <t>Classification of the area</t>
  </si>
  <si>
    <t>a. High / Middle / Poor</t>
  </si>
  <si>
    <t>b. Urban / Semi Urban / Rural</t>
  </si>
  <si>
    <t>Urban</t>
  </si>
  <si>
    <t>Coming under Corporation limit / Village
Panchayat / Municipality</t>
  </si>
  <si>
    <t>Boundaries of the property</t>
  </si>
  <si>
    <t>As per Rera</t>
  </si>
  <si>
    <t>As per Approved Layout</t>
  </si>
  <si>
    <t xml:space="preserve">As per Site </t>
  </si>
  <si>
    <t>Dimensions of the site</t>
  </si>
  <si>
    <t>As per the Deed</t>
  </si>
  <si>
    <t>Actuals</t>
  </si>
  <si>
    <t>Extent of the site</t>
  </si>
  <si>
    <t>Whether occupied by the owner / tenant? If
occupied by tenant, since how long? Rent
received per month.</t>
  </si>
  <si>
    <t>Feasibility to the Civic amenities like school, hospital, bus stop, market etc</t>
  </si>
  <si>
    <t>Corner plot or intermittent plot?</t>
  </si>
  <si>
    <t>Road facilities</t>
  </si>
  <si>
    <t>Type of road available at present</t>
  </si>
  <si>
    <t>Width of road – is it below 20 ft or more than 20 ft</t>
  </si>
  <si>
    <t>Is it a land – locked land?</t>
  </si>
  <si>
    <t>Water potentiality</t>
  </si>
  <si>
    <t>Underground sewerage system</t>
  </si>
  <si>
    <t>Is power supply available at the site?</t>
  </si>
  <si>
    <t>Advantage of the site</t>
  </si>
  <si>
    <t>Special remarks, if any, like threat of acquisition of land for public service purposes, road widening or applicability of CRZ provisions etc. (Distance from sea-coast / tidal level must be incorporated)</t>
  </si>
  <si>
    <t>Plain</t>
  </si>
  <si>
    <t>Intermittent plot</t>
  </si>
  <si>
    <t>Connected to Munciple Sewer</t>
  </si>
  <si>
    <t>Valuation</t>
  </si>
  <si>
    <t>A</t>
  </si>
  <si>
    <t>North &amp; South</t>
  </si>
  <si>
    <t>East &amp; West</t>
  </si>
  <si>
    <t>Total extent of the plot</t>
  </si>
  <si>
    <t>Prevailing market rate (Along with details/reference of at least two latest deals/transactions with respect to adjacent properties in the areas)</t>
  </si>
  <si>
    <t>Assessed / adopted rate of valuation</t>
  </si>
  <si>
    <t>Estimated value of land</t>
  </si>
  <si>
    <t>Size of plot (As per Approved Plan) sq.m</t>
  </si>
  <si>
    <t>Size of plot (As per RERA) sq.m</t>
  </si>
  <si>
    <t>-</t>
  </si>
  <si>
    <t>As per table Attached to the report</t>
  </si>
  <si>
    <t>As per table Attached to the report.
Details of recent transactions/ online listings are attached with the report</t>
  </si>
  <si>
    <t>Guideline rate obtained from the Registrar’s Office (an evidence thereof to be enclosed) sq.m</t>
  </si>
  <si>
    <t>As per RERA</t>
  </si>
  <si>
    <t xml:space="preserve">As per Approved Plan </t>
  </si>
  <si>
    <t>Land Area in sq.m</t>
  </si>
  <si>
    <t>Value in Rs.</t>
  </si>
  <si>
    <t>Valuation of Building</t>
  </si>
  <si>
    <t>B</t>
  </si>
  <si>
    <t>Technical details of the building</t>
  </si>
  <si>
    <t>Type of construction (Load bearing / RCC / Steel Framed)</t>
  </si>
  <si>
    <t>Year of construction</t>
  </si>
  <si>
    <t xml:space="preserve">c) </t>
  </si>
  <si>
    <t>Number of floors and height of each floor including basement, if any including basement, if any</t>
  </si>
  <si>
    <t>Plinth area floor-wise</t>
  </si>
  <si>
    <t>Condition of the building</t>
  </si>
  <si>
    <t xml:space="preserve">1. Exterior </t>
  </si>
  <si>
    <t xml:space="preserve">2. Interior </t>
  </si>
  <si>
    <t>Date of issue and validity of layout of approved map / plan</t>
  </si>
  <si>
    <t>Type of Building (Residential / Commercial/ Industrial)</t>
  </si>
  <si>
    <t>Approved map / plan issuing authority</t>
  </si>
  <si>
    <t>Any other comments by our empanelled valuers on authentic of approved plan</t>
  </si>
  <si>
    <t>Whether genuineness or authenticity of approved map / plan is verified YES / NO</t>
  </si>
  <si>
    <t>Specifications of construction (floor-wise) in respect of</t>
  </si>
  <si>
    <t>S.No.</t>
  </si>
  <si>
    <t xml:space="preserve"> Description</t>
  </si>
  <si>
    <t>Foundation</t>
  </si>
  <si>
    <t>Basement</t>
  </si>
  <si>
    <t>Joinery / Doors &amp; Windows (please furnish details about size of frames, shutters, glazing, fitting etc. and specify the species of timber)</t>
  </si>
  <si>
    <t>RCC works</t>
  </si>
  <si>
    <t>Plastering</t>
  </si>
  <si>
    <t>Flooring, Skirting, dadoing</t>
  </si>
  <si>
    <t>Special finish as marble, granite, wooden paneling, grills, etc</t>
  </si>
  <si>
    <t>Roofing including weather proof course</t>
  </si>
  <si>
    <t>Drainage</t>
  </si>
  <si>
    <t>Proposed as IS Code requirements</t>
  </si>
  <si>
    <t>N.A. Building Construction Work in process</t>
  </si>
  <si>
    <t>Compound wall :</t>
  </si>
  <si>
    <t>Height :</t>
  </si>
  <si>
    <t>Length</t>
  </si>
  <si>
    <t>Type of construction</t>
  </si>
  <si>
    <t>Electrical installation</t>
  </si>
  <si>
    <t>Type of wiring :</t>
  </si>
  <si>
    <t>Class of fittings (superior / ordinary / poor) :</t>
  </si>
  <si>
    <t>Number of light points :</t>
  </si>
  <si>
    <t>Fan points :</t>
  </si>
  <si>
    <t>Spare plug points :</t>
  </si>
  <si>
    <t>Any other item</t>
  </si>
  <si>
    <t>Plumbing installation</t>
  </si>
  <si>
    <t>No. of water closets and their type :</t>
  </si>
  <si>
    <t>No. of wash basins :</t>
  </si>
  <si>
    <t>No. of urinals :</t>
  </si>
  <si>
    <t>No. of bath tubs :</t>
  </si>
  <si>
    <t>Water meter, taps, etc. :</t>
  </si>
  <si>
    <t>Any other fixtures</t>
  </si>
  <si>
    <t>Traditional Technology</t>
  </si>
  <si>
    <t>Configuration of Project</t>
  </si>
  <si>
    <t xml:space="preserve">Layout Approval No   </t>
  </si>
  <si>
    <t>Approved Floor plan No.</t>
  </si>
  <si>
    <t xml:space="preserve">O. Certificate No.: </t>
  </si>
  <si>
    <t>Date</t>
  </si>
  <si>
    <t>Approved no of units</t>
  </si>
  <si>
    <t>Approved no of Floors</t>
  </si>
  <si>
    <t>Proposed no of Floors</t>
  </si>
  <si>
    <t>No. of Units</t>
  </si>
  <si>
    <t>Total Carpet Area</t>
  </si>
  <si>
    <t>Total</t>
  </si>
  <si>
    <t>Grand Total</t>
  </si>
  <si>
    <t>Building Detail Statements: As per approved Plan.</t>
  </si>
  <si>
    <t>Building/ Wing/ Tower</t>
  </si>
  <si>
    <t>Total No. of Units</t>
  </si>
  <si>
    <t>Builtup Area (Sq.ft)</t>
  </si>
  <si>
    <t>Builtup Area
(in Sq. Ft.)</t>
  </si>
  <si>
    <t>Fair Market Value</t>
  </si>
  <si>
    <t xml:space="preserve"> Portico :</t>
  </si>
  <si>
    <t xml:space="preserve"> Ornamental front door :</t>
  </si>
  <si>
    <t xml:space="preserve"> Sit out/ Verandah with steel grills :</t>
  </si>
  <si>
    <t xml:space="preserve"> Overhead water tank :</t>
  </si>
  <si>
    <t xml:space="preserve"> Extra steel/ collapsible gates</t>
  </si>
  <si>
    <t xml:space="preserve"> Wardrobes :</t>
  </si>
  <si>
    <t xml:space="preserve"> Glazed tiles :</t>
  </si>
  <si>
    <t xml:space="preserve"> Extra sinks and bath tub :</t>
  </si>
  <si>
    <t xml:space="preserve"> Marble / Ceramic tiles flooring :</t>
  </si>
  <si>
    <t xml:space="preserve"> Interior decorations :</t>
  </si>
  <si>
    <t xml:space="preserve"> Architectural elevation works :</t>
  </si>
  <si>
    <t xml:space="preserve"> Panelling works :</t>
  </si>
  <si>
    <t xml:space="preserve"> Aluminium works :</t>
  </si>
  <si>
    <t xml:space="preserve"> Aluminium hand rails :</t>
  </si>
  <si>
    <t xml:space="preserve"> False ceiling</t>
  </si>
  <si>
    <t xml:space="preserve"> Separate toilet room :</t>
  </si>
  <si>
    <t xml:space="preserve"> Separate lumber room :</t>
  </si>
  <si>
    <t xml:space="preserve"> Separate water tank/ sump :</t>
  </si>
  <si>
    <t xml:space="preserve"> Trees, gardening</t>
  </si>
  <si>
    <t xml:space="preserve"> Water supply arrangements :</t>
  </si>
  <si>
    <t xml:space="preserve"> Drainage arrangements :</t>
  </si>
  <si>
    <t xml:space="preserve"> Compound wall :</t>
  </si>
  <si>
    <t xml:space="preserve"> Pavement</t>
  </si>
  <si>
    <t xml:space="preserve"> C.  B.  deposits, fittings etc</t>
  </si>
  <si>
    <t>Amount in Rs.</t>
  </si>
  <si>
    <t>Total abstract of the entire property</t>
  </si>
  <si>
    <t>Part A</t>
  </si>
  <si>
    <t>Part B</t>
  </si>
  <si>
    <t>Part C</t>
  </si>
  <si>
    <t>Part D</t>
  </si>
  <si>
    <t>Part E</t>
  </si>
  <si>
    <t>Part F</t>
  </si>
  <si>
    <t>Land</t>
  </si>
  <si>
    <t>Building</t>
  </si>
  <si>
    <t>Extra Items</t>
  </si>
  <si>
    <t>Amenities</t>
  </si>
  <si>
    <t>Miscellaneous</t>
  </si>
  <si>
    <t>Services</t>
  </si>
  <si>
    <t>Layout</t>
  </si>
  <si>
    <t xml:space="preserve">Place: </t>
  </si>
  <si>
    <t>Navi Mumbai</t>
  </si>
  <si>
    <t xml:space="preserve">             (Annexure-I)</t>
  </si>
  <si>
    <t>I, Mr. Vishwajeet Singh Jadon son of Mr. Ram Singh Jadon do hereby solemnly affirm and state that:</t>
  </si>
  <si>
    <t>I am a citizen of India</t>
  </si>
  <si>
    <t>I will not undertake valuation of any assets in which I have a direct or indirect interest or become so interested at any time during a period of three years prior to my appointment as valuer or three years after the valuation of assets was conducted by me</t>
  </si>
  <si>
    <t>Valuation report is submitted in the format as prescribed by the Bank</t>
  </si>
  <si>
    <t>I have not been depanelled/ delisted by any other bank and in case any such depanelment by other banks during my empanelment with you, I will inform you within 3 days of such depanelment</t>
  </si>
  <si>
    <t>I have not been removed/dismissed from service/employment earlier</t>
  </si>
  <si>
    <t>I have not been convicted of any offence and sentenced to a term of imprisonment</t>
  </si>
  <si>
    <t>I have not been found guilty of misconduct in professional capacity</t>
  </si>
  <si>
    <t>I have not been declared to be unsound mind</t>
  </si>
  <si>
    <t>I am not an undischarged bankrupt or has not applied to be adjudicated as a bankrupt.</t>
  </si>
  <si>
    <t>I am not an undischarged insolvent</t>
  </si>
  <si>
    <t>I have not been levied a penalty under section 271J of Income-tax Act, 1961 (43 of 1961) and time limit for filing appeal before Commissioner of Income tax (Appeals) or Income-tax Appellate Tribunal, as the case may be has expired, or such penalty has been confirmed by Income-tax Appellate Tribunal, and five years have not elapsed after levy of such penalty</t>
  </si>
  <si>
    <t>I undertake to keep you informed of any events or happenings which would make me ineligible for empanelment as a valuer</t>
  </si>
  <si>
    <t>I have not concealed or suppressed any material information, facts and records and I have made a complete and full disclosure</t>
  </si>
  <si>
    <t>I have read the Handbook on Policy, Standards and procedure for Real Estate Valuation, 2011 of the IBA and this report is in conformity to the “Standards” enshrined for valuation in the Part-B of the above handbook to the best of my ability</t>
  </si>
  <si>
    <t>I have read the International Valuation Standards (IVS) and the report submitted to the Bank for the respective asset class is in conformity to the “Standards” as enshrined for valuation in the IVS in “General Standards” and “Asset Standards” as applicable</t>
  </si>
  <si>
    <t>I abide by the Model Code of Conduct for empanelment of valuer in the Bank. (Annexure V- A signed copy of same to be taken and kept along with this declaration)</t>
  </si>
  <si>
    <t>I am registered under Section 34 AB of the Wealth Tax Act, 1957. (Strike off, if not applicable)</t>
  </si>
  <si>
    <t>I am valuer registered with Insolvency &amp; Bankruptcy Board of India (IBBI) (Strike off, if not applicable)</t>
  </si>
  <si>
    <t>My CIBIL Score and credit worthiness is as per Bank’s guidelines.</t>
  </si>
  <si>
    <t>I am the proprietor / partner / authorized official of the firm / company, who is competent to sign this valuation report.</t>
  </si>
  <si>
    <t>I will undertake the valuation work on receipt of Letter of Engagement generated from the system (i.e. LLMS/LOS) only.</t>
  </si>
  <si>
    <t>Sr.No.</t>
  </si>
  <si>
    <t>Valuer comment</t>
  </si>
  <si>
    <t>Background information of the asset being valued;</t>
  </si>
  <si>
    <t>Purpose of valuation and appointing authority</t>
  </si>
  <si>
    <t>Identity of the valuer and any other experts involved in the valuation;</t>
  </si>
  <si>
    <t>Disclosure of valuer interest or conflict, if any;</t>
  </si>
  <si>
    <t>Date of appointment, valuation date and date of report;</t>
  </si>
  <si>
    <t>Date of Appointment</t>
  </si>
  <si>
    <t>Valuation date</t>
  </si>
  <si>
    <t>Date of Report</t>
  </si>
  <si>
    <t>Inspections and/or investigations undertaken;</t>
  </si>
  <si>
    <t>Physically site Verified.</t>
  </si>
  <si>
    <t>Nature and sources of the information used or relied upon;</t>
  </si>
  <si>
    <t>Procedures adopted in carrying out the valuation and valuation standards followed;</t>
  </si>
  <si>
    <t>Market Approach Method adopted where Value is estimated based on instances of sales/quotes of similar assets in the market.</t>
  </si>
  <si>
    <t>Restrictions on use of the report, if any;</t>
  </si>
  <si>
    <t>Major factors that were taken into account during the valuation;</t>
  </si>
  <si>
    <t>Major factors that were not taken into account during the valuation;</t>
  </si>
  <si>
    <t>Caveats, limitations and disclaimers to the extent they explain or elucidate the limitations faced by valuer, which shall not be for the purpose of limiting his responsibility for the valuation report.</t>
  </si>
  <si>
    <t xml:space="preserve">As a result of my appraisal and analysis, it is my considered opinion that the realizable value of the above property in the prevailing condition with aforesaid specifications is Rs. </t>
  </si>
  <si>
    <t>Ready Reckoner Rate</t>
  </si>
  <si>
    <t>Place:</t>
  </si>
  <si>
    <t>Date:</t>
  </si>
  <si>
    <t>Signature</t>
  </si>
  <si>
    <t>(Name and Official seal of the Approved Valuer)</t>
  </si>
  <si>
    <t>(Name of the Branch Manager with Official seal)</t>
  </si>
  <si>
    <t>Declaration-cum-undertaking from the valuer (Annexure-I)</t>
  </si>
  <si>
    <t>*</t>
  </si>
  <si>
    <t>Model code of conduct for valuer (Annexure II )</t>
  </si>
  <si>
    <t>Attached Below</t>
  </si>
  <si>
    <t>DECLARATION - CUM - UNDERTAKING</t>
  </si>
  <si>
    <t>Registered Valuer - Vishwajeet Singh Jadon</t>
  </si>
  <si>
    <t>Technical Engineer - Sachin M. Sawant</t>
  </si>
  <si>
    <t>Market Survey at the time of site visit.
Ready Reckoner rates/ Circle rates
Online search for registered transactions
Online price indicators on real estate portals
Enquiries with real estate consultants
Existing data of valuation assignments carried out by us</t>
  </si>
  <si>
    <t>Present Market enquiries, Location, Demand and position supply, Development of locality, etc.</t>
  </si>
  <si>
    <t>(Annexure-II)</t>
  </si>
  <si>
    <t>MODEL CODE OF CONDUCT FOR VALUERS</t>
  </si>
  <si>
    <t>Integrity and Fairness</t>
  </si>
  <si>
    <t>A valuer shall, in the conduct of his/its business, follow high standards of integrity and fairness in all his/its dealings with his/its clients and other valuers.</t>
  </si>
  <si>
    <t>Professional Competence and Due Care</t>
  </si>
  <si>
    <t>A valuer shall render at all times high standards of service, exercise due diligence, ensure proper care and exercise independent professional judgment.</t>
  </si>
  <si>
    <t>A valuer shall carry out professional services in accordance with the relevant technical and professional standards that may be specified from time to time</t>
  </si>
  <si>
    <t>Independence and Disclosure of Interest</t>
  </si>
  <si>
    <t> In any fairness opinion or independent expert opinion submitted by a valuer, if there has been a prior engagement in an unconnected transaction, the valuer shall declare the association with the company during the last five years.</t>
  </si>
  <si>
    <t>Confidentiality</t>
  </si>
  <si>
    <t>Information Management</t>
  </si>
  <si>
    <t>A valuer while respecting the confidentiality of information acquired during the course of performing professional services, shall maintain proper working papers for a period of three years or such longer period as required in its contract for a specific valuation, for production before a regulatory authority or for a peer review. In the event of a pending case before the Tribunal or Appellate Tribunal, the record shall be maintained till the disposal of the case.</t>
  </si>
  <si>
    <t>Gifts and hospitality.</t>
  </si>
  <si>
    <t>Remuneration and Costs.</t>
  </si>
  <si>
    <t xml:space="preserve">Signature  of the valuer      </t>
  </si>
  <si>
    <t>Name of the Valuer</t>
  </si>
  <si>
    <t>V.S Jadon &amp; Co. Valuers LLP</t>
  </si>
  <si>
    <t xml:space="preserve"> A valuer shall continuously maintain professional knowledge and skill to provide competent professional service based on up-to-date developments in practice, prevailing regulations/guidelines and techniques.</t>
  </si>
  <si>
    <t xml:space="preserve"> In the preparation of a valuation report, the valuer shall not disclaim liability for his/its expertise or deny his/its duty of care, except to the extent that the assumptions are based on statements of fact provided by the company or its auditors or consultants or information available in public domain and not generated by the valuer.</t>
  </si>
  <si>
    <t xml:space="preserve"> A valuer shall not indulge in “mandate snatching” or offering “convenience valuations” in order to cater to a company or client’s needs.</t>
  </si>
  <si>
    <t>A valuer shall refrain from being involved in any action that would bring disrepute to the profession.</t>
  </si>
  <si>
    <t>A valuer shall keep public interest foremost while delivering his services.</t>
  </si>
  <si>
    <t>As an independent valuer, the valuer shall not charge success fee.</t>
  </si>
  <si>
    <t>A valuer shall not use or divulge to other clients or any other party any confidential information about the subject company, which has come to his/its knowledge without proper and specific authority or unless there is a legal or professional right or duty to disclose.</t>
  </si>
  <si>
    <t>A valuer shall ensure that he/ it maintains written contemporaneous records for any decision taken, the reasons for taking the decision, and the information and evidence in support of such decision. This shall be maintained so as to sufficiently enable a reasonable person to take a view on the appropriateness of his/its decisions and actions.</t>
  </si>
  <si>
    <t>A valuer shall appear, co-operate and be available for inspections and investigations carried out by the authority, any person authorised by the authority, the registered valuers organisation with which he/it is registered or any other statutory regulatory body.</t>
  </si>
  <si>
    <t>A valuer shall provide all information and records as may be required by the authority, the Tribunal, Appellate Tribunal, the registered valuers organisation with which he/it is registered, or any other statutory regulatory body.</t>
  </si>
  <si>
    <t>A valuer shall not carry out any instruction of the client insofar as they are incompatible with the requirements of integrity, objectivity and independence.</t>
  </si>
  <si>
    <t>A valuer shall clearly state to his client the services that he would be competent to provide and the services for which he would be relying on other valuers or professionals or for which the client can have a separate arrangement with other valuers.</t>
  </si>
  <si>
    <t>A valuer shall act with objectivity in his/its professional dealings by ensuring that his/its decisions are made without the presence of any bias, conflict of interest, coercion, or undue influence of any party, whether directly connected to the valuation assignment or not.</t>
  </si>
  <si>
    <t>A valuer shall not take up an assignment if he/it or any of his/its relatives or associates is not independent in terms of association to the company.</t>
  </si>
  <si>
    <t>A valuer shall wherever necessary disclose to the clients, possible sources of conflicts of duties and interests, while providing unbiased services.</t>
  </si>
  <si>
    <t>A valuer shall maintain complete independence in his/its professional relationships and shall conduct the valuation independent of external influences.</t>
  </si>
  <si>
    <t>A valuer shall not deal in securities of any subject company after any time when he/it first becomes aware of the possibility of his/its association with the valuation, and in accordance with the Securities and Exchange Board of India (Prohibition of Insider Trading) Regulations, 2015 or till the time the valuation report becomes public, whichever is earlier.</t>
  </si>
  <si>
    <t>A valuer or his/its relative shall not accept gifts or hospitality which undermines or affects his independence as a valuer.
Explanation: For the purposes of this code the term ‘relative’ shall have the same meaning as defined in clause (77) of Section 2 of the Companies Act, 2013 (18 of 2013).</t>
  </si>
  <si>
    <t>A valuer shall not offer gifts or hospitality or a financial or any other advantage to a public servant or any other person with a view to obtain or retain work for himself/ itself, or to obtain or retain an advantage in the conduct of profession for himself/ itself.</t>
  </si>
  <si>
    <t>A valuer shall provide services for remuneration which is charged in a transparent manner, is a reasonable reflection of the work necessarily and properly undertaken, and is not inconsistent with the applicable rules.</t>
  </si>
  <si>
    <t>A valuer shall refrain from accepting too many assignments, if he/it is unlikely to be able to devote adequate time to each of his/ its assignments.</t>
  </si>
  <si>
    <t>A valuer shall not conduct business which in the opinion of the authority or the registered valuer organisation discredits the profession.</t>
  </si>
  <si>
    <t>A valuer shall refrain from undertaking to review the work of another valuer of the same client except under written orders from the bank or housing finance institutions and with knowledge of the concerned valuer.</t>
  </si>
  <si>
    <t>A valuer shall follow this code as amended or revised from time to time</t>
  </si>
  <si>
    <t xml:space="preserve">Assumptions, Disclaimers, Limitations &amp; Qualifications </t>
  </si>
  <si>
    <t>ASSUMPTIONS, CAVEATS, LIMITATION AND DISCLAIMERS</t>
  </si>
  <si>
    <t>We assume no responsibility for matters of legal nature affecting the property appraised or the title thereto, nor do we render our opinion as to the title, which is assumed to be good and marketable.</t>
  </si>
  <si>
    <t xml:space="preserve">It is assumed that there are no hidden or unapparent conditions of the subsoil or structure that would render it more or less valuable. No responsibility is assumed for such conditions or for engineering that might be required to discover such factors.
</t>
  </si>
  <si>
    <t xml:space="preserve">There is no direct/ indirect interest in the property valued.
</t>
  </si>
  <si>
    <t>The rates for valuation of the property are in accordance with the Govt. approved rates and prevailing market rates.</t>
  </si>
  <si>
    <t>The property is valued as though under responsible ownership.</t>
  </si>
  <si>
    <t>It is assumed that the property is free of liens and encumbrances.</t>
  </si>
  <si>
    <t>Plot No</t>
  </si>
  <si>
    <t>Sector</t>
  </si>
  <si>
    <t>Panvel</t>
  </si>
  <si>
    <t>Raigad</t>
  </si>
  <si>
    <t>Landmark</t>
  </si>
  <si>
    <t>Road</t>
  </si>
  <si>
    <t>Pincode</t>
  </si>
  <si>
    <t>Whether covered under any State / Central
Govt. enactments (e.g. Urban Land Ceiling Act) or notified under agency area / scheduled area / cantonment area</t>
  </si>
  <si>
    <t>In case it is an agricultural land, any conversion to house site plots is contemplated</t>
  </si>
  <si>
    <t>Location Link</t>
  </si>
  <si>
    <t>Extent of the site considered for valuation (least of 14A &amp; 14B)</t>
  </si>
  <si>
    <t>Classification of locality</t>
  </si>
  <si>
    <t>Development of surrounding areas</t>
  </si>
  <si>
    <t>Possibility of frequent flooding / sub-merging</t>
  </si>
  <si>
    <t>Above 20ft</t>
  </si>
  <si>
    <t>Cidco</t>
  </si>
  <si>
    <t>֍</t>
  </si>
  <si>
    <t>Proposed RCC Footing</t>
  </si>
  <si>
    <t>Ground Floor For Commercial &amp; Parking</t>
  </si>
  <si>
    <t>Shop</t>
  </si>
  <si>
    <t>B Wing</t>
  </si>
  <si>
    <t>Commercial Units</t>
  </si>
  <si>
    <t>Is plot in town planning approved layout?</t>
  </si>
  <si>
    <t>Level of land with topographical conditions</t>
  </si>
  <si>
    <t>Shape of land</t>
  </si>
  <si>
    <t>Type of use to which it can be put</t>
  </si>
  <si>
    <t>Any usage restriction</t>
  </si>
  <si>
    <r>
      <t xml:space="preserve">My PAN Card number/Service Tax number as applicable is </t>
    </r>
    <r>
      <rPr>
        <b/>
        <sz val="11"/>
        <color theme="1"/>
        <rFont val="Times New Roman"/>
        <family val="1"/>
      </rPr>
      <t>AAHPJ7711Q</t>
    </r>
  </si>
  <si>
    <r>
      <t>Further, I hereby provide the following information</t>
    </r>
    <r>
      <rPr>
        <b/>
        <sz val="11"/>
        <color theme="1"/>
        <rFont val="Times New Roman"/>
        <family val="1"/>
      </rPr>
      <t>.</t>
    </r>
  </si>
  <si>
    <r>
      <rPr>
        <sz val="11"/>
        <color theme="1"/>
        <rFont val="Times New Roman"/>
        <family val="1"/>
      </rPr>
      <t xml:space="preserve"> A valuer shall maintain integrity by being honest, straightforward, and forthright in all professional relationships.</t>
    </r>
  </si>
  <si>
    <r>
      <rPr>
        <sz val="11"/>
        <color theme="1"/>
        <rFont val="Times New Roman"/>
        <family val="1"/>
      </rPr>
      <t xml:space="preserve"> A valuer shall endeavour to ensure that he/it provides true and adequate information and shall not misrepresent any facts or situations.</t>
    </r>
  </si>
  <si>
    <r>
      <rPr>
        <sz val="11"/>
        <color theme="1"/>
        <rFont val="Times New Roman"/>
        <family val="1"/>
      </rPr>
      <t xml:space="preserve">A valuer shall not accept any fees or charges other than those which are disclosed in a written contract with the person to whom he would be rendering service. </t>
    </r>
    <r>
      <rPr>
        <b/>
        <sz val="11"/>
        <color theme="1"/>
        <rFont val="Times New Roman"/>
        <family val="1"/>
      </rPr>
      <t>Occupation, employability and restrictions.</t>
    </r>
  </si>
  <si>
    <t>1st &amp; 2nd Floor for Parking</t>
  </si>
  <si>
    <t>3rd Floor for Residential &amp; Amenties</t>
  </si>
  <si>
    <t>3BHK</t>
  </si>
  <si>
    <t>Fire Rescue Area</t>
  </si>
  <si>
    <t>Wing A</t>
  </si>
  <si>
    <t>Wing B</t>
  </si>
  <si>
    <t>Total Builtup Area</t>
  </si>
  <si>
    <t>Shops</t>
  </si>
  <si>
    <t>Flats</t>
  </si>
  <si>
    <t xml:space="preserve">As per above table </t>
  </si>
  <si>
    <t>Construction work is in process at the time of Visit (labour found)</t>
  </si>
  <si>
    <t>We considered Carpet area as per Approved Plan.</t>
  </si>
  <si>
    <t>We have considered proposed No. of Floor for Stage Calculation.</t>
  </si>
  <si>
    <t>Car parking is subjected to authentic documentation.</t>
  </si>
  <si>
    <t>Part F (Services)</t>
  </si>
  <si>
    <t>Part E (Miscellaneous)</t>
  </si>
  <si>
    <t>Part D (Amenities)</t>
  </si>
  <si>
    <t>Part C (Extra Items)</t>
  </si>
  <si>
    <t>Rate on Carpet Area
(per Sq. Ft.)</t>
  </si>
  <si>
    <t>Total Amount</t>
  </si>
  <si>
    <t>Total Amount in words</t>
  </si>
  <si>
    <t>The undersigned has inspected the property detailed in the Valuation Report dated _____________ on _____________. We are satisfied that the fair and reasonable market value of the property is Rs. _________ (Rupees ________________ only).</t>
  </si>
  <si>
    <t>Office No. J-1031, Akshar Business Park, Plot No. 03
Sector 25, Near APMC Market, Vashi, Navi Mumbai, Maharashtra 400703
TEL: 022-46090378/79/80 Email: vsjc.apf@gmail.com.
Web site: www.vsjadon.com</t>
  </si>
  <si>
    <t>As a result of my appraisal and analysis, it is my considered opinion that the realizable value of the above property in the prevailing condition with aforesaid specifications is (As per table attached to report)</t>
  </si>
  <si>
    <t>I have not been convicted of an offence connected with any proceeding under the Income Tax Act 1961, Wealth Tax Act 1957, or Gift Tax Act 1958.</t>
  </si>
  <si>
    <t>Characteristics of the Site:</t>
  </si>
  <si>
    <t xml:space="preserve">                                                             Valuation of land</t>
  </si>
  <si>
    <r>
      <rPr>
        <b/>
        <sz val="11"/>
        <color theme="1"/>
        <rFont val="Times New Roman"/>
        <family val="1"/>
      </rPr>
      <t xml:space="preserve">Our Investigations </t>
    </r>
    <r>
      <rPr>
        <sz val="11"/>
        <color theme="1"/>
        <rFont val="Times New Roman"/>
        <family val="1"/>
      </rPr>
      <t xml:space="preserve">
We are not engaged to carry out all possible investigations in relation to the subject property. Where in our report we identify certain limitations to our investigations, this is to enable the reliant party to instruct further investigations where considered appropriate or where we recommend as necessary prior to reliance. Vastukala Consultants India Pvt. Ltd. (VCIPL) is not liable for any loss occasioned by a decision not to conduct further investigations. </t>
    </r>
  </si>
  <si>
    <r>
      <rPr>
        <b/>
        <sz val="11"/>
        <color theme="1"/>
        <rFont val="Times New Roman"/>
        <family val="1"/>
      </rPr>
      <t xml:space="preserve">Assumptions </t>
    </r>
    <r>
      <rPr>
        <sz val="11"/>
        <color theme="1"/>
        <rFont val="Times New Roman"/>
        <family val="1"/>
      </rPr>
      <t xml:space="preserve">
Assumptions are a necessary part of undertaking valuations. VCIPL adopts assumptions for the purpose of providing valuation advise because some matters are not capable of accurate calculations or fall outside the scope of our expertise, or out instructions. The reliant party accepts that the valuation contains certain specific assumptions and acknowledge and accept the risk of that if any of the assumptions adopted in the valuation are incorrect, then this may have an effect on the valuation. </t>
    </r>
  </si>
  <si>
    <r>
      <rPr>
        <b/>
        <sz val="11"/>
        <color theme="1"/>
        <rFont val="Times New Roman"/>
        <family val="1"/>
      </rPr>
      <t xml:space="preserve">Information Supplied by Others </t>
    </r>
    <r>
      <rPr>
        <sz val="11"/>
        <color theme="1"/>
        <rFont val="Times New Roman"/>
        <family val="1"/>
      </rPr>
      <t xml:space="preserve">
The appraisal is based on the information provided by the client. The same has been assumed to be correct and has been used for appraisal exercise. Where it is stated in the report that another party has supplied information to VCIPL, this information is believed to be reliable but VCIPL can accept no responsibility if this should prove not to be so. </t>
    </r>
  </si>
  <si>
    <r>
      <rPr>
        <b/>
        <sz val="11"/>
        <color theme="1"/>
        <rFont val="Times New Roman"/>
        <family val="1"/>
      </rPr>
      <t>Future Matters</t>
    </r>
    <r>
      <rPr>
        <sz val="11"/>
        <color theme="1"/>
        <rFont val="Times New Roman"/>
        <family val="1"/>
      </rPr>
      <t xml:space="preserve"> 
To the extent that the valuation includes any statement as to a future matter, that statement is provided as an estimate and/or opinion based on the information known to VCIPL at the date of this document. VCIPL does not warrant that such statements are accurate or correct. </t>
    </r>
  </si>
  <si>
    <r>
      <rPr>
        <b/>
        <sz val="11"/>
        <color theme="1"/>
        <rFont val="Times New Roman"/>
        <family val="1"/>
      </rPr>
      <t xml:space="preserve">Map and Plans </t>
    </r>
    <r>
      <rPr>
        <sz val="11"/>
        <color theme="1"/>
        <rFont val="Times New Roman"/>
        <family val="1"/>
      </rPr>
      <t xml:space="preserve">
Any sketch, plan or map in this report is included to assist the reader while visualising the property and assume no responsibility in connection with such matters. </t>
    </r>
  </si>
  <si>
    <r>
      <rPr>
        <b/>
        <sz val="11"/>
        <color theme="1"/>
        <rFont val="Times New Roman"/>
        <family val="1"/>
      </rPr>
      <t xml:space="preserve">Site Details </t>
    </r>
    <r>
      <rPr>
        <sz val="11"/>
        <color theme="1"/>
        <rFont val="Times New Roman"/>
        <family val="1"/>
      </rPr>
      <t xml:space="preserve">
Based on inputs received from Client's representative and site visit conducted, we understand that the subject property is currently a Building Under Construction work is in progress contiguous and non-agricultural land parcel admeasuring as per table attached to the report and in the name M/s. Starwing Real Estate Company. Further, VCIPL has assumed that the subject property is free from any encroachment and is available as on the date of the appraisal.</t>
    </r>
  </si>
  <si>
    <r>
      <rPr>
        <b/>
        <sz val="11"/>
        <color theme="1"/>
        <rFont val="Times New Roman"/>
        <family val="1"/>
      </rPr>
      <t>Property Title</t>
    </r>
    <r>
      <rPr>
        <sz val="11"/>
        <color theme="1"/>
        <rFont val="Times New Roman"/>
        <family val="1"/>
      </rPr>
      <t xml:space="preserve">
Based on our discussion with the Client, we understand that the subject property is owned by M/s. Starwing Real Estate Company. For the purpose of this appraisal exercise, we have assumed that the subject property has a clear title and is free from any encumbrances, disputes and claims. VCIPL has made no further enquiries with the relevant local authorities in this regard and does not certify the property as having a clear and marketable title. Further, no legal advice regarding the title and ownership of the subject property has been obtained for the purpose of this appraisal exercise. It has been assumed that the title deeds are clear and marketable.</t>
    </r>
  </si>
  <si>
    <r>
      <rPr>
        <b/>
        <sz val="11"/>
        <color theme="1"/>
        <rFont val="Times New Roman"/>
        <family val="1"/>
      </rPr>
      <t>Area</t>
    </r>
    <r>
      <rPr>
        <sz val="11"/>
        <color theme="1"/>
        <rFont val="Times New Roman"/>
        <family val="1"/>
      </rPr>
      <t xml:space="preserve">
Based on the information provided by the Client's representative, we understand that the subject property is a Building Under Construction work is in progress, contiguous and non-agricultural land parcel admeasuring as per table attached to the report. </t>
    </r>
  </si>
  <si>
    <r>
      <rPr>
        <b/>
        <sz val="11"/>
        <color theme="1"/>
        <rFont val="Times New Roman"/>
        <family val="1"/>
      </rPr>
      <t>Environmental Conditions</t>
    </r>
    <r>
      <rPr>
        <sz val="11"/>
        <color theme="1"/>
        <rFont val="Times New Roman"/>
        <family val="1"/>
      </rPr>
      <t xml:space="preserve">
We have assumed that the subject property is not contaminated and is not adversely affected by any existing or proposed environmental law and any processes which are carried out on the property are regulated by environmental legislation and are properly licensed by the appropriate authorities.</t>
    </r>
  </si>
  <si>
    <r>
      <rPr>
        <b/>
        <sz val="11"/>
        <color theme="1"/>
        <rFont val="Times New Roman"/>
        <family val="1"/>
      </rPr>
      <t>Town Planning</t>
    </r>
    <r>
      <rPr>
        <sz val="11"/>
        <color theme="1"/>
        <rFont val="Times New Roman"/>
        <family val="1"/>
      </rPr>
      <t xml:space="preserve">
The permissible land use, zoning, achievable FSI, area statement adopted for purpose of this valuation is based on the information provided by the Client's representative and the same has been adopted for this valuation purpose. VCIPL has assumed the same to be correct and permissible. VCIPL has not validated the same from any authority.</t>
    </r>
  </si>
  <si>
    <r>
      <rPr>
        <b/>
        <sz val="11"/>
        <color theme="1"/>
        <rFont val="Times New Roman"/>
        <family val="1"/>
      </rPr>
      <t>Valuation Methodology</t>
    </r>
    <r>
      <rPr>
        <sz val="11"/>
        <color theme="1"/>
        <rFont val="Times New Roman"/>
        <family val="1"/>
      </rPr>
      <t xml:space="preserve">
For the purpose of this valuation exercise, the valuation methodology used is Direct Comparison Approach Method and proposed Highest and Best Use model is used for analysing development potential.
The Direct Comparison Approach involves a comparison of the property being valued to similar properties that have actually been sold in arms length transactions or are offered for sale. This approach demonstrates what buyers have historically been willing to pay (and sellers willing to accept) for similiar properties in an open and competitive market and is particularly useful in estimating the value of the land and properties that are typically traded on a unit basis.
In case of inadequate recent transaction activity in the subject micro-market, the appraiser would collate details of older transactions. Subsequently, the appraiser would analyse rental / capital value trends in the subject micro-market in order to calculate the percentage increase/decrease in values since the date of the identified transactions. This percentage would then be adopted to project the current value of the same.
Where reliance has been placed upon external sources of information in applying the valuation methodologies, unless otherwise specifically instructed by Client and/or stated in the valuation, VCIPL has not independently verified that information and VCIPL does not advise nor accept it as reliable. The person or entity to whom the report is addressed acknowledges and accepts the risk that if any of the unverified information in the valuation is incorrect, then this may have an effect on the valuation. </t>
    </r>
  </si>
  <si>
    <r>
      <rPr>
        <b/>
        <sz val="11"/>
        <color theme="1"/>
        <rFont val="Times New Roman"/>
        <family val="1"/>
      </rPr>
      <t>Not a Structural Survey</t>
    </r>
    <r>
      <rPr>
        <sz val="11"/>
        <color theme="1"/>
        <rFont val="Times New Roman"/>
        <family val="1"/>
      </rPr>
      <t xml:space="preserve">
We state that this is a valuation report and not a structural survey</t>
    </r>
  </si>
  <si>
    <r>
      <rPr>
        <b/>
        <sz val="11"/>
        <color theme="1"/>
        <rFont val="Times New Roman"/>
        <family val="1"/>
      </rPr>
      <t>Other</t>
    </r>
    <r>
      <rPr>
        <sz val="11"/>
        <color theme="1"/>
        <rFont val="Times New Roman"/>
        <family val="1"/>
      </rPr>
      <t xml:space="preserve">
All measurements, areas and ages quoted in our report are approximate</t>
    </r>
  </si>
  <si>
    <r>
      <rPr>
        <b/>
        <sz val="11"/>
        <color theme="1"/>
        <rFont val="Times New Roman"/>
        <family val="1"/>
      </rPr>
      <t>Legal</t>
    </r>
    <r>
      <rPr>
        <sz val="11"/>
        <color theme="1"/>
        <rFont val="Times New Roman"/>
        <family val="1"/>
      </rPr>
      <t xml:space="preserve">
We have not made any allowances with respect to any existing or proposed local legislation relating to taxation on realization of the sale value of the subject property. VCIPL is not required to give testimony or to appear in court by reason of this appraisal report, with reference to the property in question, unless arrangement has been made thereof. Further, no legal advice on any aspects has been obtained for the purpose of this appraisal exercise.</t>
    </r>
  </si>
  <si>
    <r>
      <rPr>
        <b/>
        <sz val="11"/>
        <color theme="1"/>
        <rFont val="Times New Roman"/>
        <family val="1"/>
      </rPr>
      <t>Property specific assumptions</t>
    </r>
    <r>
      <rPr>
        <sz val="11"/>
        <color theme="1"/>
        <rFont val="Times New Roman"/>
        <family val="1"/>
      </rPr>
      <t xml:space="preserve">
Based on inputs received from the client and site visit conducted, we understand that the subject property is currently Building Under Construction work is in progress, contiguous and non-agricultural land parcel admeasuring area as per table attached to the report.</t>
    </r>
  </si>
  <si>
    <t>֎</t>
  </si>
  <si>
    <r>
      <rPr>
        <b/>
        <sz val="11"/>
        <color theme="1"/>
        <rFont val="Times New Roman"/>
        <family val="1"/>
      </rPr>
      <t>Condition &amp; Repair</t>
    </r>
    <r>
      <rPr>
        <sz val="11"/>
        <color theme="1"/>
        <rFont val="Times New Roman"/>
        <family val="1"/>
      </rPr>
      <t xml:space="preserve">
In the absence of any information to the contrary, we have assumed that there are no abnormal ground conditions, nor archaeological remains present which might adversely affect the current or future occupation, al remains present which might adversely affect the struct development or value of the property. The property is free from rat, infestation, structural or latent defect. No currently known deleterious or hazardous materials or suspect techniques will be used in the construction of or subsequent alteration or additions to the property and comments made in the property details do not purport to express an opinion about, or advise upon, the condition of uninspected parts and should not be taken as making an implied representation or statement about such parts.</t>
    </r>
  </si>
  <si>
    <t>Rera No &amp; Name.</t>
  </si>
  <si>
    <t>1. a)</t>
  </si>
  <si>
    <t>1. b)</t>
  </si>
  <si>
    <t>1. c)</t>
  </si>
  <si>
    <t>Residential Units (As per approved Plan)</t>
  </si>
  <si>
    <t>Residential Units (As per Proposed by builder)</t>
  </si>
  <si>
    <t>As per approved Plans</t>
  </si>
  <si>
    <t>As per Proposed Plans</t>
  </si>
  <si>
    <t>Commercial Area Details : (As per Approved Plans)</t>
  </si>
  <si>
    <t>Residential Area Details : (As per Approved Plans)</t>
  </si>
  <si>
    <t>Residential Area Details : (Proposed)</t>
  </si>
  <si>
    <t>Particulars (As per Approved Flan)</t>
  </si>
  <si>
    <t>Particulars (Proposed)</t>
  </si>
  <si>
    <t>Building No. 1= Gr + 1st + 15th Floor</t>
  </si>
  <si>
    <t>Ground</t>
  </si>
  <si>
    <t>Podium</t>
  </si>
  <si>
    <t>Floors</t>
  </si>
  <si>
    <t xml:space="preserve">Stage of construction: </t>
  </si>
  <si>
    <t>All work Completed. OC Received.</t>
  </si>
  <si>
    <t>Type of Work</t>
  </si>
  <si>
    <t>Project Progress %</t>
  </si>
  <si>
    <t>Slab/Floor</t>
  </si>
  <si>
    <t>Complition %</t>
  </si>
  <si>
    <t>Progress %</t>
  </si>
  <si>
    <t>Piling Work in process</t>
  </si>
  <si>
    <t>Excavation</t>
  </si>
  <si>
    <t>Excavation in process</t>
  </si>
  <si>
    <t>Excavation Completed</t>
  </si>
  <si>
    <t>RCC (Including podiums)</t>
  </si>
  <si>
    <t>Footing in Process</t>
  </si>
  <si>
    <t>Brickwork</t>
  </si>
  <si>
    <t>Footing Completed</t>
  </si>
  <si>
    <t>Internal Plaster</t>
  </si>
  <si>
    <t>Basement 1</t>
  </si>
  <si>
    <t>Ext. Plaster &amp; Plumbing</t>
  </si>
  <si>
    <t>Basement 2</t>
  </si>
  <si>
    <t>Flooring &amp; Fitting</t>
  </si>
  <si>
    <t>Basement 3</t>
  </si>
  <si>
    <t>Painting &amp; Wooden</t>
  </si>
  <si>
    <t>Basement 4</t>
  </si>
  <si>
    <t>Building Common Amenities</t>
  </si>
  <si>
    <t>Plinth in process</t>
  </si>
  <si>
    <t>Possession</t>
  </si>
  <si>
    <t>Plinth completed</t>
  </si>
  <si>
    <t>Construction Details: As per Proposed No of Floors</t>
  </si>
  <si>
    <t>Completion period of project (As per Rera)</t>
  </si>
  <si>
    <t>Thane</t>
  </si>
  <si>
    <t>Palghar</t>
  </si>
  <si>
    <t>Mumbai</t>
  </si>
  <si>
    <t>Pune</t>
  </si>
  <si>
    <t>Mokhada</t>
  </si>
  <si>
    <t>Andheri</t>
  </si>
  <si>
    <t>Alibag</t>
  </si>
  <si>
    <t>Pune City</t>
  </si>
  <si>
    <t>Shahpur</t>
  </si>
  <si>
    <t>Talasari</t>
  </si>
  <si>
    <t>Borivali</t>
  </si>
  <si>
    <t>Haveli</t>
  </si>
  <si>
    <t>Kalyan</t>
  </si>
  <si>
    <t>Vasai</t>
  </si>
  <si>
    <t>Kurla</t>
  </si>
  <si>
    <t>Uran</t>
  </si>
  <si>
    <t>Khed</t>
  </si>
  <si>
    <t>Bhiwandi</t>
  </si>
  <si>
    <t>Vikramgad</t>
  </si>
  <si>
    <t>Karjat</t>
  </si>
  <si>
    <t>Baramati</t>
  </si>
  <si>
    <t>Ulhasnagar</t>
  </si>
  <si>
    <t>Khalapur</t>
  </si>
  <si>
    <t>Junnar</t>
  </si>
  <si>
    <t>Ambernath</t>
  </si>
  <si>
    <t>Dahanu</t>
  </si>
  <si>
    <t>Pen</t>
  </si>
  <si>
    <t>Shirur</t>
  </si>
  <si>
    <t>Murbad</t>
  </si>
  <si>
    <t>Wada</t>
  </si>
  <si>
    <t>Sudhagad</t>
  </si>
  <si>
    <t>Indapur</t>
  </si>
  <si>
    <t>Mahad</t>
  </si>
  <si>
    <t>Daund</t>
  </si>
  <si>
    <t>Roha</t>
  </si>
  <si>
    <t>Mawal</t>
  </si>
  <si>
    <t>Mangaon</t>
  </si>
  <si>
    <t>Ambegaon</t>
  </si>
  <si>
    <t>Poladpur</t>
  </si>
  <si>
    <t>Purandhar</t>
  </si>
  <si>
    <t>Mahasala</t>
  </si>
  <si>
    <t>Bhor</t>
  </si>
  <si>
    <t>Shriwardhan</t>
  </si>
  <si>
    <t>Mulshi</t>
  </si>
  <si>
    <t>Murud</t>
  </si>
  <si>
    <t>Velhe</t>
  </si>
  <si>
    <t>Slum Rehabilitation Authority (SRA)</t>
  </si>
  <si>
    <t>Navi Mumbai Municipal Corporation (NMMC)</t>
  </si>
  <si>
    <t>Panvel Municipal Corporation</t>
  </si>
  <si>
    <t>Vasai-Virar City Municipal Corporation. (VVCMC)</t>
  </si>
  <si>
    <t>Municipal Corporation of Greater Mumbai (MCGM)</t>
  </si>
  <si>
    <t>Thane Muncipal Cooperation (TMC)</t>
  </si>
  <si>
    <t>City and Industrial Development Corporation (CIDCO)</t>
  </si>
  <si>
    <t>Collector Of Palghar</t>
  </si>
  <si>
    <t>Maharashtra Housing and Area Development Authority(MHADA)</t>
  </si>
  <si>
    <t>Kalyan Dombivli Municipal Corporation (KMDC)</t>
  </si>
  <si>
    <t>Maharashtra State Road Development Corporation Limited (MSRDC)</t>
  </si>
  <si>
    <t>Town Planner, Palghar</t>
  </si>
  <si>
    <t>Mumbai Metropolitan Region Development Authority (MMRDA)</t>
  </si>
  <si>
    <t>Ambernath Municipal Council (AMC)</t>
  </si>
  <si>
    <t>Navi Mumbai Airport Influence Notified Area (NAINA)</t>
  </si>
  <si>
    <t>Kulgoan Badlapur Municipal Council</t>
  </si>
  <si>
    <t>Pen Municipal Council</t>
  </si>
  <si>
    <t>Town Planning Thane</t>
  </si>
  <si>
    <t>Raigad Zilha Parishad</t>
  </si>
  <si>
    <t>Ulhasnagar Municipal Corporation</t>
  </si>
  <si>
    <t>Roha Municipal Council</t>
  </si>
  <si>
    <t>Nagar Rachana Ani Mulya Nirdharan Vibhag Thane</t>
  </si>
  <si>
    <t>Collector Of Raigad</t>
  </si>
  <si>
    <t>Bhiwandi Nizampur City Municipal Corporation</t>
  </si>
  <si>
    <t>Maharashtra Industrial Development Corporation (MIDC)</t>
  </si>
  <si>
    <t>Mira-Bhayandar Municipal Corporation</t>
  </si>
  <si>
    <t>Latitude, Longitude of the site</t>
  </si>
  <si>
    <t>Flexible Pavement</t>
  </si>
  <si>
    <t>Superstructure</t>
  </si>
  <si>
    <t xml:space="preserve">Name of Municipal Corporation / Authority  </t>
  </si>
  <si>
    <t>Construction details:</t>
  </si>
  <si>
    <t>Disbursement %</t>
  </si>
  <si>
    <t>Brickwork &amp; Internal Plaster</t>
  </si>
  <si>
    <t>External Plaster &amp; Plumbing</t>
  </si>
  <si>
    <t>As per RERA (sq.m)</t>
  </si>
  <si>
    <t>As per Approved Plan (sq.m)</t>
  </si>
  <si>
    <t xml:space="preserve">Cost of construction in Rs. 
( per Sq.
Ft.)
</t>
  </si>
  <si>
    <t>Approx Rent per month
in Rs.</t>
  </si>
  <si>
    <t>3rd</t>
  </si>
  <si>
    <t>4th</t>
  </si>
  <si>
    <t>5th</t>
  </si>
  <si>
    <t>6th</t>
  </si>
  <si>
    <t>7th</t>
  </si>
  <si>
    <t xml:space="preserve">14th </t>
  </si>
  <si>
    <t xml:space="preserve">15th </t>
  </si>
  <si>
    <t xml:space="preserve">16th </t>
  </si>
  <si>
    <t xml:space="preserve">17th </t>
  </si>
  <si>
    <t>14th</t>
  </si>
  <si>
    <t>15th</t>
  </si>
  <si>
    <t>16th</t>
  </si>
  <si>
    <t>17th</t>
  </si>
  <si>
    <t>18th</t>
  </si>
  <si>
    <t xml:space="preserve">Ground </t>
  </si>
  <si>
    <t xml:space="preserve">For Residential = </t>
  </si>
  <si>
    <t xml:space="preserve">For Land = </t>
  </si>
  <si>
    <t>Realizable Value</t>
  </si>
  <si>
    <t>SBI, Belapur, Navi Mumbai.</t>
  </si>
  <si>
    <t>Amenties</t>
  </si>
  <si>
    <t>Recommended Total Realizable Value should be considered as all inclusive value (Base Value + Other Charges + GST). (Excluding other government Taxes)</t>
  </si>
  <si>
    <t>Gross Carpet Area 
(in Sq. Ft.)</t>
  </si>
  <si>
    <t>Attached
Loft
Area
(in Sq.
Ft.)</t>
  </si>
  <si>
    <t>Total Realizable Value
in Rs.</t>
  </si>
  <si>
    <t>Amenities
in Rs.</t>
  </si>
  <si>
    <t>Realizable
Value
in Rs.</t>
  </si>
  <si>
    <t>Rate per
Sq.Ft.</t>
  </si>
  <si>
    <t>Flat Type</t>
  </si>
  <si>
    <t>Terrace Area
(in Sq. Ft.)</t>
  </si>
  <si>
    <t>Attached
Otla
Area
(in Sq.
Ft.)</t>
  </si>
  <si>
    <t>M/S. Mansh Builder And Developer</t>
  </si>
  <si>
    <t>Bhaveshwar Callista 3</t>
  </si>
  <si>
    <t>Plot No. 10C, Sector 16E, Kalamboli, Tal - Panvel, Dist - Raigad</t>
  </si>
  <si>
    <t>reference from CRZ, Airport NOC</t>
  </si>
  <si>
    <t>Bhaveshwar Callista 3 bearing MahaRERA registration No. P52000051002. Project is located in Kalamboli, Panvel. This project will be developed by M/s. Mansh Builder And Developer. Project is approved for Ground + 16 Upper Floors but it is proposed for Ground + 23rd Upper Floors. Project consists 1BHK, 2BHK, 3BHK, Different types of amenties, Good space for parking and so on.</t>
  </si>
  <si>
    <t>P52000051002</t>
  </si>
  <si>
    <t>10C</t>
  </si>
  <si>
    <t>16E</t>
  </si>
  <si>
    <t>Kalamboli</t>
  </si>
  <si>
    <t>Other Plot</t>
  </si>
  <si>
    <t>15M Wide Rd</t>
  </si>
  <si>
    <t>30M Wide Rd</t>
  </si>
  <si>
    <t>Kalamboli Link Rd</t>
  </si>
  <si>
    <t>Bhaveshwar Callista 1 &amp; 2</t>
  </si>
  <si>
    <t>Roadpali Lake Rd</t>
  </si>
  <si>
    <t>Plot Area = 1949.96</t>
  </si>
  <si>
    <t>RERA site Data Not Available</t>
  </si>
  <si>
    <t xml:space="preserve">SCHOOL :
Balaji International School  - 750m
MES Dyanmandir School - 1.2Km
</t>
  </si>
  <si>
    <t xml:space="preserve">SHOPPING :
Dmart Kalamboli - 1.3Km
Kalamboli Bhaji Market - 2.5Km
</t>
  </si>
  <si>
    <t xml:space="preserve">HOSPITALS :
Asha Multispeciality Hospital - 1.0Km
Dolphins Hospital - 1.4Km
</t>
  </si>
  <si>
    <t xml:space="preserve">PETROL PUMP : 
Bharat Petroleum Petrol &amp; CNG pump - 2.1Km
</t>
  </si>
  <si>
    <t>Indoor Games, Yoga Zone, Fitness Center, Aerobics, Multipurpose
Hall, Spa Area, Library, Drivers Room, Society Office &amp; Etc.</t>
  </si>
  <si>
    <t>Plan date : CARPC/RB/2024/APL/00129
Valid upto Date :  NA</t>
  </si>
  <si>
    <t xml:space="preserve"> 25/10/2024</t>
  </si>
  <si>
    <t>CARPC/RB/2024/APL/00129</t>
  </si>
  <si>
    <t>G + 1st to 16th Floor</t>
  </si>
  <si>
    <t>G + 1st to 23rd Floor</t>
  </si>
  <si>
    <t>Gr. + 1st to 23rd Floor</t>
  </si>
  <si>
    <t>Ground Floor For Commercial, Entrance Lobby, Meter Room &amp; Parking</t>
  </si>
  <si>
    <t>1st to 4th Floor for Parking</t>
  </si>
  <si>
    <t>6th Floor for Residential</t>
  </si>
  <si>
    <t>8th</t>
  </si>
  <si>
    <t>9th</t>
  </si>
  <si>
    <t>10th</t>
  </si>
  <si>
    <t>11th</t>
  </si>
  <si>
    <t>13th</t>
  </si>
  <si>
    <t>19th</t>
  </si>
  <si>
    <t>20th</t>
  </si>
  <si>
    <t>21st</t>
  </si>
  <si>
    <t>22nd</t>
  </si>
  <si>
    <t>23rd</t>
  </si>
  <si>
    <t>7th Floor (Refuge Area at midlanding of Staircase)</t>
  </si>
  <si>
    <t>12th Floor (Refuge Area at midlanding of Staircase)</t>
  </si>
  <si>
    <t>12th</t>
  </si>
  <si>
    <t>Shop - 18, Flats - 132</t>
  </si>
  <si>
    <r>
      <t xml:space="preserve">Name: </t>
    </r>
    <r>
      <rPr>
        <b/>
        <sz val="11"/>
        <color theme="1"/>
        <rFont val="Times New Roman"/>
        <family val="1"/>
      </rPr>
      <t>Mansh Builder And Developer</t>
    </r>
    <r>
      <rPr>
        <sz val="11"/>
        <color theme="1"/>
        <rFont val="Times New Roman"/>
        <family val="1"/>
      </rPr>
      <t xml:space="preserve">
Address: Flat No. 203, Navnirman CHS, Sector 11, Plot No. 34, Kharghar, Navi Mumbai</t>
    </r>
  </si>
  <si>
    <t>Located in developing area, surrounded by projects like Springdale Apartment, Valencia CHS, etc with close proximity to Schools, Markets and Hospitals.</t>
  </si>
  <si>
    <t>CRZ NOC No:
Valid Upto</t>
  </si>
  <si>
    <t>CRZ2021/CR210/TC 4</t>
  </si>
  <si>
    <t>NAVI/WEST/B/100621/627158</t>
  </si>
  <si>
    <t>Valid upto date</t>
  </si>
  <si>
    <t>PMC/FIRE/2023/533</t>
  </si>
  <si>
    <t>During site visit, We met Mr. Siddharth 7045823115</t>
  </si>
  <si>
    <t>Copy of following items
1. Approved Layout Plan 
CARPC/RB/2024/APL/00129
Date : 25/10/2024
2. Approved Floor Plan
CARPC/RB/2024/APL/00129
Date : 25/10/2024
3. Approved Commencement Certificate
CARPC/RB/2024/APL/00129
Date : 25/10/2024
4. RERA Certificate
5. CRZ NOC 
CRZ2021/CR210/TC 4
Date - 25/10/2024
6. Airport Noc
NAVI/WEST/B/100621/627158
Date - 02/06/2023
7. Fire Noc 
PMC/FIRE/2023/533
Date - 29/03/2023</t>
  </si>
  <si>
    <t>Tricity Aura</t>
  </si>
  <si>
    <t>Regular</t>
  </si>
  <si>
    <t>Commencement-CC No:
Valid Upto</t>
  </si>
  <si>
    <t>Airport NOC  No:
Valid Upto</t>
  </si>
  <si>
    <t>Site Elevation in mtr (AMSL) = 5.24m
Top Elevation in mtr (AMSL) = 109.8m (Restricted)</t>
  </si>
  <si>
    <t>Fire NOC No:
Valid Upto</t>
  </si>
  <si>
    <t>G + 1st to 4th Podium + 5th Amenity + 6th to 17th Upper Floor (Height = 55.80m)</t>
  </si>
  <si>
    <t>5th Floor For Swimming Pool, Indoor Games, Yoga Zone, Fitness Center, Aerobics, Multipurpose Hall, Spa Area,
Library, Drivers Room &amp; Society Office</t>
  </si>
  <si>
    <t xml:space="preserve">Cost of Construction
(Builtup Area (Sq.ft) x Rate of construction(₹ 2500))
</t>
  </si>
  <si>
    <t>Please note proposed area calculation of above project (i.e 84 Flats) should be not be considered for valuation till  authority approve revised plans</t>
  </si>
  <si>
    <t>Site Inspection Engineer - Mayur Ranavare</t>
  </si>
  <si>
    <r>
      <t xml:space="preserve">The property under construction was purchased by </t>
    </r>
    <r>
      <rPr>
        <b/>
        <sz val="11"/>
        <color theme="1"/>
        <rFont val="Times New Roman"/>
        <family val="1"/>
      </rPr>
      <t>Mansh Builder And Developer</t>
    </r>
  </si>
  <si>
    <r>
      <t xml:space="preserve">Loan Purpose for State Bank of India, </t>
    </r>
    <r>
      <rPr>
        <b/>
        <sz val="11"/>
        <color theme="1"/>
        <rFont val="Times New Roman"/>
        <family val="1"/>
      </rPr>
      <t>(Belapur)</t>
    </r>
  </si>
  <si>
    <r>
      <t>The information furnished in my valuation report dated (</t>
    </r>
    <r>
      <rPr>
        <b/>
        <sz val="11"/>
        <color theme="1"/>
        <rFont val="Times New Roman"/>
        <family val="1"/>
      </rPr>
      <t>29/08/2025</t>
    </r>
    <r>
      <rPr>
        <sz val="11"/>
        <color theme="1"/>
        <rFont val="Times New Roman"/>
        <family val="1"/>
      </rPr>
      <t>) is true and correct to the best of my knowledge and belief and I have made an impartial and true valuation of the property.</t>
    </r>
  </si>
  <si>
    <r>
      <t xml:space="preserve">I have personally inspected the property on </t>
    </r>
    <r>
      <rPr>
        <b/>
        <sz val="11"/>
        <color theme="1"/>
        <rFont val="Times New Roman"/>
        <family val="1"/>
      </rPr>
      <t>(29/08/2025).</t>
    </r>
    <r>
      <rPr>
        <sz val="11"/>
        <color theme="1"/>
        <rFont val="Times New Roman"/>
        <family val="1"/>
      </rPr>
      <t xml:space="preserve"> The work is not subcontracted to any other valuer and carried out by myself.</t>
    </r>
  </si>
  <si>
    <r>
      <rPr>
        <b/>
        <sz val="11"/>
        <color theme="1"/>
        <rFont val="Times New Roman"/>
        <family val="1"/>
      </rPr>
      <t xml:space="preserve">Value Subject to Change </t>
    </r>
    <r>
      <rPr>
        <sz val="11"/>
        <color theme="1"/>
        <rFont val="Times New Roman"/>
        <family val="1"/>
      </rPr>
      <t xml:space="preserve">
The subject appraisal exercise is based on prevailing market dynamics as on </t>
    </r>
    <r>
      <rPr>
        <b/>
        <sz val="11"/>
        <color theme="1"/>
        <rFont val="Times New Roman"/>
        <family val="1"/>
      </rPr>
      <t>26/08/2025</t>
    </r>
    <r>
      <rPr>
        <sz val="11"/>
        <color theme="1"/>
        <rFont val="Times New Roman"/>
        <family val="1"/>
      </rPr>
      <t xml:space="preserve"> and does not take into account any unforeseeable developments which could impact the same in the future. </t>
    </r>
  </si>
  <si>
    <t>Recommeded Rate of Single parking in ₹ 4,00,000/-</t>
  </si>
  <si>
    <t>Note: Total Realizable Value is exclusive of Car Parking Value. Recommeded Rate of Single parking should be considered as 
₹ 4,00,000/- Car parking is subjected to authentic documentation.</t>
  </si>
  <si>
    <t xml:space="preserve">One arab forty three crore seventy seven lakh twenty six thousand six hundred forty one </t>
  </si>
  <si>
    <r>
      <t xml:space="preserve">The sales comparison approach is commonly used for Residential Flat, where there are typically many comparable available to analyze. As the property is a residential flat, we have adopted Sale comparision Approach Method for the purpose of valuation. The Price for similiar type of property in nearby vicinity is in the range of 15000₹ to 16000₹ per sq.ft on carpet Area for Flats. Considering the rate with attacted report, current market conditions, demand and supply position, Flat Size, loaction, upswing in real estate prices, sustained demand for Residential Flat, all round development of commercial and residential application in the locality etc. We have estimated </t>
    </r>
    <r>
      <rPr>
        <b/>
        <sz val="11"/>
        <color theme="1"/>
        <rFont val="Times New Roman"/>
        <family val="1"/>
      </rPr>
      <t>15700₹</t>
    </r>
    <r>
      <rPr>
        <sz val="11"/>
        <color theme="1"/>
        <rFont val="Times New Roman"/>
        <family val="1"/>
      </rPr>
      <t xml:space="preserve"> per sq.ft on carpet area for Flats.</t>
    </r>
  </si>
  <si>
    <t>We considered Gross carpet area = Net carpet.</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</si>
</sst>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quot;₹&quot;\ * #,##0_ ;_ &quot;₹&quot;\ * \-#,##0_ ;_ &quot;₹&quot;\ * &quot;-&quot;??_ ;_ @_ "/>
    <numFmt numFmtId="165" formatCode="&quot;₹&quot;\ #,##0"/>
    <numFmt numFmtId="166" formatCode="_ * #,##0_ ;_ * \-#,##0_ ;_ * &quot;-&quot;??_ ;_ @_ "/>
    <numFmt numFmtId="167" formatCode="&quot;₹&quot;\ #,##0.00"/>
  </numFmts>
  <fonts count="42" x14ac:knownFonts="1">
    <font>
      <sz val="11"/>
      <color theme="1"/>
      <name val="Calibri"/>
      <family val="2"/>
      <scheme val="minor"/>
    </font>
    <font>
      <sz val="11"/>
      <color indexed="8"/>
      <name val="Calibri"/>
      <family val="2"/>
    </font>
    <font>
      <sz val="11"/>
      <color indexed="8"/>
      <name val="Calibri"/>
      <family val="2"/>
    </font>
    <font>
      <b/>
      <sz val="11"/>
      <color indexed="8"/>
      <name val="Times New Roman"/>
      <family val="1"/>
    </font>
    <font>
      <b/>
      <sz val="10"/>
      <color indexed="8"/>
      <name val="Times New Roman"/>
      <family val="1"/>
    </font>
    <font>
      <sz val="10"/>
      <name val="Arial"/>
      <family val="2"/>
    </font>
    <font>
      <b/>
      <sz val="11"/>
      <name val="Times New Roman"/>
      <family val="1"/>
    </font>
    <font>
      <b/>
      <u/>
      <sz val="11"/>
      <color indexed="8"/>
      <name val="Times New Roman"/>
      <family val="1"/>
    </font>
    <font>
      <u/>
      <sz val="11"/>
      <color theme="10"/>
      <name val="Calibri"/>
      <family val="2"/>
    </font>
    <font>
      <sz val="10"/>
      <color theme="1"/>
      <name val="Verdana"/>
      <family val="2"/>
    </font>
    <font>
      <b/>
      <sz val="11"/>
      <color theme="1"/>
      <name val="Calibri"/>
      <family val="2"/>
      <scheme val="minor"/>
    </font>
    <font>
      <sz val="11"/>
      <color rgb="FFFF0000"/>
      <name val="Calibri"/>
      <family val="2"/>
      <scheme val="minor"/>
    </font>
    <font>
      <sz val="11"/>
      <color theme="1"/>
      <name val="Times New Roman"/>
      <family val="1"/>
    </font>
    <font>
      <b/>
      <sz val="11"/>
      <color theme="1"/>
      <name val="Times New Roman"/>
      <family val="1"/>
    </font>
    <font>
      <b/>
      <sz val="10"/>
      <color theme="1"/>
      <name val="Times New Roman"/>
      <family val="1"/>
    </font>
    <font>
      <b/>
      <sz val="12"/>
      <color theme="1"/>
      <name val="Times New Roman"/>
      <family val="1"/>
    </font>
    <font>
      <b/>
      <sz val="14"/>
      <color theme="1"/>
      <name val="Times New Roman"/>
      <family val="1"/>
    </font>
    <font>
      <sz val="11"/>
      <color theme="1"/>
      <name val="Calibri"/>
      <family val="2"/>
      <scheme val="minor"/>
    </font>
    <font>
      <b/>
      <sz val="11.5"/>
      <color indexed="8"/>
      <name val="Times New Roman"/>
      <family val="1"/>
    </font>
    <font>
      <sz val="9"/>
      <color indexed="81"/>
      <name val="Tahoma"/>
      <family val="2"/>
    </font>
    <font>
      <b/>
      <sz val="9"/>
      <color indexed="81"/>
      <name val="Tahoma"/>
      <family val="2"/>
    </font>
    <font>
      <sz val="11"/>
      <color rgb="FFFF0000"/>
      <name val="Times New Roman"/>
      <family val="1"/>
    </font>
    <font>
      <b/>
      <sz val="14"/>
      <color indexed="8"/>
      <name val="Times New Roman"/>
      <family val="1"/>
    </font>
    <font>
      <sz val="11"/>
      <color rgb="FF333333"/>
      <name val="Arial"/>
      <family val="2"/>
    </font>
    <font>
      <sz val="11"/>
      <name val="Times New Roman"/>
      <family val="1"/>
    </font>
    <font>
      <u/>
      <sz val="11"/>
      <color theme="10"/>
      <name val="Times New Roman"/>
      <family val="1"/>
    </font>
    <font>
      <sz val="11"/>
      <color indexed="8"/>
      <name val="Times New Roman"/>
      <family val="1"/>
    </font>
    <font>
      <sz val="11"/>
      <color theme="1"/>
      <name val="Calibri"/>
      <family val="2"/>
    </font>
    <font>
      <sz val="10"/>
      <color theme="1"/>
      <name val="Times New Roman"/>
      <family val="1"/>
    </font>
    <font>
      <sz val="10"/>
      <color rgb="FF000000"/>
      <name val="Times New Roman"/>
      <family val="1"/>
    </font>
    <font>
      <sz val="16"/>
      <color indexed="81"/>
      <name val="Tahoma"/>
      <family val="2"/>
    </font>
    <font>
      <b/>
      <sz val="11"/>
      <color rgb="FFFF0000"/>
      <name val="Times New Roman"/>
      <family val="1"/>
    </font>
    <font>
      <sz val="12"/>
      <name val="Times New Roman"/>
      <family val="1"/>
    </font>
    <font>
      <sz val="12"/>
      <color theme="1"/>
      <name val="Times New Roman"/>
      <family val="1"/>
    </font>
    <font>
      <sz val="10"/>
      <color theme="1"/>
      <name val="Arial"/>
      <family val="2"/>
    </font>
    <font>
      <sz val="8"/>
      <color theme="1"/>
      <name val="Times New Roman"/>
      <family val="1"/>
    </font>
    <font>
      <sz val="9"/>
      <color theme="1"/>
      <name val="Times New Roman"/>
      <family val="1"/>
    </font>
    <font>
      <sz val="9"/>
      <color theme="1"/>
      <name val="Calibri"/>
      <family val="2"/>
      <scheme val="minor"/>
    </font>
    <font>
      <b/>
      <sz val="10"/>
      <color rgb="FFFF0000"/>
      <name val="Times New Roman"/>
      <family val="1"/>
    </font>
    <font>
      <b/>
      <sz val="10"/>
      <name val="Times New Roman"/>
      <family val="1"/>
    </font>
    <font>
      <sz val="11"/>
      <color rgb="FFFFFF00"/>
      <name val="Times New Roman"/>
      <family val="1"/>
    </font>
    <font>
      <b/>
      <sz val="9"/>
      <color theme="1"/>
      <name val="Times New Roman"/>
      <family val="1"/>
    </font>
  </fonts>
  <fills count="9">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rgb="FFE3F2F3"/>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0" fontId="2" fillId="0" borderId="0"/>
    <xf numFmtId="0" fontId="1" fillId="0" borderId="0"/>
    <xf numFmtId="0" fontId="8" fillId="0" borderId="0" applyNumberFormat="0" applyFill="0" applyBorder="0" applyAlignment="0" applyProtection="0">
      <alignment vertical="top"/>
      <protection locked="0"/>
    </xf>
    <xf numFmtId="0" fontId="9" fillId="0" borderId="0"/>
    <xf numFmtId="0" fontId="5" fillId="0" borderId="0"/>
    <xf numFmtId="0" fontId="17" fillId="0" borderId="0"/>
    <xf numFmtId="44" fontId="17" fillId="0" borderId="0" applyFont="0" applyFill="0" applyBorder="0" applyAlignment="0" applyProtection="0"/>
    <xf numFmtId="43" fontId="17" fillId="0" borderId="0" applyFont="0" applyFill="0" applyBorder="0" applyAlignment="0" applyProtection="0"/>
  </cellStyleXfs>
  <cellXfs count="519">
    <xf numFmtId="0" fontId="0" fillId="0" borderId="0" xfId="0"/>
    <xf numFmtId="0" fontId="0" fillId="0" borderId="1" xfId="0" applyBorder="1"/>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top" wrapText="1"/>
    </xf>
    <xf numFmtId="0" fontId="12" fillId="0" borderId="0" xfId="0" applyFont="1"/>
    <xf numFmtId="0" fontId="10" fillId="2" borderId="1" xfId="0" applyFont="1" applyFill="1" applyBorder="1"/>
    <xf numFmtId="0" fontId="0" fillId="0" borderId="2" xfId="0" applyBorder="1"/>
    <xf numFmtId="0" fontId="0" fillId="0" borderId="0" xfId="0" applyAlignment="1">
      <alignment wrapText="1"/>
    </xf>
    <xf numFmtId="0" fontId="0" fillId="0" borderId="1" xfId="0" applyBorder="1" applyAlignment="1">
      <alignment wrapText="1"/>
    </xf>
    <xf numFmtId="0" fontId="3" fillId="0" borderId="0" xfId="0" applyFont="1" applyAlignment="1">
      <alignment horizontal="left" vertical="top" wrapText="1"/>
    </xf>
    <xf numFmtId="0" fontId="12" fillId="0" borderId="0" xfId="0" applyFont="1" applyAlignment="1">
      <alignment horizontal="left"/>
    </xf>
    <xf numFmtId="0" fontId="12" fillId="0" borderId="0" xfId="0" applyFont="1" applyAlignment="1">
      <alignment horizontal="center"/>
    </xf>
    <xf numFmtId="0" fontId="12" fillId="0" borderId="1" xfId="0" applyFont="1" applyBorder="1" applyAlignment="1">
      <alignment horizontal="center"/>
    </xf>
    <xf numFmtId="0" fontId="12" fillId="0" borderId="6" xfId="0" applyFont="1" applyBorder="1"/>
    <xf numFmtId="0" fontId="12" fillId="0" borderId="7" xfId="0" applyFont="1" applyBorder="1"/>
    <xf numFmtId="0" fontId="4" fillId="0" borderId="0" xfId="0" applyFont="1" applyAlignment="1">
      <alignment horizontal="left" vertical="top"/>
    </xf>
    <xf numFmtId="0" fontId="1" fillId="0" borderId="0" xfId="2"/>
    <xf numFmtId="0" fontId="12" fillId="0" borderId="8" xfId="0" applyFont="1" applyBorder="1"/>
    <xf numFmtId="0" fontId="12" fillId="0" borderId="9" xfId="0" applyFont="1" applyBorder="1"/>
    <xf numFmtId="0" fontId="13" fillId="0" borderId="8" xfId="0" applyFont="1" applyBorder="1"/>
    <xf numFmtId="0" fontId="12" fillId="0" borderId="9" xfId="0" applyFont="1" applyBorder="1" applyAlignment="1">
      <alignment horizontal="left"/>
    </xf>
    <xf numFmtId="0" fontId="12" fillId="0" borderId="10" xfId="0" applyFont="1" applyBorder="1"/>
    <xf numFmtId="0" fontId="0" fillId="0" borderId="1" xfId="0" applyBorder="1" applyAlignment="1">
      <alignment horizontal="center"/>
    </xf>
    <xf numFmtId="0" fontId="14" fillId="0" borderId="1" xfId="0" applyFont="1" applyBorder="1" applyAlignment="1">
      <alignment horizontal="center" vertical="top" wrapText="1"/>
    </xf>
    <xf numFmtId="2"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3" fillId="0" borderId="0" xfId="0" applyFont="1"/>
    <xf numFmtId="0" fontId="15" fillId="0" borderId="0" xfId="0" applyFont="1"/>
    <xf numFmtId="0" fontId="16" fillId="0" borderId="0" xfId="0" applyFont="1"/>
    <xf numFmtId="1" fontId="0" fillId="0" borderId="1" xfId="0" applyNumberFormat="1" applyBorder="1" applyAlignment="1">
      <alignment horizontal="center"/>
    </xf>
    <xf numFmtId="1" fontId="11" fillId="0" borderId="1" xfId="0" applyNumberFormat="1" applyFont="1" applyBorder="1" applyAlignment="1">
      <alignment horizontal="center"/>
    </xf>
    <xf numFmtId="1" fontId="12" fillId="0" borderId="1" xfId="0" applyNumberFormat="1" applyFont="1" applyBorder="1" applyAlignment="1">
      <alignment horizontal="center" vertical="center"/>
    </xf>
    <xf numFmtId="0" fontId="10" fillId="0" borderId="1" xfId="0" applyFont="1" applyBorder="1" applyAlignment="1">
      <alignment horizontal="center"/>
    </xf>
    <xf numFmtId="0" fontId="10" fillId="0" borderId="1" xfId="0" applyFont="1" applyBorder="1" applyAlignment="1">
      <alignment horizontal="center" vertical="top" wrapText="1"/>
    </xf>
    <xf numFmtId="0" fontId="12" fillId="0" borderId="5" xfId="0" applyFont="1" applyBorder="1" applyAlignment="1">
      <alignment horizontal="center"/>
    </xf>
    <xf numFmtId="0" fontId="14" fillId="0" borderId="1" xfId="0" applyFont="1" applyBorder="1" applyAlignment="1">
      <alignment vertical="top"/>
    </xf>
    <xf numFmtId="0" fontId="16" fillId="0" borderId="0" xfId="0" applyFont="1" applyAlignment="1">
      <alignment horizontal="left" vertical="top"/>
    </xf>
    <xf numFmtId="0" fontId="16" fillId="0" borderId="0" xfId="0" applyFont="1" applyAlignment="1">
      <alignment vertical="top"/>
    </xf>
    <xf numFmtId="0" fontId="15" fillId="0" borderId="0" xfId="0" applyFont="1" applyAlignment="1">
      <alignment horizontal="left" vertical="top"/>
    </xf>
    <xf numFmtId="0" fontId="15" fillId="0" borderId="0" xfId="0" applyFont="1" applyAlignment="1">
      <alignment vertical="top"/>
    </xf>
    <xf numFmtId="0" fontId="13" fillId="0" borderId="0" xfId="0" applyFont="1" applyAlignment="1">
      <alignment horizontal="left" vertical="top"/>
    </xf>
    <xf numFmtId="0" fontId="13" fillId="0" borderId="0" xfId="0" applyFont="1" applyAlignment="1">
      <alignment vertical="top"/>
    </xf>
    <xf numFmtId="0" fontId="12" fillId="0" borderId="0" xfId="0" applyFont="1" applyAlignment="1">
      <alignment horizontal="left" vertical="top"/>
    </xf>
    <xf numFmtId="0" fontId="12" fillId="0" borderId="0" xfId="0" applyFont="1" applyAlignment="1">
      <alignment vertical="top"/>
    </xf>
    <xf numFmtId="0" fontId="12" fillId="0" borderId="6" xfId="0" applyFont="1" applyBorder="1" applyAlignment="1">
      <alignment horizontal="left" vertical="top"/>
    </xf>
    <xf numFmtId="0" fontId="12" fillId="0" borderId="6" xfId="0" applyFont="1" applyBorder="1" applyAlignment="1">
      <alignment vertical="top"/>
    </xf>
    <xf numFmtId="0" fontId="3" fillId="0" borderId="0" xfId="0" applyFont="1" applyAlignment="1">
      <alignment vertical="top"/>
    </xf>
    <xf numFmtId="0" fontId="0" fillId="0" borderId="0" xfId="0" applyAlignment="1">
      <alignment horizontal="left" vertical="top"/>
    </xf>
    <xf numFmtId="0" fontId="0" fillId="0" borderId="0" xfId="0" applyAlignment="1">
      <alignment horizontal="center" vertical="center"/>
    </xf>
    <xf numFmtId="1" fontId="13" fillId="0" borderId="1" xfId="0" applyNumberFormat="1" applyFont="1" applyBorder="1" applyAlignment="1">
      <alignment vertical="top" wrapText="1"/>
    </xf>
    <xf numFmtId="1" fontId="13" fillId="0" borderId="1" xfId="0" applyNumberFormat="1" applyFont="1" applyBorder="1" applyAlignment="1">
      <alignment horizontal="center" vertical="center" wrapText="1"/>
    </xf>
    <xf numFmtId="0" fontId="12" fillId="0" borderId="1" xfId="0" applyFont="1" applyBorder="1" applyAlignment="1">
      <alignment horizontal="center" vertical="top"/>
    </xf>
    <xf numFmtId="0" fontId="12" fillId="0" borderId="2" xfId="0" applyFont="1" applyBorder="1" applyAlignment="1">
      <alignment horizontal="center" vertical="top"/>
    </xf>
    <xf numFmtId="0" fontId="12" fillId="0" borderId="1" xfId="0" applyFont="1" applyBorder="1" applyAlignment="1">
      <alignment horizontal="center" vertical="top" wrapText="1"/>
    </xf>
    <xf numFmtId="0" fontId="12" fillId="0" borderId="0" xfId="0" applyFont="1" applyAlignment="1">
      <alignment horizontal="left" vertical="top" wrapText="1"/>
    </xf>
    <xf numFmtId="0" fontId="0" fillId="0" borderId="0" xfId="0" applyAlignment="1">
      <alignment horizontal="left" vertical="top" wrapText="1"/>
    </xf>
    <xf numFmtId="0" fontId="10" fillId="0" borderId="0" xfId="0" applyFont="1" applyAlignment="1">
      <alignment horizontal="left" vertical="top"/>
    </xf>
    <xf numFmtId="0" fontId="0" fillId="0" borderId="0" xfId="0" applyAlignment="1">
      <alignment horizontal="left" vertical="center" indent="1"/>
    </xf>
    <xf numFmtId="0" fontId="23" fillId="0" borderId="0" xfId="0" applyFont="1" applyAlignment="1">
      <alignment horizontal="left" vertical="center" wrapText="1" indent="1"/>
    </xf>
    <xf numFmtId="1" fontId="12" fillId="0" borderId="1" xfId="0" applyNumberFormat="1" applyFont="1" applyBorder="1" applyAlignment="1">
      <alignment horizontal="center" vertical="top"/>
    </xf>
    <xf numFmtId="1" fontId="12" fillId="0" borderId="0" xfId="0" applyNumberFormat="1" applyFont="1" applyAlignment="1">
      <alignment horizontal="center"/>
    </xf>
    <xf numFmtId="1" fontId="6" fillId="0" borderId="0" xfId="0" applyNumberFormat="1" applyFont="1" applyAlignment="1">
      <alignment horizontal="center"/>
    </xf>
    <xf numFmtId="0" fontId="13" fillId="3" borderId="1" xfId="0" applyFont="1" applyFill="1" applyBorder="1" applyAlignment="1">
      <alignment horizontal="center" vertical="top" wrapText="1"/>
    </xf>
    <xf numFmtId="0" fontId="24" fillId="0" borderId="1" xfId="0" applyFont="1" applyBorder="1" applyAlignment="1">
      <alignment vertical="top"/>
    </xf>
    <xf numFmtId="0" fontId="13" fillId="0" borderId="0" xfId="0" applyFont="1" applyAlignment="1">
      <alignment horizontal="center"/>
    </xf>
    <xf numFmtId="0" fontId="13" fillId="0" borderId="0" xfId="0" applyFont="1" applyAlignment="1">
      <alignment horizontal="center" vertical="top" wrapText="1"/>
    </xf>
    <xf numFmtId="0" fontId="12" fillId="0" borderId="0" xfId="0" applyFont="1" applyAlignment="1">
      <alignment horizontal="center" vertical="center"/>
    </xf>
    <xf numFmtId="0" fontId="12" fillId="0" borderId="0" xfId="0" applyFont="1" applyAlignment="1">
      <alignment horizontal="center" vertical="top"/>
    </xf>
    <xf numFmtId="0" fontId="12" fillId="0" borderId="1" xfId="0" applyFont="1" applyBorder="1" applyAlignment="1">
      <alignment horizontal="center" vertical="center" wrapText="1"/>
    </xf>
    <xf numFmtId="0" fontId="10" fillId="0" borderId="0" xfId="0" applyFont="1"/>
    <xf numFmtId="0" fontId="27" fillId="0" borderId="1" xfId="0" applyFont="1" applyBorder="1" applyAlignment="1">
      <alignment horizontal="center" vertical="center"/>
    </xf>
    <xf numFmtId="1" fontId="10" fillId="0" borderId="0" xfId="0" applyNumberFormat="1" applyFont="1"/>
    <xf numFmtId="0" fontId="28" fillId="6" borderId="17" xfId="6" applyFont="1" applyFill="1" applyBorder="1" applyAlignment="1" applyProtection="1">
      <alignment horizontal="center" vertical="center"/>
      <protection locked="0"/>
    </xf>
    <xf numFmtId="0" fontId="28" fillId="6" borderId="18" xfId="6" applyFont="1" applyFill="1" applyBorder="1" applyAlignment="1" applyProtection="1">
      <alignment horizontal="center" vertical="center"/>
      <protection locked="0"/>
    </xf>
    <xf numFmtId="0" fontId="28" fillId="0" borderId="19" xfId="6" applyFont="1" applyBorder="1" applyProtection="1">
      <protection hidden="1"/>
    </xf>
    <xf numFmtId="0" fontId="28" fillId="0" borderId="20" xfId="6" applyFont="1" applyBorder="1" applyProtection="1">
      <protection hidden="1"/>
    </xf>
    <xf numFmtId="0" fontId="28" fillId="0" borderId="0" xfId="0" applyFont="1"/>
    <xf numFmtId="0" fontId="28" fillId="6" borderId="1" xfId="6" applyFont="1" applyFill="1" applyBorder="1" applyAlignment="1" applyProtection="1">
      <alignment horizontal="center" vertical="center"/>
      <protection locked="0"/>
    </xf>
    <xf numFmtId="0" fontId="28" fillId="6" borderId="22" xfId="6" applyFont="1" applyFill="1" applyBorder="1" applyAlignment="1" applyProtection="1">
      <alignment horizontal="center" vertical="center"/>
      <protection locked="0"/>
    </xf>
    <xf numFmtId="0" fontId="28" fillId="0" borderId="0" xfId="6" applyFont="1" applyProtection="1">
      <protection hidden="1"/>
    </xf>
    <xf numFmtId="0" fontId="28" fillId="0" borderId="23" xfId="6" applyFont="1" applyBorder="1" applyProtection="1">
      <protection hidden="1"/>
    </xf>
    <xf numFmtId="0" fontId="14" fillId="7" borderId="24" xfId="0" applyFont="1" applyFill="1" applyBorder="1" applyAlignment="1">
      <alignment horizontal="left" vertical="top"/>
    </xf>
    <xf numFmtId="0" fontId="28" fillId="7" borderId="21" xfId="6" applyFont="1" applyFill="1" applyBorder="1" applyAlignment="1" applyProtection="1">
      <alignment horizontal="center" vertical="top" wrapText="1"/>
      <protection locked="0"/>
    </xf>
    <xf numFmtId="0" fontId="28" fillId="7" borderId="1" xfId="0" applyFont="1" applyFill="1" applyBorder="1" applyAlignment="1">
      <alignment horizontal="center"/>
    </xf>
    <xf numFmtId="0" fontId="28" fillId="7" borderId="1" xfId="6" applyFont="1" applyFill="1" applyBorder="1" applyAlignment="1" applyProtection="1">
      <alignment horizontal="center" vertical="top" wrapText="1"/>
      <protection locked="0"/>
    </xf>
    <xf numFmtId="0" fontId="29" fillId="0" borderId="0" xfId="0" applyFont="1" applyProtection="1">
      <protection hidden="1"/>
    </xf>
    <xf numFmtId="0" fontId="28" fillId="0" borderId="23" xfId="6" applyFont="1" applyBorder="1"/>
    <xf numFmtId="9" fontId="28" fillId="7" borderId="1" xfId="0" applyNumberFormat="1" applyFont="1" applyFill="1" applyBorder="1" applyAlignment="1">
      <alignment horizontal="center"/>
    </xf>
    <xf numFmtId="0" fontId="28" fillId="7" borderId="1" xfId="6" applyFont="1" applyFill="1" applyBorder="1" applyAlignment="1" applyProtection="1">
      <alignment horizontal="center" wrapText="1"/>
      <protection locked="0"/>
    </xf>
    <xf numFmtId="9" fontId="28" fillId="7" borderId="1" xfId="6" applyNumberFormat="1" applyFont="1" applyFill="1" applyBorder="1" applyAlignment="1" applyProtection="1">
      <alignment horizontal="center" vertical="center" wrapText="1"/>
      <protection hidden="1"/>
    </xf>
    <xf numFmtId="0" fontId="29" fillId="0" borderId="23" xfId="0" applyFont="1" applyBorder="1" applyProtection="1">
      <protection hidden="1"/>
    </xf>
    <xf numFmtId="1" fontId="28" fillId="7" borderId="1" xfId="6" applyNumberFormat="1" applyFont="1" applyFill="1" applyBorder="1" applyAlignment="1" applyProtection="1">
      <alignment horizontal="center" wrapText="1"/>
      <protection locked="0"/>
    </xf>
    <xf numFmtId="1" fontId="28" fillId="0" borderId="23" xfId="0" applyNumberFormat="1" applyFont="1" applyBorder="1"/>
    <xf numFmtId="1" fontId="28" fillId="0" borderId="23" xfId="0" applyNumberFormat="1" applyFont="1" applyBorder="1" applyAlignment="1">
      <alignment horizontal="right"/>
    </xf>
    <xf numFmtId="0" fontId="28" fillId="7" borderId="28" xfId="6" applyFont="1" applyFill="1" applyBorder="1" applyAlignment="1" applyProtection="1">
      <alignment horizontal="center" vertical="top" wrapText="1"/>
      <protection locked="0"/>
    </xf>
    <xf numFmtId="9" fontId="28" fillId="7" borderId="29" xfId="0" applyNumberFormat="1" applyFont="1" applyFill="1" applyBorder="1" applyAlignment="1">
      <alignment horizontal="center"/>
    </xf>
    <xf numFmtId="0" fontId="28" fillId="7" borderId="29" xfId="6" applyFont="1" applyFill="1" applyBorder="1" applyAlignment="1" applyProtection="1">
      <alignment horizontal="center" wrapText="1"/>
      <protection locked="0"/>
    </xf>
    <xf numFmtId="9" fontId="28" fillId="7" borderId="29" xfId="6" applyNumberFormat="1" applyFont="1" applyFill="1" applyBorder="1" applyAlignment="1" applyProtection="1">
      <alignment horizontal="center" vertical="center" wrapText="1"/>
      <protection hidden="1"/>
    </xf>
    <xf numFmtId="0" fontId="29" fillId="0" borderId="32" xfId="0" applyFont="1" applyBorder="1" applyProtection="1">
      <protection hidden="1"/>
    </xf>
    <xf numFmtId="1" fontId="28" fillId="0" borderId="31" xfId="0" applyNumberFormat="1" applyFont="1" applyBorder="1"/>
    <xf numFmtId="0" fontId="12" fillId="0" borderId="11" xfId="0" applyFont="1" applyBorder="1" applyAlignment="1">
      <alignment horizontal="left" vertical="top" wrapText="1"/>
    </xf>
    <xf numFmtId="0" fontId="0" fillId="0" borderId="1" xfId="0" applyBorder="1" applyAlignment="1">
      <alignment horizontal="center" vertical="center"/>
    </xf>
    <xf numFmtId="0" fontId="32" fillId="0" borderId="1" xfId="6" applyFont="1" applyBorder="1"/>
    <xf numFmtId="0" fontId="33" fillId="0" borderId="1" xfId="6" applyFont="1" applyBorder="1"/>
    <xf numFmtId="0" fontId="13" fillId="0" borderId="1" xfId="0" applyFont="1" applyBorder="1" applyAlignment="1">
      <alignment horizontal="center" vertical="center"/>
    </xf>
    <xf numFmtId="0" fontId="6" fillId="0" borderId="1" xfId="0" applyFont="1" applyBorder="1" applyAlignment="1">
      <alignment vertical="top"/>
    </xf>
    <xf numFmtId="0" fontId="34" fillId="0" borderId="0" xfId="5" applyFont="1" applyAlignment="1">
      <alignment wrapText="1"/>
    </xf>
    <xf numFmtId="0" fontId="12" fillId="0" borderId="1" xfId="5" applyFont="1" applyBorder="1" applyAlignment="1" applyProtection="1">
      <alignment horizontal="center" vertical="center" wrapText="1"/>
      <protection locked="0"/>
    </xf>
    <xf numFmtId="0" fontId="12" fillId="0" borderId="0" xfId="5" applyFont="1" applyAlignment="1" applyProtection="1">
      <alignment horizontal="center" vertical="center" wrapText="1"/>
      <protection hidden="1"/>
    </xf>
    <xf numFmtId="0" fontId="12" fillId="0" borderId="23" xfId="5" applyFont="1" applyBorder="1" applyAlignment="1" applyProtection="1">
      <alignment horizontal="center" vertical="center" wrapText="1"/>
      <protection hidden="1"/>
    </xf>
    <xf numFmtId="0" fontId="34" fillId="0" borderId="0" xfId="5" applyFont="1" applyAlignment="1">
      <alignment horizontal="center" vertical="center" wrapText="1"/>
    </xf>
    <xf numFmtId="0" fontId="12" fillId="0" borderId="0" xfId="5" applyFont="1" applyAlignment="1" applyProtection="1">
      <alignment wrapText="1"/>
      <protection hidden="1"/>
    </xf>
    <xf numFmtId="0" fontId="12" fillId="0" borderId="23" xfId="5" applyFont="1" applyBorder="1" applyAlignment="1" applyProtection="1">
      <alignment wrapText="1"/>
      <protection hidden="1"/>
    </xf>
    <xf numFmtId="0" fontId="34" fillId="0" borderId="0" xfId="5" applyFont="1" applyAlignment="1">
      <alignment vertical="center" wrapText="1"/>
    </xf>
    <xf numFmtId="0" fontId="24" fillId="0" borderId="22" xfId="6" applyFont="1" applyBorder="1" applyAlignment="1" applyProtection="1">
      <alignment horizontal="center" vertical="center"/>
      <protection locked="0"/>
    </xf>
    <xf numFmtId="0" fontId="36" fillId="0" borderId="0" xfId="5" applyFont="1" applyAlignment="1" applyProtection="1">
      <alignment wrapText="1"/>
      <protection hidden="1"/>
    </xf>
    <xf numFmtId="0" fontId="36" fillId="0" borderId="23" xfId="5" applyFont="1" applyBorder="1" applyAlignment="1">
      <alignment wrapText="1"/>
    </xf>
    <xf numFmtId="0" fontId="36" fillId="0" borderId="23" xfId="5" applyFont="1" applyBorder="1" applyAlignment="1" applyProtection="1">
      <alignment wrapText="1"/>
      <protection hidden="1"/>
    </xf>
    <xf numFmtId="1" fontId="37" fillId="0" borderId="23" xfId="5" applyNumberFormat="1" applyFont="1" applyBorder="1" applyAlignment="1">
      <alignment wrapText="1"/>
    </xf>
    <xf numFmtId="1" fontId="37" fillId="0" borderId="23" xfId="5" applyNumberFormat="1" applyFont="1" applyBorder="1" applyAlignment="1">
      <alignment horizontal="right" wrapText="1"/>
    </xf>
    <xf numFmtId="0" fontId="36" fillId="0" borderId="0" xfId="5" applyFont="1" applyAlignment="1" applyProtection="1">
      <alignment vertical="center" wrapText="1"/>
      <protection hidden="1"/>
    </xf>
    <xf numFmtId="1" fontId="37" fillId="0" borderId="23" xfId="5" applyNumberFormat="1" applyFont="1" applyBorder="1" applyAlignment="1">
      <alignment vertical="center" wrapText="1"/>
    </xf>
    <xf numFmtId="0" fontId="36" fillId="0" borderId="32" xfId="5" applyFont="1" applyBorder="1" applyAlignment="1" applyProtection="1">
      <alignment wrapText="1"/>
      <protection hidden="1"/>
    </xf>
    <xf numFmtId="1" fontId="37" fillId="0" borderId="31" xfId="5" applyNumberFormat="1" applyFont="1" applyBorder="1" applyAlignment="1">
      <alignment wrapText="1"/>
    </xf>
    <xf numFmtId="0" fontId="28" fillId="0" borderId="1" xfId="0" applyFont="1" applyBorder="1" applyAlignment="1">
      <alignment horizontal="center"/>
    </xf>
    <xf numFmtId="0" fontId="28" fillId="0" borderId="1" xfId="0" applyFont="1" applyBorder="1" applyAlignment="1">
      <alignment horizontal="center" vertical="top"/>
    </xf>
    <xf numFmtId="1" fontId="28" fillId="0" borderId="1" xfId="0" applyNumberFormat="1" applyFont="1" applyBorder="1" applyAlignment="1">
      <alignment horizontal="center" vertical="top"/>
    </xf>
    <xf numFmtId="1" fontId="28" fillId="0" borderId="1" xfId="0" applyNumberFormat="1" applyFont="1" applyBorder="1" applyAlignment="1">
      <alignment horizontal="center" vertical="center"/>
    </xf>
    <xf numFmtId="0" fontId="28" fillId="0" borderId="5" xfId="0" applyFont="1" applyBorder="1" applyAlignment="1">
      <alignment horizontal="center" vertical="top"/>
    </xf>
    <xf numFmtId="1" fontId="28" fillId="0" borderId="1" xfId="0" applyNumberFormat="1" applyFont="1" applyBorder="1" applyAlignment="1">
      <alignment horizontal="center"/>
    </xf>
    <xf numFmtId="0" fontId="13" fillId="0" borderId="1" xfId="0" applyFont="1" applyBorder="1" applyAlignment="1">
      <alignment horizontal="center" vertical="top"/>
    </xf>
    <xf numFmtId="0" fontId="13" fillId="0" borderId="1" xfId="0" applyFont="1" applyBorder="1" applyAlignment="1">
      <alignment horizontal="center" vertical="top" wrapText="1"/>
    </xf>
    <xf numFmtId="0" fontId="13" fillId="0" borderId="12" xfId="0" applyFont="1" applyBorder="1" applyAlignment="1">
      <alignment horizontal="center" vertical="top" wrapText="1"/>
    </xf>
    <xf numFmtId="0" fontId="14" fillId="0" borderId="1" xfId="0" applyFont="1" applyBorder="1" applyAlignment="1">
      <alignment horizontal="center" vertical="center" wrapText="1"/>
    </xf>
    <xf numFmtId="0" fontId="12" fillId="0" borderId="5" xfId="0" applyFont="1" applyBorder="1" applyAlignment="1">
      <alignment horizontal="center" vertical="top"/>
    </xf>
    <xf numFmtId="1" fontId="12" fillId="0" borderId="1" xfId="0" applyNumberFormat="1" applyFont="1" applyBorder="1" applyAlignment="1">
      <alignment horizontal="center"/>
    </xf>
    <xf numFmtId="166" fontId="24" fillId="0" borderId="1" xfId="8" applyNumberFormat="1" applyFont="1" applyFill="1" applyBorder="1" applyAlignment="1" applyProtection="1">
      <alignment horizontal="left" vertical="center"/>
      <protection locked="0"/>
    </xf>
    <xf numFmtId="6" fontId="12" fillId="0" borderId="1" xfId="0" applyNumberFormat="1" applyFont="1" applyBorder="1" applyAlignment="1">
      <alignment horizontal="center"/>
    </xf>
    <xf numFmtId="0" fontId="12" fillId="0" borderId="4" xfId="0" applyFont="1" applyBorder="1" applyAlignment="1">
      <alignment horizontal="center" vertical="top"/>
    </xf>
    <xf numFmtId="0" fontId="40" fillId="0" borderId="0" xfId="0" applyFont="1" applyAlignment="1">
      <alignment vertical="top"/>
    </xf>
    <xf numFmtId="0" fontId="21" fillId="0" borderId="0" xfId="0" applyFont="1"/>
    <xf numFmtId="1" fontId="0" fillId="0" borderId="0" xfId="0" applyNumberFormat="1"/>
    <xf numFmtId="0" fontId="24" fillId="0" borderId="1" xfId="0" applyFont="1" applyBorder="1" applyAlignment="1">
      <alignment vertical="top" wrapText="1"/>
    </xf>
    <xf numFmtId="0" fontId="0" fillId="0" borderId="0" xfId="0" applyAlignment="1">
      <alignment horizontal="center"/>
    </xf>
    <xf numFmtId="8" fontId="41" fillId="0" borderId="2" xfId="0" applyNumberFormat="1" applyFont="1" applyBorder="1" applyAlignment="1">
      <alignment horizontal="center" vertical="center" wrapText="1"/>
    </xf>
    <xf numFmtId="1" fontId="12" fillId="0" borderId="1" xfId="0" applyNumberFormat="1" applyFont="1" applyBorder="1" applyAlignment="1">
      <alignment horizontal="center" vertical="top" wrapText="1"/>
    </xf>
    <xf numFmtId="0" fontId="13" fillId="0" borderId="5" xfId="0" applyFont="1" applyBorder="1" applyAlignment="1">
      <alignment horizontal="center" vertical="top" wrapText="1"/>
    </xf>
    <xf numFmtId="0" fontId="13" fillId="0" borderId="12" xfId="0" applyFont="1" applyBorder="1" applyAlignment="1">
      <alignment horizontal="center" vertical="top" wrapText="1"/>
    </xf>
    <xf numFmtId="1" fontId="12" fillId="0" borderId="5" xfId="0" applyNumberFormat="1" applyFont="1" applyBorder="1" applyAlignment="1">
      <alignment horizontal="center" vertical="top" wrapText="1"/>
    </xf>
    <xf numFmtId="1" fontId="12" fillId="0" borderId="12" xfId="0" applyNumberFormat="1" applyFont="1" applyBorder="1" applyAlignment="1">
      <alignment horizontal="center" vertical="top" wrapText="1"/>
    </xf>
    <xf numFmtId="1" fontId="3" fillId="0" borderId="13" xfId="0" applyNumberFormat="1" applyFont="1" applyBorder="1" applyAlignment="1" applyProtection="1">
      <alignment horizontal="center" vertical="top" wrapText="1"/>
      <protection locked="0"/>
    </xf>
    <xf numFmtId="1" fontId="3" fillId="0" borderId="14" xfId="0" applyNumberFormat="1" applyFont="1" applyBorder="1" applyAlignment="1" applyProtection="1">
      <alignment horizontal="center" vertical="top" wrapText="1"/>
      <protection locked="0"/>
    </xf>
    <xf numFmtId="1" fontId="3" fillId="0" borderId="15" xfId="0" applyNumberFormat="1" applyFont="1" applyBorder="1" applyAlignment="1" applyProtection="1">
      <alignment horizontal="center" vertical="top" wrapText="1"/>
      <protection locked="0"/>
    </xf>
    <xf numFmtId="1" fontId="3" fillId="0" borderId="43" xfId="0" applyNumberFormat="1" applyFont="1" applyBorder="1" applyAlignment="1" applyProtection="1">
      <alignment horizontal="center" vertical="top" wrapText="1"/>
      <protection locked="0"/>
    </xf>
    <xf numFmtId="1" fontId="3" fillId="0" borderId="44" xfId="0" applyNumberFormat="1" applyFont="1" applyBorder="1" applyAlignment="1" applyProtection="1">
      <alignment horizontal="center" vertical="top" wrapText="1"/>
      <protection locked="0"/>
    </xf>
    <xf numFmtId="1" fontId="3" fillId="0" borderId="45" xfId="0" applyNumberFormat="1" applyFont="1" applyBorder="1" applyAlignment="1" applyProtection="1">
      <alignment horizontal="center" vertical="top" wrapText="1"/>
      <protection locked="0"/>
    </xf>
    <xf numFmtId="0" fontId="13" fillId="0" borderId="13"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1" fontId="13" fillId="0" borderId="46" xfId="0" applyNumberFormat="1" applyFont="1" applyBorder="1" applyAlignment="1" applyProtection="1">
      <alignment horizontal="center" vertical="center"/>
      <protection locked="0"/>
    </xf>
    <xf numFmtId="1" fontId="13" fillId="0" borderId="44" xfId="0" applyNumberFormat="1" applyFont="1" applyBorder="1" applyAlignment="1" applyProtection="1">
      <alignment horizontal="center" vertical="center"/>
      <protection locked="0"/>
    </xf>
    <xf numFmtId="1" fontId="13" fillId="0" borderId="45" xfId="0" applyNumberFormat="1" applyFont="1" applyBorder="1" applyAlignment="1" applyProtection="1">
      <alignment horizontal="center" vertical="center"/>
      <protection locked="0"/>
    </xf>
    <xf numFmtId="0" fontId="12" fillId="0" borderId="25" xfId="5" applyFont="1" applyBorder="1" applyAlignment="1" applyProtection="1">
      <alignment horizontal="center" vertical="top" wrapText="1"/>
      <protection locked="0"/>
    </xf>
    <xf numFmtId="0" fontId="12" fillId="0" borderId="11" xfId="5" applyFont="1" applyBorder="1" applyAlignment="1" applyProtection="1">
      <alignment horizontal="center" vertical="top" wrapText="1"/>
      <protection locked="0"/>
    </xf>
    <xf numFmtId="0" fontId="12" fillId="0" borderId="12" xfId="5" applyFont="1" applyBorder="1" applyAlignment="1" applyProtection="1">
      <alignment horizontal="center" vertical="top" wrapText="1"/>
      <protection locked="0"/>
    </xf>
    <xf numFmtId="0" fontId="12" fillId="0" borderId="42" xfId="5" applyFont="1" applyBorder="1" applyAlignment="1" applyProtection="1">
      <alignment horizontal="center" vertical="top" wrapText="1"/>
      <protection locked="0"/>
    </xf>
    <xf numFmtId="0" fontId="12" fillId="0" borderId="35" xfId="5" applyFont="1" applyBorder="1" applyAlignment="1" applyProtection="1">
      <alignment horizontal="center" vertical="top" wrapText="1"/>
      <protection locked="0"/>
    </xf>
    <xf numFmtId="0" fontId="12" fillId="0" borderId="36" xfId="5" applyFont="1" applyBorder="1" applyAlignment="1" applyProtection="1">
      <alignment horizontal="center" vertical="top" wrapText="1"/>
      <protection locked="0"/>
    </xf>
    <xf numFmtId="1" fontId="3" fillId="0" borderId="5" xfId="0" applyNumberFormat="1" applyFont="1" applyBorder="1" applyAlignment="1" applyProtection="1">
      <alignment horizontal="center" vertical="top" wrapText="1"/>
      <protection locked="0"/>
    </xf>
    <xf numFmtId="1" fontId="3" fillId="0" borderId="11" xfId="0" applyNumberFormat="1" applyFont="1" applyBorder="1" applyAlignment="1" applyProtection="1">
      <alignment horizontal="center" vertical="top" wrapText="1"/>
      <protection locked="0"/>
    </xf>
    <xf numFmtId="1" fontId="3" fillId="0" borderId="12" xfId="0" applyNumberFormat="1" applyFont="1" applyBorder="1" applyAlignment="1" applyProtection="1">
      <alignment horizontal="center" vertical="top" wrapText="1"/>
      <protection locked="0"/>
    </xf>
    <xf numFmtId="0" fontId="15" fillId="5" borderId="13" xfId="0" applyFont="1" applyFill="1" applyBorder="1" applyAlignment="1">
      <alignment horizontal="center" vertical="top"/>
    </xf>
    <xf numFmtId="0" fontId="15" fillId="5" borderId="14" xfId="0" applyFont="1" applyFill="1" applyBorder="1" applyAlignment="1">
      <alignment horizontal="center" vertical="top"/>
    </xf>
    <xf numFmtId="0" fontId="15" fillId="5" borderId="15" xfId="0" applyFont="1" applyFill="1" applyBorder="1" applyAlignment="1">
      <alignment horizontal="center" vertical="top"/>
    </xf>
    <xf numFmtId="1" fontId="12" fillId="0" borderId="5" xfId="0" applyNumberFormat="1" applyFont="1" applyBorder="1" applyAlignment="1" applyProtection="1">
      <alignment horizontal="center" vertical="top" wrapText="1"/>
      <protection locked="0"/>
    </xf>
    <xf numFmtId="0" fontId="12" fillId="0" borderId="11" xfId="0" applyFont="1" applyBorder="1" applyAlignment="1" applyProtection="1">
      <alignment horizontal="center" vertical="top" wrapText="1"/>
      <protection locked="0"/>
    </xf>
    <xf numFmtId="0" fontId="12" fillId="0" borderId="12" xfId="0" applyFont="1" applyBorder="1" applyAlignment="1" applyProtection="1">
      <alignment horizontal="center" vertical="top" wrapText="1"/>
      <protection locked="0"/>
    </xf>
    <xf numFmtId="0" fontId="12" fillId="0" borderId="1" xfId="5" applyFont="1" applyBorder="1" applyAlignment="1" applyProtection="1">
      <alignment horizontal="center" vertical="top" wrapText="1"/>
      <protection locked="0"/>
    </xf>
    <xf numFmtId="0" fontId="12" fillId="0" borderId="22" xfId="5" applyFont="1" applyBorder="1" applyAlignment="1" applyProtection="1">
      <alignment horizontal="center" vertical="top" wrapText="1"/>
      <protection locked="0"/>
    </xf>
    <xf numFmtId="1" fontId="12" fillId="0" borderId="5" xfId="0" applyNumberFormat="1"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top"/>
    </xf>
    <xf numFmtId="0" fontId="12" fillId="0" borderId="11" xfId="0" applyFont="1" applyBorder="1" applyAlignment="1">
      <alignment horizontal="center" vertical="top"/>
    </xf>
    <xf numFmtId="0" fontId="12" fillId="0" borderId="12" xfId="0" applyFont="1" applyBorder="1" applyAlignment="1">
      <alignment horizontal="center" vertical="top"/>
    </xf>
    <xf numFmtId="0" fontId="13" fillId="5" borderId="5"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12" xfId="0" applyFont="1" applyFill="1" applyBorder="1" applyAlignment="1">
      <alignment horizontal="center" vertical="center"/>
    </xf>
    <xf numFmtId="166" fontId="24" fillId="0" borderId="5" xfId="8" applyNumberFormat="1" applyFont="1" applyFill="1" applyBorder="1" applyAlignment="1" applyProtection="1">
      <alignment horizontal="center" vertical="center"/>
      <protection locked="0"/>
    </xf>
    <xf numFmtId="166" fontId="24" fillId="0" borderId="12" xfId="8" applyNumberFormat="1" applyFont="1" applyFill="1" applyBorder="1" applyAlignment="1" applyProtection="1">
      <alignment horizontal="center" vertical="center"/>
      <protection locked="0"/>
    </xf>
    <xf numFmtId="1" fontId="26" fillId="0" borderId="1" xfId="0" applyNumberFormat="1" applyFont="1" applyBorder="1" applyAlignment="1" applyProtection="1">
      <alignment horizontal="center" vertical="top" wrapText="1"/>
      <protection locked="0"/>
    </xf>
    <xf numFmtId="0" fontId="24" fillId="0" borderId="5" xfId="0" applyFont="1" applyBorder="1" applyAlignment="1">
      <alignment horizontal="left" vertical="top"/>
    </xf>
    <xf numFmtId="0" fontId="24" fillId="0" borderId="11" xfId="0" applyFont="1" applyBorder="1" applyAlignment="1">
      <alignment horizontal="left" vertical="top"/>
    </xf>
    <xf numFmtId="0" fontId="24" fillId="0" borderId="12" xfId="0" applyFont="1" applyBorder="1" applyAlignment="1">
      <alignment horizontal="left" vertical="top"/>
    </xf>
    <xf numFmtId="0" fontId="24" fillId="0" borderId="1" xfId="0" applyFont="1" applyBorder="1" applyAlignment="1">
      <alignment horizontal="left" vertical="top"/>
    </xf>
    <xf numFmtId="0" fontId="12" fillId="0" borderId="13" xfId="0" applyFont="1" applyBorder="1" applyAlignment="1">
      <alignment horizontal="left" vertical="top" wrapText="1"/>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0" fontId="12" fillId="0" borderId="10"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3" fillId="0" borderId="37" xfId="5" applyFont="1" applyBorder="1" applyAlignment="1" applyProtection="1">
      <alignment horizontal="left" vertical="center" wrapText="1"/>
      <protection locked="0"/>
    </xf>
    <xf numFmtId="0" fontId="13" fillId="0" borderId="38" xfId="5" applyFont="1" applyBorder="1" applyAlignment="1" applyProtection="1">
      <alignment horizontal="left" vertical="center" wrapText="1"/>
      <protection locked="0"/>
    </xf>
    <xf numFmtId="0" fontId="13" fillId="0" borderId="39" xfId="5" applyFont="1" applyBorder="1" applyAlignment="1" applyProtection="1">
      <alignment horizontal="left" vertical="center" wrapText="1"/>
      <protection locked="0"/>
    </xf>
    <xf numFmtId="0" fontId="13" fillId="0" borderId="40" xfId="5" applyFont="1" applyBorder="1" applyAlignment="1" applyProtection="1">
      <alignment horizontal="center" vertical="center" wrapText="1"/>
      <protection locked="0"/>
    </xf>
    <xf numFmtId="0" fontId="13" fillId="0" borderId="38" xfId="5" applyFont="1" applyBorder="1" applyAlignment="1" applyProtection="1">
      <alignment horizontal="center" vertical="center" wrapText="1"/>
      <protection locked="0"/>
    </xf>
    <xf numFmtId="0" fontId="13" fillId="0" borderId="41" xfId="5" applyFont="1" applyBorder="1" applyAlignment="1" applyProtection="1">
      <alignment horizontal="center" vertical="center" wrapText="1"/>
      <protection locked="0"/>
    </xf>
    <xf numFmtId="0" fontId="12" fillId="0" borderId="5" xfId="5" applyFont="1" applyBorder="1" applyAlignment="1" applyProtection="1">
      <alignment horizontal="center" vertical="center" wrapText="1"/>
      <protection locked="0"/>
    </xf>
    <xf numFmtId="0" fontId="12" fillId="0" borderId="12" xfId="5" applyFont="1" applyBorder="1" applyAlignment="1" applyProtection="1">
      <alignment horizontal="center" vertical="center" wrapText="1"/>
      <protection locked="0"/>
    </xf>
    <xf numFmtId="0" fontId="13" fillId="0" borderId="25" xfId="5" applyFont="1" applyBorder="1" applyAlignment="1" applyProtection="1">
      <alignment horizontal="center" vertical="top" wrapText="1"/>
      <protection locked="0"/>
    </xf>
    <xf numFmtId="0" fontId="13" fillId="0" borderId="11" xfId="5" applyFont="1" applyBorder="1" applyAlignment="1" applyProtection="1">
      <alignment horizontal="center" vertical="top" wrapText="1"/>
      <protection locked="0"/>
    </xf>
    <xf numFmtId="0" fontId="13" fillId="0" borderId="12" xfId="5" applyFont="1" applyBorder="1" applyAlignment="1" applyProtection="1">
      <alignment horizontal="center" vertical="top" wrapText="1"/>
      <protection locked="0"/>
    </xf>
    <xf numFmtId="0" fontId="13" fillId="0" borderId="5" xfId="5" applyFont="1" applyBorder="1" applyAlignment="1" applyProtection="1">
      <alignment horizontal="left" vertical="top" wrapText="1"/>
      <protection locked="0"/>
    </xf>
    <xf numFmtId="0" fontId="13" fillId="0" borderId="11" xfId="5" applyFont="1" applyBorder="1" applyAlignment="1" applyProtection="1">
      <alignment horizontal="left" vertical="top" wrapText="1"/>
      <protection locked="0"/>
    </xf>
    <xf numFmtId="0" fontId="13" fillId="0" borderId="26" xfId="5" applyFont="1" applyBorder="1" applyAlignment="1" applyProtection="1">
      <alignment horizontal="left" vertical="top" wrapText="1"/>
      <protection locked="0"/>
    </xf>
    <xf numFmtId="14" fontId="24" fillId="0" borderId="5" xfId="0" applyNumberFormat="1" applyFont="1" applyBorder="1" applyAlignment="1">
      <alignment horizontal="left" vertical="top"/>
    </xf>
    <xf numFmtId="14" fontId="24" fillId="0" borderId="12" xfId="0" applyNumberFormat="1" applyFont="1" applyBorder="1" applyAlignment="1">
      <alignment horizontal="left" vertical="top"/>
    </xf>
    <xf numFmtId="0" fontId="12" fillId="0" borderId="1" xfId="0" applyFont="1" applyBorder="1" applyAlignment="1">
      <alignment horizontal="left" vertical="top"/>
    </xf>
    <xf numFmtId="0" fontId="12" fillId="0" borderId="5" xfId="0" applyFont="1" applyBorder="1" applyAlignment="1">
      <alignment horizontal="left" vertical="top"/>
    </xf>
    <xf numFmtId="0" fontId="12" fillId="0" borderId="11" xfId="0" applyFont="1" applyBorder="1" applyAlignment="1">
      <alignment horizontal="left" vertical="top"/>
    </xf>
    <xf numFmtId="0" fontId="12" fillId="0" borderId="12" xfId="0" applyFont="1" applyBorder="1" applyAlignment="1">
      <alignment horizontal="left" vertical="top"/>
    </xf>
    <xf numFmtId="14" fontId="6" fillId="0" borderId="5" xfId="0" applyNumberFormat="1" applyFont="1" applyBorder="1" applyAlignment="1">
      <alignment horizontal="left" vertical="top"/>
    </xf>
    <xf numFmtId="14" fontId="6" fillId="0" borderId="12" xfId="0" applyNumberFormat="1" applyFont="1" applyBorder="1" applyAlignment="1">
      <alignment horizontal="left" vertical="top"/>
    </xf>
    <xf numFmtId="0" fontId="6" fillId="0" borderId="1" xfId="0" applyFont="1" applyBorder="1" applyAlignment="1">
      <alignment horizontal="left" vertical="top"/>
    </xf>
    <xf numFmtId="0" fontId="13" fillId="0" borderId="5" xfId="0" applyFont="1" applyBorder="1" applyAlignment="1">
      <alignment horizontal="left" vertical="top"/>
    </xf>
    <xf numFmtId="0" fontId="13" fillId="0" borderId="11" xfId="0" applyFont="1" applyBorder="1" applyAlignment="1">
      <alignment horizontal="left" vertical="top"/>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0" fontId="14" fillId="0" borderId="2" xfId="0" applyFont="1" applyBorder="1" applyAlignment="1">
      <alignment horizontal="center" vertical="top" wrapText="1"/>
    </xf>
    <xf numFmtId="0" fontId="14" fillId="0" borderId="3" xfId="0" applyFont="1" applyBorder="1" applyAlignment="1">
      <alignment horizontal="center" vertical="top" wrapText="1"/>
    </xf>
    <xf numFmtId="0" fontId="14" fillId="0" borderId="4" xfId="0" applyFont="1" applyBorder="1" applyAlignment="1">
      <alignment horizontal="center" vertical="top" wrapText="1"/>
    </xf>
    <xf numFmtId="0" fontId="14" fillId="0" borderId="13" xfId="0" applyFont="1" applyBorder="1" applyAlignment="1">
      <alignment horizontal="center" vertical="top" wrapText="1"/>
    </xf>
    <xf numFmtId="0" fontId="14" fillId="0" borderId="15" xfId="0" applyFont="1" applyBorder="1" applyAlignment="1">
      <alignment horizontal="center" vertical="top" wrapText="1"/>
    </xf>
    <xf numFmtId="0" fontId="14" fillId="0" borderId="8" xfId="0" applyFont="1" applyBorder="1" applyAlignment="1">
      <alignment horizontal="center" vertical="top" wrapText="1"/>
    </xf>
    <xf numFmtId="0" fontId="14" fillId="0" borderId="9" xfId="0" applyFont="1" applyBorder="1" applyAlignment="1">
      <alignment horizontal="center" vertical="top" wrapText="1"/>
    </xf>
    <xf numFmtId="0" fontId="14" fillId="0" borderId="10" xfId="0" applyFont="1" applyBorder="1" applyAlignment="1">
      <alignment horizontal="center" vertical="top" wrapText="1"/>
    </xf>
    <xf numFmtId="0" fontId="14" fillId="0" borderId="7" xfId="0" applyFont="1" applyBorder="1" applyAlignment="1">
      <alignment horizontal="center" vertical="top" wrapText="1"/>
    </xf>
    <xf numFmtId="0" fontId="12" fillId="0" borderId="5" xfId="5" applyFont="1" applyBorder="1" applyAlignment="1" applyProtection="1">
      <alignment horizontal="center" vertical="top" wrapText="1"/>
      <protection locked="0"/>
    </xf>
    <xf numFmtId="9" fontId="12" fillId="8" borderId="5" xfId="5" applyNumberFormat="1" applyFont="1" applyFill="1" applyBorder="1" applyAlignment="1" applyProtection="1">
      <alignment horizontal="center" vertical="center" wrapText="1"/>
      <protection hidden="1"/>
    </xf>
    <xf numFmtId="9" fontId="12" fillId="8" borderId="11" xfId="5" applyNumberFormat="1" applyFont="1" applyFill="1" applyBorder="1" applyAlignment="1" applyProtection="1">
      <alignment horizontal="center" vertical="center" wrapText="1"/>
      <protection hidden="1"/>
    </xf>
    <xf numFmtId="9" fontId="12" fillId="8" borderId="12" xfId="5" applyNumberFormat="1" applyFont="1" applyFill="1" applyBorder="1" applyAlignment="1" applyProtection="1">
      <alignment horizontal="center" vertical="center" wrapText="1"/>
      <protection hidden="1"/>
    </xf>
    <xf numFmtId="9" fontId="12" fillId="8" borderId="34" xfId="5" applyNumberFormat="1" applyFont="1" applyFill="1" applyBorder="1" applyAlignment="1" applyProtection="1">
      <alignment horizontal="center" vertical="center" wrapText="1"/>
      <protection hidden="1"/>
    </xf>
    <xf numFmtId="9" fontId="12" fillId="8" borderId="35" xfId="5" applyNumberFormat="1" applyFont="1" applyFill="1" applyBorder="1" applyAlignment="1" applyProtection="1">
      <alignment horizontal="center" vertical="center" wrapText="1"/>
      <protection hidden="1"/>
    </xf>
    <xf numFmtId="9" fontId="12" fillId="8" borderId="36" xfId="5" applyNumberFormat="1" applyFont="1" applyFill="1" applyBorder="1" applyAlignment="1" applyProtection="1">
      <alignment horizontal="center" vertical="center" wrapText="1"/>
      <protection hidden="1"/>
    </xf>
    <xf numFmtId="0" fontId="13" fillId="0" borderId="5" xfId="0" applyFont="1" applyBorder="1" applyAlignment="1" applyProtection="1">
      <alignment horizontal="center" vertical="top" wrapText="1"/>
      <protection locked="0"/>
    </xf>
    <xf numFmtId="0" fontId="13" fillId="0" borderId="11" xfId="0" applyFont="1" applyBorder="1" applyAlignment="1" applyProtection="1">
      <alignment horizontal="center" vertical="top" wrapText="1"/>
      <protection locked="0"/>
    </xf>
    <xf numFmtId="0" fontId="13" fillId="0" borderId="12" xfId="0" applyFont="1" applyBorder="1" applyAlignment="1" applyProtection="1">
      <alignment horizontal="center" vertical="top" wrapText="1"/>
      <protection locked="0"/>
    </xf>
    <xf numFmtId="0" fontId="39" fillId="0" borderId="2" xfId="0" applyFont="1" applyBorder="1" applyAlignment="1">
      <alignment horizontal="center" vertical="top" wrapText="1"/>
    </xf>
    <xf numFmtId="0" fontId="39" fillId="0" borderId="3" xfId="0" applyFont="1" applyBorder="1" applyAlignment="1">
      <alignment horizontal="center" vertical="top" wrapText="1"/>
    </xf>
    <xf numFmtId="0" fontId="39" fillId="0" borderId="4" xfId="0" applyFont="1" applyBorder="1" applyAlignment="1">
      <alignment horizontal="center" vertical="top" wrapText="1"/>
    </xf>
    <xf numFmtId="0" fontId="13" fillId="0" borderId="5" xfId="0" applyFont="1" applyBorder="1" applyAlignment="1">
      <alignment horizontal="center" vertical="top"/>
    </xf>
    <xf numFmtId="0" fontId="13" fillId="0" borderId="11" xfId="0" applyFont="1" applyBorder="1" applyAlignment="1">
      <alignment horizontal="center" vertical="top"/>
    </xf>
    <xf numFmtId="0" fontId="13" fillId="0" borderId="12" xfId="0" applyFont="1" applyBorder="1" applyAlignment="1">
      <alignment horizontal="center" vertical="top"/>
    </xf>
    <xf numFmtId="0" fontId="12" fillId="0" borderId="4" xfId="0" applyFont="1" applyBorder="1" applyAlignment="1">
      <alignment horizontal="left" vertical="top" wrapText="1"/>
    </xf>
    <xf numFmtId="0" fontId="35" fillId="0" borderId="19" xfId="5" applyFont="1" applyBorder="1" applyAlignment="1" applyProtection="1">
      <alignment horizontal="center" vertical="center" wrapText="1"/>
      <protection hidden="1"/>
    </xf>
    <xf numFmtId="0" fontId="35" fillId="0" borderId="20" xfId="5" applyFont="1" applyBorder="1" applyAlignment="1" applyProtection="1">
      <alignment horizontal="center" vertical="center" wrapText="1"/>
      <protection hidden="1"/>
    </xf>
    <xf numFmtId="9" fontId="12" fillId="8" borderId="1" xfId="5" applyNumberFormat="1" applyFont="1" applyFill="1" applyBorder="1" applyAlignment="1" applyProtection="1">
      <alignment horizontal="center" vertical="center" wrapText="1"/>
      <protection hidden="1"/>
    </xf>
    <xf numFmtId="9" fontId="12" fillId="8" borderId="29" xfId="5" applyNumberFormat="1" applyFont="1" applyFill="1" applyBorder="1" applyAlignment="1" applyProtection="1">
      <alignment horizontal="center" vertical="center" wrapText="1"/>
      <protection hidden="1"/>
    </xf>
    <xf numFmtId="0" fontId="12" fillId="0" borderId="21" xfId="5" applyFont="1" applyBorder="1" applyAlignment="1" applyProtection="1">
      <alignment horizontal="center" vertical="center" wrapText="1"/>
      <protection locked="0"/>
    </xf>
    <xf numFmtId="0" fontId="12" fillId="0" borderId="1" xfId="5" applyFont="1" applyBorder="1" applyAlignment="1" applyProtection="1">
      <alignment horizontal="center" vertical="center" wrapText="1"/>
      <protection locked="0"/>
    </xf>
    <xf numFmtId="0" fontId="12" fillId="0" borderId="34" xfId="5" applyFont="1" applyBorder="1" applyAlignment="1" applyProtection="1">
      <alignment horizontal="center" vertical="top" wrapText="1"/>
      <protection locked="0"/>
    </xf>
    <xf numFmtId="1" fontId="3" fillId="5" borderId="5" xfId="0" applyNumberFormat="1" applyFont="1" applyFill="1" applyBorder="1" applyAlignment="1" applyProtection="1">
      <alignment horizontal="center" vertical="center" wrapText="1"/>
      <protection locked="0"/>
    </xf>
    <xf numFmtId="1" fontId="3" fillId="5" borderId="11" xfId="0" applyNumberFormat="1" applyFont="1" applyFill="1" applyBorder="1" applyAlignment="1" applyProtection="1">
      <alignment horizontal="center" vertical="center" wrapText="1"/>
      <protection locked="0"/>
    </xf>
    <xf numFmtId="1" fontId="3" fillId="5" borderId="12" xfId="0" applyNumberFormat="1" applyFont="1" applyFill="1" applyBorder="1" applyAlignment="1" applyProtection="1">
      <alignment horizontal="center" vertical="center" wrapText="1"/>
      <protection locked="0"/>
    </xf>
    <xf numFmtId="9" fontId="12" fillId="8" borderId="22" xfId="5" applyNumberFormat="1" applyFont="1" applyFill="1" applyBorder="1" applyAlignment="1" applyProtection="1">
      <alignment horizontal="center" vertical="center" wrapText="1"/>
      <protection hidden="1"/>
    </xf>
    <xf numFmtId="9" fontId="12" fillId="8" borderId="33" xfId="5" applyNumberFormat="1" applyFont="1" applyFill="1" applyBorder="1" applyAlignment="1" applyProtection="1">
      <alignment horizontal="center" vertical="center" wrapText="1"/>
      <protection hidden="1"/>
    </xf>
    <xf numFmtId="1" fontId="13" fillId="0" borderId="5" xfId="0" applyNumberFormat="1" applyFont="1" applyBorder="1" applyAlignment="1" applyProtection="1">
      <alignment horizontal="center" vertical="center"/>
      <protection locked="0"/>
    </xf>
    <xf numFmtId="1" fontId="13" fillId="0" borderId="11" xfId="0" applyNumberFormat="1" applyFont="1" applyBorder="1" applyAlignment="1" applyProtection="1">
      <alignment horizontal="center" vertical="center"/>
      <protection locked="0"/>
    </xf>
    <xf numFmtId="1" fontId="13" fillId="0" borderId="12" xfId="0" applyNumberFormat="1"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12" xfId="0" applyFont="1" applyBorder="1" applyAlignment="1">
      <alignment horizontal="center" vertical="center"/>
    </xf>
    <xf numFmtId="0" fontId="12" fillId="0" borderId="5"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3" fillId="0" borderId="1" xfId="0" applyFont="1" applyBorder="1" applyAlignment="1">
      <alignment horizontal="left" vertical="top" wrapText="1"/>
    </xf>
    <xf numFmtId="0" fontId="13" fillId="0" borderId="1" xfId="0" applyFont="1" applyBorder="1" applyAlignment="1">
      <alignment horizontal="left" vertical="top"/>
    </xf>
    <xf numFmtId="1" fontId="12" fillId="0" borderId="1" xfId="0" applyNumberFormat="1" applyFont="1" applyBorder="1" applyAlignment="1">
      <alignment horizontal="center" vertical="top" wrapText="1"/>
    </xf>
    <xf numFmtId="0" fontId="12" fillId="0" borderId="11" xfId="0" applyFont="1" applyBorder="1" applyAlignment="1">
      <alignment horizontal="center" vertical="top" wrapText="1"/>
    </xf>
    <xf numFmtId="0" fontId="12" fillId="0" borderId="12" xfId="0" applyFont="1" applyBorder="1" applyAlignment="1">
      <alignment horizontal="center" vertical="top" wrapText="1"/>
    </xf>
    <xf numFmtId="0" fontId="12" fillId="0" borderId="11" xfId="0" applyFont="1" applyBorder="1" applyAlignment="1">
      <alignment horizontal="center" vertical="center"/>
    </xf>
    <xf numFmtId="0" fontId="12" fillId="0" borderId="5" xfId="0" applyFont="1" applyBorder="1" applyAlignment="1">
      <alignment horizontal="left"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13" fillId="3" borderId="1" xfId="0" applyFont="1" applyFill="1" applyBorder="1" applyAlignment="1">
      <alignment horizontal="center" vertical="center"/>
    </xf>
    <xf numFmtId="164" fontId="13" fillId="3" borderId="1" xfId="7" applyNumberFormat="1" applyFont="1" applyFill="1" applyBorder="1" applyAlignment="1">
      <alignment horizontal="left" vertical="center"/>
    </xf>
    <xf numFmtId="0" fontId="12" fillId="5" borderId="5" xfId="0" applyFont="1" applyFill="1" applyBorder="1" applyAlignment="1">
      <alignment horizontal="center" vertical="center"/>
    </xf>
    <xf numFmtId="0" fontId="12" fillId="5" borderId="11" xfId="0" applyFont="1" applyFill="1" applyBorder="1" applyAlignment="1">
      <alignment horizontal="center" vertical="center"/>
    </xf>
    <xf numFmtId="0" fontId="12" fillId="5" borderId="12" xfId="0" applyFont="1" applyFill="1" applyBorder="1" applyAlignment="1">
      <alignment horizontal="center" vertical="center"/>
    </xf>
    <xf numFmtId="1" fontId="13" fillId="0" borderId="5" xfId="0" applyNumberFormat="1" applyFont="1" applyBorder="1" applyAlignment="1">
      <alignment horizontal="center" vertical="center" wrapText="1"/>
    </xf>
    <xf numFmtId="1" fontId="13" fillId="0" borderId="12" xfId="0" applyNumberFormat="1" applyFont="1" applyBorder="1" applyAlignment="1">
      <alignment horizontal="center" vertical="center" wrapText="1"/>
    </xf>
    <xf numFmtId="14" fontId="13" fillId="0" borderId="5" xfId="0" applyNumberFormat="1" applyFont="1" applyBorder="1" applyAlignment="1">
      <alignment horizontal="center" vertical="top" wrapText="1"/>
    </xf>
    <xf numFmtId="14" fontId="13" fillId="0" borderId="11" xfId="0" applyNumberFormat="1" applyFont="1" applyBorder="1" applyAlignment="1">
      <alignment horizontal="center" vertical="top" wrapText="1"/>
    </xf>
    <xf numFmtId="14" fontId="13" fillId="0" borderId="12" xfId="0" applyNumberFormat="1" applyFont="1" applyBorder="1" applyAlignment="1">
      <alignment horizontal="center" vertical="top" wrapText="1"/>
    </xf>
    <xf numFmtId="0" fontId="6" fillId="3" borderId="14" xfId="0" applyFont="1" applyFill="1" applyBorder="1" applyAlignment="1">
      <alignment horizontal="center"/>
    </xf>
    <xf numFmtId="0" fontId="12" fillId="0" borderId="1" xfId="0" applyFont="1" applyBorder="1" applyAlignment="1">
      <alignment horizontal="left" vertical="top" wrapText="1"/>
    </xf>
    <xf numFmtId="0" fontId="12" fillId="0" borderId="0" xfId="0" applyFont="1" applyAlignment="1">
      <alignment horizontal="left" vertical="top" wrapText="1"/>
    </xf>
    <xf numFmtId="0" fontId="13" fillId="3" borderId="1" xfId="0" applyFont="1" applyFill="1" applyBorder="1" applyAlignment="1">
      <alignment horizontal="center" vertical="top" wrapText="1"/>
    </xf>
    <xf numFmtId="0" fontId="24" fillId="0" borderId="1" xfId="0" applyFont="1" applyBorder="1" applyAlignment="1">
      <alignment horizontal="left" vertical="top" wrapText="1"/>
    </xf>
    <xf numFmtId="0" fontId="12" fillId="0" borderId="1" xfId="0" applyFont="1" applyBorder="1" applyAlignment="1">
      <alignment horizontal="center" vertical="top"/>
    </xf>
    <xf numFmtId="0" fontId="13" fillId="0" borderId="5"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22" fillId="0" borderId="0" xfId="0" applyFont="1" applyAlignment="1">
      <alignment horizontal="center" vertical="center"/>
    </xf>
    <xf numFmtId="0" fontId="13" fillId="0" borderId="1" xfId="0" applyFont="1" applyBorder="1" applyAlignment="1">
      <alignment horizontal="center" vertical="center"/>
    </xf>
    <xf numFmtId="0" fontId="13" fillId="3" borderId="1" xfId="0" applyFont="1" applyFill="1" applyBorder="1" applyAlignment="1">
      <alignment horizontal="left" vertical="top"/>
    </xf>
    <xf numFmtId="0" fontId="13" fillId="5" borderId="1" xfId="0" applyFont="1" applyFill="1" applyBorder="1" applyAlignment="1">
      <alignment horizontal="center" vertical="center"/>
    </xf>
    <xf numFmtId="0" fontId="12" fillId="0" borderId="4" xfId="0" applyFont="1" applyBorder="1" applyAlignment="1">
      <alignment horizontal="center" vertical="top"/>
    </xf>
    <xf numFmtId="0" fontId="12" fillId="0" borderId="13" xfId="0" applyFont="1" applyBorder="1" applyAlignment="1">
      <alignment horizontal="left" vertical="top"/>
    </xf>
    <xf numFmtId="0" fontId="12" fillId="0" borderId="14" xfId="0" applyFont="1" applyBorder="1" applyAlignment="1">
      <alignment horizontal="left" vertical="top"/>
    </xf>
    <xf numFmtId="0" fontId="12" fillId="0" borderId="15" xfId="0" applyFont="1" applyBorder="1" applyAlignment="1">
      <alignment horizontal="left" vertical="top"/>
    </xf>
    <xf numFmtId="0" fontId="12" fillId="0" borderId="10" xfId="0" applyFont="1" applyBorder="1" applyAlignment="1">
      <alignment horizontal="left" vertical="top"/>
    </xf>
    <xf numFmtId="0" fontId="12" fillId="0" borderId="6" xfId="0" applyFont="1" applyBorder="1" applyAlignment="1">
      <alignment horizontal="left" vertical="top"/>
    </xf>
    <xf numFmtId="0" fontId="12" fillId="0" borderId="7" xfId="0" applyFont="1" applyBorder="1" applyAlignment="1">
      <alignment horizontal="left" vertical="top"/>
    </xf>
    <xf numFmtId="0" fontId="12" fillId="0" borderId="8" xfId="0" applyFont="1" applyBorder="1" applyAlignment="1">
      <alignment horizontal="center" vertical="top"/>
    </xf>
    <xf numFmtId="0" fontId="12" fillId="0" borderId="0" xfId="0" applyFont="1" applyAlignment="1">
      <alignment horizontal="center" vertical="top"/>
    </xf>
    <xf numFmtId="0" fontId="12" fillId="0" borderId="9" xfId="0" applyFont="1" applyBorder="1" applyAlignment="1">
      <alignment horizontal="center" vertical="top"/>
    </xf>
    <xf numFmtId="0" fontId="24" fillId="0" borderId="10" xfId="0" applyFont="1" applyBorder="1" applyAlignment="1">
      <alignment horizontal="center" vertical="top" wrapText="1"/>
    </xf>
    <xf numFmtId="0" fontId="24" fillId="0" borderId="6" xfId="0" applyFont="1" applyBorder="1" applyAlignment="1">
      <alignment horizontal="center" vertical="top"/>
    </xf>
    <xf numFmtId="0" fontId="24" fillId="0" borderId="7" xfId="0" applyFont="1" applyBorder="1" applyAlignment="1">
      <alignment horizontal="center" vertical="top"/>
    </xf>
    <xf numFmtId="14" fontId="13" fillId="0" borderId="1" xfId="0" applyNumberFormat="1" applyFont="1" applyBorder="1" applyAlignment="1">
      <alignment horizontal="center" vertical="center"/>
    </xf>
    <xf numFmtId="0" fontId="12" fillId="3" borderId="5" xfId="0" applyFont="1" applyFill="1" applyBorder="1" applyAlignment="1">
      <alignment horizontal="center" vertical="top" wrapText="1"/>
    </xf>
    <xf numFmtId="0" fontId="12" fillId="3" borderId="11" xfId="0" applyFont="1" applyFill="1" applyBorder="1" applyAlignment="1">
      <alignment horizontal="center" vertical="top" wrapText="1"/>
    </xf>
    <xf numFmtId="0" fontId="12" fillId="3" borderId="12" xfId="0" applyFont="1" applyFill="1" applyBorder="1" applyAlignment="1">
      <alignment horizontal="center" vertical="top" wrapText="1"/>
    </xf>
    <xf numFmtId="0" fontId="12" fillId="0" borderId="0" xfId="0" applyFont="1" applyAlignment="1">
      <alignment horizontal="center"/>
    </xf>
    <xf numFmtId="0" fontId="13" fillId="0" borderId="0" xfId="0" applyFont="1" applyAlignment="1">
      <alignment horizontal="center" vertical="top" wrapText="1"/>
    </xf>
    <xf numFmtId="0" fontId="13" fillId="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left" vertical="center" wrapText="1"/>
    </xf>
    <xf numFmtId="0" fontId="13" fillId="0" borderId="0" xfId="0" applyFont="1" applyAlignment="1">
      <alignment horizontal="center"/>
    </xf>
    <xf numFmtId="0" fontId="12" fillId="3" borderId="1" xfId="0" applyFont="1" applyFill="1" applyBorder="1" applyAlignment="1">
      <alignment horizontal="center" vertical="center"/>
    </xf>
    <xf numFmtId="0" fontId="12" fillId="0" borderId="5" xfId="0" applyFont="1" applyBorder="1" applyAlignment="1">
      <alignment horizontal="center" vertical="top" wrapText="1"/>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44" fontId="13" fillId="3" borderId="1" xfId="7" applyFont="1" applyFill="1" applyBorder="1" applyAlignment="1">
      <alignment horizontal="left" vertical="top" wrapText="1"/>
    </xf>
    <xf numFmtId="0" fontId="6" fillId="0" borderId="1" xfId="0" applyFont="1" applyBorder="1" applyAlignment="1">
      <alignment horizontal="left" vertical="top" wrapText="1"/>
    </xf>
    <xf numFmtId="0" fontId="12" fillId="0" borderId="1" xfId="0" applyFont="1" applyBorder="1" applyAlignment="1">
      <alignment vertical="center"/>
    </xf>
    <xf numFmtId="1" fontId="13" fillId="0" borderId="5" xfId="0" applyNumberFormat="1" applyFont="1" applyBorder="1" applyAlignment="1">
      <alignment horizontal="center" vertical="center"/>
    </xf>
    <xf numFmtId="1" fontId="13" fillId="0" borderId="12" xfId="0" applyNumberFormat="1" applyFont="1" applyBorder="1" applyAlignment="1">
      <alignment horizontal="center" vertical="center"/>
    </xf>
    <xf numFmtId="1" fontId="12" fillId="0" borderId="5" xfId="0" applyNumberFormat="1" applyFont="1" applyBorder="1" applyAlignment="1">
      <alignment horizontal="center" vertical="center"/>
    </xf>
    <xf numFmtId="1" fontId="12" fillId="0" borderId="12" xfId="0" applyNumberFormat="1" applyFont="1" applyBorder="1" applyAlignment="1">
      <alignment horizontal="center" vertical="center"/>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1" xfId="0" applyFont="1" applyBorder="1" applyAlignment="1">
      <alignment horizontal="center" vertical="top"/>
    </xf>
    <xf numFmtId="0" fontId="39" fillId="0" borderId="13" xfId="0" applyFont="1" applyBorder="1" applyAlignment="1">
      <alignment horizontal="center" vertical="top" wrapText="1"/>
    </xf>
    <xf numFmtId="0" fontId="39" fillId="0" borderId="15" xfId="0" applyFont="1" applyBorder="1" applyAlignment="1">
      <alignment horizontal="center" vertical="top" wrapText="1"/>
    </xf>
    <xf numFmtId="0" fontId="39" fillId="0" borderId="8" xfId="0" applyFont="1" applyBorder="1" applyAlignment="1">
      <alignment horizontal="center" vertical="top" wrapText="1"/>
    </xf>
    <xf numFmtId="0" fontId="39" fillId="0" borderId="9" xfId="0" applyFont="1" applyBorder="1" applyAlignment="1">
      <alignment horizontal="center" vertical="top" wrapText="1"/>
    </xf>
    <xf numFmtId="0" fontId="39" fillId="0" borderId="10" xfId="0" applyFont="1" applyBorder="1" applyAlignment="1">
      <alignment horizontal="center" vertical="top" wrapText="1"/>
    </xf>
    <xf numFmtId="0" fontId="39" fillId="0" borderId="7" xfId="0" applyFont="1" applyBorder="1" applyAlignment="1">
      <alignment horizontal="center" vertical="top" wrapText="1"/>
    </xf>
    <xf numFmtId="0" fontId="13" fillId="0" borderId="12" xfId="0" applyFont="1" applyBorder="1" applyAlignment="1">
      <alignment horizontal="left" vertical="top"/>
    </xf>
    <xf numFmtId="1" fontId="13" fillId="0" borderId="5" xfId="0" applyNumberFormat="1" applyFont="1" applyBorder="1" applyAlignment="1" applyProtection="1">
      <alignment horizontal="center" vertical="top" wrapText="1"/>
      <protection locked="0"/>
    </xf>
    <xf numFmtId="1" fontId="13" fillId="0" borderId="11" xfId="0" applyNumberFormat="1" applyFont="1" applyBorder="1" applyAlignment="1" applyProtection="1">
      <alignment horizontal="center" vertical="top" wrapText="1"/>
      <protection locked="0"/>
    </xf>
    <xf numFmtId="1" fontId="13" fillId="0" borderId="12" xfId="0" applyNumberFormat="1" applyFont="1" applyBorder="1" applyAlignment="1" applyProtection="1">
      <alignment horizontal="center" vertical="top" wrapText="1"/>
      <protection locked="0"/>
    </xf>
    <xf numFmtId="1" fontId="13" fillId="0" borderId="13" xfId="0" applyNumberFormat="1" applyFont="1" applyBorder="1" applyAlignment="1" applyProtection="1">
      <alignment horizontal="center" vertical="top" wrapText="1"/>
      <protection locked="0"/>
    </xf>
    <xf numFmtId="1" fontId="13" fillId="0" borderId="14" xfId="0" applyNumberFormat="1" applyFont="1" applyBorder="1" applyAlignment="1" applyProtection="1">
      <alignment horizontal="center" vertical="top" wrapText="1"/>
      <protection locked="0"/>
    </xf>
    <xf numFmtId="1" fontId="13" fillId="0" borderId="15" xfId="0" applyNumberFormat="1" applyFont="1" applyBorder="1" applyAlignment="1" applyProtection="1">
      <alignment horizontal="center" vertical="top" wrapText="1"/>
      <protection locked="0"/>
    </xf>
    <xf numFmtId="1" fontId="13" fillId="0" borderId="46" xfId="0" applyNumberFormat="1" applyFont="1" applyBorder="1" applyAlignment="1" applyProtection="1">
      <alignment horizontal="center" vertical="top" wrapText="1"/>
      <protection locked="0"/>
    </xf>
    <xf numFmtId="1" fontId="13" fillId="0" borderId="44" xfId="0" applyNumberFormat="1" applyFont="1" applyBorder="1" applyAlignment="1" applyProtection="1">
      <alignment horizontal="center" vertical="top" wrapText="1"/>
      <protection locked="0"/>
    </xf>
    <xf numFmtId="1" fontId="13" fillId="0" borderId="45" xfId="0" applyNumberFormat="1" applyFont="1" applyBorder="1" applyAlignment="1" applyProtection="1">
      <alignment horizontal="center" vertical="top" wrapText="1"/>
      <protection locked="0"/>
    </xf>
    <xf numFmtId="1" fontId="13" fillId="0" borderId="47" xfId="0" applyNumberFormat="1" applyFont="1" applyBorder="1" applyAlignment="1" applyProtection="1">
      <alignment horizontal="center" vertical="top" wrapText="1"/>
      <protection locked="0"/>
    </xf>
    <xf numFmtId="0" fontId="15" fillId="0" borderId="0" xfId="0" applyFont="1" applyAlignment="1">
      <alignment horizont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left"/>
    </xf>
    <xf numFmtId="0" fontId="13" fillId="0" borderId="9" xfId="0" applyFont="1" applyBorder="1" applyAlignment="1">
      <alignment horizontal="left"/>
    </xf>
    <xf numFmtId="0" fontId="18" fillId="0" borderId="5" xfId="6" applyFont="1" applyBorder="1" applyAlignment="1" applyProtection="1">
      <alignment horizontal="center" vertical="top" wrapText="1"/>
      <protection locked="0"/>
    </xf>
    <xf numFmtId="0" fontId="18" fillId="0" borderId="11" xfId="6" applyFont="1" applyBorder="1" applyAlignment="1" applyProtection="1">
      <alignment horizontal="center" vertical="top" wrapText="1"/>
      <protection locked="0"/>
    </xf>
    <xf numFmtId="0" fontId="18" fillId="0" borderId="12" xfId="6" applyFont="1" applyBorder="1" applyAlignment="1" applyProtection="1">
      <alignment horizontal="center" vertical="top" wrapText="1"/>
      <protection locked="0"/>
    </xf>
    <xf numFmtId="14" fontId="12" fillId="0" borderId="0" xfId="0" applyNumberFormat="1" applyFont="1" applyAlignment="1">
      <alignment horizontal="center"/>
    </xf>
    <xf numFmtId="0" fontId="12" fillId="0" borderId="9" xfId="0" applyFont="1" applyBorder="1" applyAlignment="1">
      <alignment horizontal="center"/>
    </xf>
    <xf numFmtId="0" fontId="13" fillId="0" borderId="0" xfId="0" applyFont="1" applyAlignment="1">
      <alignment horizontal="left" vertical="top"/>
    </xf>
    <xf numFmtId="0" fontId="13" fillId="0" borderId="1" xfId="0" applyFont="1" applyBorder="1" applyAlignment="1">
      <alignment horizontal="center" vertical="top" wrapText="1"/>
    </xf>
    <xf numFmtId="0" fontId="12" fillId="0" borderId="5" xfId="0" applyFont="1" applyBorder="1" applyAlignment="1">
      <alignment horizontal="left"/>
    </xf>
    <xf numFmtId="0" fontId="12" fillId="0" borderId="11" xfId="0" applyFont="1" applyBorder="1" applyAlignment="1">
      <alignment horizontal="left"/>
    </xf>
    <xf numFmtId="0" fontId="12" fillId="0" borderId="12" xfId="0" applyFont="1" applyBorder="1" applyAlignment="1">
      <alignment horizontal="left"/>
    </xf>
    <xf numFmtId="0" fontId="12" fillId="0" borderId="1" xfId="0" applyFont="1" applyBorder="1" applyAlignment="1">
      <alignment horizontal="center" vertical="top" wrapText="1"/>
    </xf>
    <xf numFmtId="0" fontId="12" fillId="0" borderId="5" xfId="0" applyFont="1" applyBorder="1" applyAlignment="1">
      <alignment horizontal="center"/>
    </xf>
    <xf numFmtId="0" fontId="12" fillId="0" borderId="11" xfId="0" applyFont="1" applyBorder="1" applyAlignment="1">
      <alignment horizontal="center"/>
    </xf>
    <xf numFmtId="0" fontId="12" fillId="0" borderId="12" xfId="0" applyFont="1" applyBorder="1" applyAlignment="1">
      <alignment horizontal="center"/>
    </xf>
    <xf numFmtId="0" fontId="24" fillId="0" borderId="5"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13" fillId="5" borderId="1" xfId="0" applyFont="1" applyFill="1" applyBorder="1" applyAlignment="1">
      <alignment horizontal="center" vertical="top"/>
    </xf>
    <xf numFmtId="14" fontId="12" fillId="0" borderId="1" xfId="0" applyNumberFormat="1" applyFont="1" applyBorder="1" applyAlignment="1">
      <alignment horizontal="left"/>
    </xf>
    <xf numFmtId="0" fontId="24" fillId="0" borderId="13" xfId="0" applyFont="1" applyBorder="1" applyAlignment="1">
      <alignment horizontal="left" vertical="top" wrapText="1"/>
    </xf>
    <xf numFmtId="0" fontId="24" fillId="0" borderId="14" xfId="0" applyFont="1" applyBorder="1" applyAlignment="1">
      <alignment horizontal="left" vertical="top" wrapText="1"/>
    </xf>
    <xf numFmtId="0" fontId="24" fillId="0" borderId="15" xfId="0" applyFont="1" applyBorder="1" applyAlignment="1">
      <alignment horizontal="left" vertical="top" wrapText="1"/>
    </xf>
    <xf numFmtId="0" fontId="24" fillId="0" borderId="8" xfId="0" applyFont="1" applyBorder="1" applyAlignment="1">
      <alignment horizontal="left" vertical="top" wrapText="1"/>
    </xf>
    <xf numFmtId="0" fontId="24" fillId="0" borderId="0" xfId="0" applyFont="1" applyAlignment="1">
      <alignment horizontal="left" vertical="top" wrapText="1"/>
    </xf>
    <xf numFmtId="0" fontId="24" fillId="0" borderId="9" xfId="0" applyFont="1" applyBorder="1" applyAlignment="1">
      <alignment horizontal="left" vertical="top" wrapText="1"/>
    </xf>
    <xf numFmtId="0" fontId="12" fillId="3" borderId="5"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12" fillId="4" borderId="1" xfId="0" applyFont="1" applyFill="1" applyBorder="1" applyAlignment="1">
      <alignment horizontal="center" vertical="center"/>
    </xf>
    <xf numFmtId="0" fontId="24" fillId="0" borderId="1" xfId="0" applyFont="1" applyBorder="1" applyAlignment="1">
      <alignment horizontal="center" vertical="top" wrapText="1"/>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3" fillId="0" borderId="11" xfId="0" applyFont="1" applyBorder="1" applyAlignment="1">
      <alignment horizontal="center" vertical="top" wrapText="1"/>
    </xf>
    <xf numFmtId="14" fontId="12" fillId="0" borderId="1" xfId="0" applyNumberFormat="1" applyFont="1" applyBorder="1" applyAlignment="1">
      <alignment horizontal="left" vertical="top" wrapText="1"/>
    </xf>
    <xf numFmtId="165" fontId="12" fillId="0" borderId="1" xfId="0" applyNumberFormat="1" applyFont="1" applyBorder="1" applyAlignment="1">
      <alignment horizontal="center"/>
    </xf>
    <xf numFmtId="0" fontId="12" fillId="0" borderId="1" xfId="0" applyFont="1" applyBorder="1" applyAlignment="1">
      <alignment horizontal="center"/>
    </xf>
    <xf numFmtId="0" fontId="13" fillId="5" borderId="5" xfId="0" applyFont="1" applyFill="1" applyBorder="1" applyAlignment="1">
      <alignment horizontal="center" wrapText="1"/>
    </xf>
    <xf numFmtId="0" fontId="13" fillId="5" borderId="11" xfId="0" applyFont="1" applyFill="1" applyBorder="1" applyAlignment="1">
      <alignment horizontal="center" wrapText="1"/>
    </xf>
    <xf numFmtId="0" fontId="13" fillId="5" borderId="12" xfId="0" applyFont="1" applyFill="1" applyBorder="1" applyAlignment="1">
      <alignment horizontal="center" wrapText="1"/>
    </xf>
    <xf numFmtId="0" fontId="13" fillId="0" borderId="13" xfId="0" applyFont="1" applyBorder="1" applyAlignment="1">
      <alignment horizontal="left" vertical="top" wrapText="1"/>
    </xf>
    <xf numFmtId="0" fontId="25" fillId="0" borderId="1" xfId="3" applyFont="1" applyBorder="1" applyAlignment="1" applyProtection="1">
      <alignment horizontal="left" vertical="top" wrapText="1"/>
    </xf>
    <xf numFmtId="0" fontId="21" fillId="0" borderId="1" xfId="0" applyFont="1" applyBorder="1" applyAlignment="1">
      <alignment horizontal="left" vertical="top" wrapText="1"/>
    </xf>
    <xf numFmtId="14" fontId="12" fillId="0" borderId="5" xfId="0" applyNumberFormat="1" applyFont="1" applyBorder="1" applyAlignment="1">
      <alignment horizontal="left" vertical="top" wrapText="1"/>
    </xf>
    <xf numFmtId="14" fontId="12" fillId="0" borderId="11" xfId="0" applyNumberFormat="1" applyFont="1" applyBorder="1" applyAlignment="1">
      <alignment horizontal="left" vertical="top" wrapText="1"/>
    </xf>
    <xf numFmtId="14" fontId="12" fillId="0" borderId="12" xfId="0" applyNumberFormat="1" applyFont="1" applyBorder="1" applyAlignment="1">
      <alignment horizontal="left" vertical="top" wrapText="1"/>
    </xf>
    <xf numFmtId="0" fontId="24" fillId="0" borderId="5" xfId="0" applyFont="1" applyBorder="1" applyAlignment="1">
      <alignment horizontal="center" vertical="top" wrapText="1"/>
    </xf>
    <xf numFmtId="0" fontId="24" fillId="0" borderId="11" xfId="0" applyFont="1" applyBorder="1" applyAlignment="1">
      <alignment horizontal="center" vertical="top" wrapText="1"/>
    </xf>
    <xf numFmtId="0" fontId="24" fillId="0" borderId="12" xfId="0" applyFont="1" applyBorder="1" applyAlignment="1">
      <alignment horizontal="center" vertical="top" wrapText="1"/>
    </xf>
    <xf numFmtId="0" fontId="13" fillId="5" borderId="1" xfId="0" applyFont="1" applyFill="1" applyBorder="1" applyAlignment="1">
      <alignment horizontal="center"/>
    </xf>
    <xf numFmtId="0" fontId="13" fillId="5" borderId="11" xfId="0" applyFont="1" applyFill="1" applyBorder="1" applyAlignment="1">
      <alignment horizontal="center"/>
    </xf>
    <xf numFmtId="0" fontId="13" fillId="5" borderId="12" xfId="0" applyFont="1" applyFill="1" applyBorder="1" applyAlignment="1">
      <alignment horizontal="center"/>
    </xf>
    <xf numFmtId="0" fontId="12" fillId="5" borderId="1" xfId="0" applyFont="1" applyFill="1" applyBorder="1" applyAlignment="1">
      <alignment horizontal="center"/>
    </xf>
    <xf numFmtId="44" fontId="13" fillId="5" borderId="11" xfId="7" applyFont="1" applyFill="1" applyBorder="1" applyAlignment="1">
      <alignment horizontal="center"/>
    </xf>
    <xf numFmtId="44" fontId="13" fillId="5" borderId="12" xfId="7" applyFont="1" applyFill="1" applyBorder="1" applyAlignment="1">
      <alignment horizontal="center"/>
    </xf>
    <xf numFmtId="0" fontId="12" fillId="5" borderId="1" xfId="0" applyFont="1" applyFill="1" applyBorder="1" applyAlignment="1">
      <alignment horizontal="center" vertical="top" wrapText="1"/>
    </xf>
    <xf numFmtId="0" fontId="12" fillId="5" borderId="1" xfId="0" applyFont="1" applyFill="1" applyBorder="1" applyAlignment="1">
      <alignment horizontal="center" vertical="top"/>
    </xf>
    <xf numFmtId="164" fontId="13" fillId="5" borderId="11" xfId="7" applyNumberFormat="1" applyFont="1" applyFill="1" applyBorder="1" applyAlignment="1">
      <alignment vertical="top"/>
    </xf>
    <xf numFmtId="164" fontId="13" fillId="5" borderId="12" xfId="7" applyNumberFormat="1" applyFont="1" applyFill="1" applyBorder="1" applyAlignment="1">
      <alignment vertical="top"/>
    </xf>
    <xf numFmtId="0" fontId="13" fillId="3" borderId="5" xfId="0" applyFont="1" applyFill="1" applyBorder="1" applyAlignment="1">
      <alignment horizontal="left" vertical="top" wrapText="1"/>
    </xf>
    <xf numFmtId="0" fontId="13" fillId="3" borderId="11" xfId="0" applyFont="1" applyFill="1" applyBorder="1" applyAlignment="1">
      <alignment horizontal="left" vertical="top" wrapText="1"/>
    </xf>
    <xf numFmtId="0" fontId="13" fillId="3" borderId="12" xfId="0" applyFont="1" applyFill="1" applyBorder="1" applyAlignment="1">
      <alignment horizontal="left" vertical="top"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5" fillId="0" borderId="5" xfId="0" applyFont="1" applyBorder="1" applyAlignment="1">
      <alignment horizontal="center" vertical="top"/>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3" fillId="0" borderId="11" xfId="0" applyFont="1" applyBorder="1" applyAlignment="1">
      <alignment horizontal="left"/>
    </xf>
    <xf numFmtId="0" fontId="14" fillId="0" borderId="5" xfId="0" applyFont="1" applyBorder="1" applyAlignment="1">
      <alignment horizontal="center" vertical="top" wrapText="1"/>
    </xf>
    <xf numFmtId="0" fontId="14" fillId="0" borderId="12" xfId="0" applyFont="1" applyBorder="1" applyAlignment="1">
      <alignment horizontal="center" vertical="top" wrapText="1"/>
    </xf>
    <xf numFmtId="0" fontId="13" fillId="5" borderId="5" xfId="0" applyFont="1" applyFill="1" applyBorder="1" applyAlignment="1">
      <alignment horizontal="center" vertical="top"/>
    </xf>
    <xf numFmtId="0" fontId="12" fillId="5" borderId="11" xfId="0" applyFont="1" applyFill="1" applyBorder="1" applyAlignment="1">
      <alignment horizontal="center" vertical="top"/>
    </xf>
    <xf numFmtId="0" fontId="12" fillId="5" borderId="12" xfId="0" applyFont="1" applyFill="1" applyBorder="1" applyAlignment="1">
      <alignment horizontal="center" vertical="top"/>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4" borderId="5"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12" xfId="0" applyFont="1" applyFill="1" applyBorder="1" applyAlignment="1">
      <alignment horizontal="center" vertical="center"/>
    </xf>
    <xf numFmtId="0" fontId="12" fillId="3" borderId="5" xfId="0" applyFont="1" applyFill="1" applyBorder="1" applyAlignment="1">
      <alignment horizontal="left" vertical="center"/>
    </xf>
    <xf numFmtId="0" fontId="12" fillId="3" borderId="11" xfId="0" applyFont="1" applyFill="1" applyBorder="1" applyAlignment="1">
      <alignment horizontal="left" vertical="center"/>
    </xf>
    <xf numFmtId="0" fontId="12" fillId="3" borderId="12" xfId="0" applyFont="1" applyFill="1" applyBorder="1" applyAlignment="1">
      <alignment horizontal="left" vertical="center"/>
    </xf>
    <xf numFmtId="0" fontId="12" fillId="0" borderId="8" xfId="0" applyFont="1" applyBorder="1" applyAlignment="1">
      <alignment horizontal="left" vertical="top"/>
    </xf>
    <xf numFmtId="0" fontId="12" fillId="0" borderId="0" xfId="0" applyFont="1" applyAlignment="1">
      <alignment horizontal="left" vertical="top"/>
    </xf>
    <xf numFmtId="0" fontId="12" fillId="0" borderId="9" xfId="0" applyFont="1" applyBorder="1" applyAlignment="1">
      <alignment horizontal="left" vertical="top"/>
    </xf>
    <xf numFmtId="167" fontId="12" fillId="0" borderId="5" xfId="0" applyNumberFormat="1" applyFont="1" applyBorder="1" applyAlignment="1">
      <alignment horizontal="center"/>
    </xf>
    <xf numFmtId="0" fontId="13" fillId="4" borderId="5" xfId="0" applyFont="1" applyFill="1" applyBorder="1" applyAlignment="1">
      <alignment horizontal="center" vertical="center"/>
    </xf>
    <xf numFmtId="0" fontId="13" fillId="4" borderId="11" xfId="0" applyFont="1" applyFill="1" applyBorder="1" applyAlignment="1">
      <alignment horizontal="center" vertical="center"/>
    </xf>
    <xf numFmtId="0" fontId="13" fillId="4" borderId="12" xfId="0" applyFont="1" applyFill="1" applyBorder="1" applyAlignment="1">
      <alignment horizontal="center" vertical="center"/>
    </xf>
    <xf numFmtId="0" fontId="38" fillId="0" borderId="2" xfId="0" applyFont="1" applyBorder="1" applyAlignment="1">
      <alignment horizontal="center" vertical="top" wrapText="1"/>
    </xf>
    <xf numFmtId="0" fontId="38" fillId="0" borderId="8" xfId="0" applyFont="1" applyBorder="1" applyAlignment="1">
      <alignment horizontal="center" vertical="top" wrapText="1"/>
    </xf>
    <xf numFmtId="0" fontId="38" fillId="0" borderId="10" xfId="0" applyFont="1" applyBorder="1" applyAlignment="1">
      <alignment horizontal="center" vertical="top" wrapText="1"/>
    </xf>
    <xf numFmtId="0" fontId="15" fillId="0" borderId="10" xfId="0" applyFont="1" applyBorder="1" applyAlignment="1">
      <alignment horizontal="center" vertical="top"/>
    </xf>
    <xf numFmtId="0" fontId="15" fillId="0" borderId="6" xfId="0" applyFont="1" applyBorder="1" applyAlignment="1">
      <alignment horizontal="center" vertical="top"/>
    </xf>
    <xf numFmtId="0" fontId="15" fillId="0" borderId="7" xfId="0" applyFont="1" applyBorder="1" applyAlignment="1">
      <alignment horizontal="center" vertical="top"/>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1" fontId="12" fillId="3" borderId="5" xfId="0" applyNumberFormat="1" applyFont="1" applyFill="1" applyBorder="1" applyAlignment="1">
      <alignment horizontal="center" vertical="center"/>
    </xf>
    <xf numFmtId="1" fontId="12" fillId="3" borderId="11" xfId="0" applyNumberFormat="1" applyFont="1" applyFill="1" applyBorder="1" applyAlignment="1">
      <alignment horizontal="center" vertical="center"/>
    </xf>
    <xf numFmtId="1" fontId="12" fillId="3" borderId="12" xfId="0" applyNumberFormat="1" applyFont="1" applyFill="1" applyBorder="1" applyAlignment="1">
      <alignment horizontal="center" vertical="center"/>
    </xf>
    <xf numFmtId="44" fontId="13" fillId="0" borderId="5" xfId="7" applyFont="1" applyFill="1" applyBorder="1" applyAlignment="1">
      <alignment horizontal="center" vertical="center" wrapText="1"/>
    </xf>
    <xf numFmtId="44" fontId="13" fillId="0" borderId="12" xfId="7" applyFont="1" applyFill="1" applyBorder="1" applyAlignment="1">
      <alignment horizontal="center" vertical="center" wrapText="1"/>
    </xf>
    <xf numFmtId="0" fontId="31" fillId="0" borderId="5" xfId="0" applyFont="1" applyBorder="1" applyAlignment="1">
      <alignment horizontal="center" vertical="center" wrapText="1"/>
    </xf>
    <xf numFmtId="0" fontId="31" fillId="0" borderId="12" xfId="0" applyFont="1" applyBorder="1" applyAlignment="1">
      <alignment horizontal="center" vertical="center" wrapText="1"/>
    </xf>
    <xf numFmtId="167" fontId="12" fillId="0" borderId="1" xfId="0" applyNumberFormat="1" applyFont="1" applyBorder="1" applyAlignment="1">
      <alignment horizontal="center" vertical="top"/>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24" fillId="0" borderId="0" xfId="0" applyFont="1" applyAlignment="1">
      <alignment horizontal="left" vertical="top"/>
    </xf>
    <xf numFmtId="14" fontId="24" fillId="0" borderId="0" xfId="0" applyNumberFormat="1" applyFont="1" applyAlignment="1">
      <alignment horizontal="left" vertical="top"/>
    </xf>
    <xf numFmtId="44" fontId="31" fillId="3" borderId="1" xfId="7" applyFont="1" applyFill="1" applyBorder="1" applyAlignment="1">
      <alignment horizontal="left" vertical="top" wrapText="1"/>
    </xf>
    <xf numFmtId="0" fontId="24" fillId="0" borderId="5" xfId="0" applyFont="1" applyBorder="1" applyAlignment="1">
      <alignment horizontal="left" vertical="top" wrapText="1"/>
    </xf>
    <xf numFmtId="0" fontId="14" fillId="0" borderId="1" xfId="0" applyFont="1" applyBorder="1" applyAlignment="1">
      <alignment horizontal="center" vertical="top"/>
    </xf>
    <xf numFmtId="0" fontId="10" fillId="0" borderId="1" xfId="0" applyFont="1" applyBorder="1" applyAlignment="1">
      <alignment horizontal="center" vertical="top" wrapText="1"/>
    </xf>
    <xf numFmtId="0" fontId="10" fillId="0" borderId="1" xfId="0" applyFont="1" applyBorder="1" applyAlignment="1">
      <alignment horizontal="center"/>
    </xf>
    <xf numFmtId="0" fontId="10" fillId="0" borderId="5"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4" fillId="6" borderId="16" xfId="6" applyFont="1" applyFill="1" applyBorder="1" applyAlignment="1" applyProtection="1">
      <alignment horizontal="left" vertical="top" wrapText="1"/>
      <protection locked="0"/>
    </xf>
    <xf numFmtId="0" fontId="14" fillId="6" borderId="17" xfId="6" applyFont="1" applyFill="1" applyBorder="1" applyAlignment="1" applyProtection="1">
      <alignment horizontal="left" vertical="top" wrapText="1"/>
      <protection locked="0"/>
    </xf>
    <xf numFmtId="0" fontId="14" fillId="6" borderId="21" xfId="6" applyFont="1" applyFill="1" applyBorder="1" applyAlignment="1" applyProtection="1">
      <alignment horizontal="left" vertical="top" wrapText="1"/>
      <protection locked="0"/>
    </xf>
    <xf numFmtId="0" fontId="14" fillId="6" borderId="1" xfId="6" applyFont="1" applyFill="1" applyBorder="1" applyAlignment="1" applyProtection="1">
      <alignment horizontal="left" vertical="top" wrapText="1"/>
      <protection locked="0"/>
    </xf>
    <xf numFmtId="0" fontId="14" fillId="7" borderId="25" xfId="6" applyFont="1" applyFill="1" applyBorder="1" applyAlignment="1" applyProtection="1">
      <alignment horizontal="left" vertical="top" wrapText="1"/>
      <protection locked="0"/>
    </xf>
    <xf numFmtId="0" fontId="14" fillId="7" borderId="11" xfId="6" applyFont="1" applyFill="1" applyBorder="1" applyAlignment="1" applyProtection="1">
      <alignment horizontal="left" vertical="top" wrapText="1"/>
      <protection locked="0"/>
    </xf>
    <xf numFmtId="0" fontId="14" fillId="7" borderId="26" xfId="6" applyFont="1" applyFill="1" applyBorder="1" applyAlignment="1" applyProtection="1">
      <alignment horizontal="left" vertical="top" wrapText="1"/>
      <protection locked="0"/>
    </xf>
    <xf numFmtId="0" fontId="28" fillId="7" borderId="5" xfId="6" applyFont="1" applyFill="1" applyBorder="1" applyAlignment="1" applyProtection="1">
      <alignment horizontal="center" vertical="center" wrapText="1"/>
      <protection locked="0"/>
    </xf>
    <xf numFmtId="0" fontId="28" fillId="7" borderId="26" xfId="6" applyFont="1" applyFill="1" applyBorder="1" applyAlignment="1" applyProtection="1">
      <alignment horizontal="center" vertical="center" wrapText="1"/>
      <protection locked="0"/>
    </xf>
    <xf numFmtId="9" fontId="28" fillId="7" borderId="13" xfId="6" applyNumberFormat="1" applyFont="1" applyFill="1" applyBorder="1" applyAlignment="1" applyProtection="1">
      <alignment horizontal="center" vertical="center" wrapText="1"/>
      <protection hidden="1"/>
    </xf>
    <xf numFmtId="9" fontId="28" fillId="7" borderId="27" xfId="6" applyNumberFormat="1" applyFont="1" applyFill="1" applyBorder="1" applyAlignment="1" applyProtection="1">
      <alignment horizontal="center" vertical="center" wrapText="1"/>
      <protection hidden="1"/>
    </xf>
    <xf numFmtId="9" fontId="28" fillId="7" borderId="8" xfId="6" applyNumberFormat="1" applyFont="1" applyFill="1" applyBorder="1" applyAlignment="1" applyProtection="1">
      <alignment horizontal="center" vertical="center" wrapText="1"/>
      <protection hidden="1"/>
    </xf>
    <xf numFmtId="9" fontId="28" fillId="7" borderId="23" xfId="6" applyNumberFormat="1" applyFont="1" applyFill="1" applyBorder="1" applyAlignment="1" applyProtection="1">
      <alignment horizontal="center" vertical="center" wrapText="1"/>
      <protection hidden="1"/>
    </xf>
    <xf numFmtId="9" fontId="28" fillId="7" borderId="30" xfId="6" applyNumberFormat="1" applyFont="1" applyFill="1" applyBorder="1" applyAlignment="1" applyProtection="1">
      <alignment horizontal="center" vertical="center" wrapText="1"/>
      <protection hidden="1"/>
    </xf>
    <xf numFmtId="9" fontId="28" fillId="7" borderId="31" xfId="6" applyNumberFormat="1" applyFont="1" applyFill="1" applyBorder="1" applyAlignment="1" applyProtection="1">
      <alignment horizontal="center" vertical="center" wrapText="1"/>
      <protection hidden="1"/>
    </xf>
  </cellXfs>
  <cellStyles count="9">
    <cellStyle name="Comma" xfId="8" builtinId="3"/>
    <cellStyle name="Currency" xfId="7" builtinId="4"/>
    <cellStyle name="Excel Built-in Normal" xfId="1"/>
    <cellStyle name="Excel Built-in Normal 2" xfId="2"/>
    <cellStyle name="Hyperlink" xfId="3" builtinId="8"/>
    <cellStyle name="Normal" xfId="0" builtinId="0"/>
    <cellStyle name="Normal 2" xfId="4"/>
    <cellStyle name="Normal 3" xfId="6"/>
    <cellStyle name="Normal 3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_rels/drawing2.xml.rels><?xml version="1.0" encoding="UTF-8" standalone="yes"?>
<Relationships xmlns="http://schemas.openxmlformats.org/package/2006/relationships"><Relationship Id="rId3" Type="http://schemas.openxmlformats.org/officeDocument/2006/relationships/image" Target="../media/image34.png"/><Relationship Id="rId2" Type="http://schemas.openxmlformats.org/officeDocument/2006/relationships/image" Target="../media/image33.png"/><Relationship Id="rId1" Type="http://schemas.openxmlformats.org/officeDocument/2006/relationships/image" Target="../media/image32.png"/><Relationship Id="rId6" Type="http://schemas.openxmlformats.org/officeDocument/2006/relationships/image" Target="../media/image37.png"/><Relationship Id="rId5" Type="http://schemas.openxmlformats.org/officeDocument/2006/relationships/image" Target="../media/image36.png"/><Relationship Id="rId4" Type="http://schemas.openxmlformats.org/officeDocument/2006/relationships/image" Target="../media/image35.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9</xdr:row>
      <xdr:rowOff>201146</xdr:rowOff>
    </xdr:from>
    <xdr:to>
      <xdr:col>12</xdr:col>
      <xdr:colOff>319368</xdr:colOff>
      <xdr:row>31</xdr:row>
      <xdr:rowOff>9243</xdr:rowOff>
    </xdr:to>
    <xdr:pic>
      <xdr:nvPicPr>
        <xdr:cNvPr id="4" name="Picture 3" descr="Mansh Bhaveshwar Callista Elevation">
          <a:extLst>
            <a:ext uri="{FF2B5EF4-FFF2-40B4-BE49-F238E27FC236}">
              <a16:creationId xmlns:a16="http://schemas.microsoft.com/office/drawing/2014/main" xmlns="" id="{4BEC456B-AB6B-4B96-AD90-5575861A0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784412" y="2162175"/>
          <a:ext cx="6359338" cy="401030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180975</xdr:colOff>
      <xdr:row>58</xdr:row>
      <xdr:rowOff>276225</xdr:rowOff>
    </xdr:from>
    <xdr:to>
      <xdr:col>16</xdr:col>
      <xdr:colOff>333684</xdr:colOff>
      <xdr:row>60</xdr:row>
      <xdr:rowOff>362079</xdr:rowOff>
    </xdr:to>
    <xdr:pic>
      <xdr:nvPicPr>
        <xdr:cNvPr id="2" name="Picture 1">
          <a:extLst>
            <a:ext uri="{FF2B5EF4-FFF2-40B4-BE49-F238E27FC236}">
              <a16:creationId xmlns:a16="http://schemas.microsoft.com/office/drawing/2014/main" xmlns="" id="{5126F773-4746-4F3B-9210-F0636FE47CBE}"/>
            </a:ext>
          </a:extLst>
        </xdr:cNvPr>
        <xdr:cNvPicPr>
          <a:picLocks noChangeAspect="1"/>
        </xdr:cNvPicPr>
      </xdr:nvPicPr>
      <xdr:blipFill>
        <a:blip xmlns:r="http://schemas.openxmlformats.org/officeDocument/2006/relationships" r:embed="rId2"/>
        <a:stretch>
          <a:fillRect/>
        </a:stretch>
      </xdr:blipFill>
      <xdr:spPr>
        <a:xfrm>
          <a:off x="8048625" y="14430375"/>
          <a:ext cx="2219635" cy="914528"/>
        </a:xfrm>
        <a:prstGeom prst="rect">
          <a:avLst/>
        </a:prstGeom>
      </xdr:spPr>
    </xdr:pic>
    <xdr:clientData/>
  </xdr:twoCellAnchor>
  <xdr:twoCellAnchor editAs="oneCell">
    <xdr:from>
      <xdr:col>14</xdr:col>
      <xdr:colOff>190500</xdr:colOff>
      <xdr:row>64</xdr:row>
      <xdr:rowOff>95250</xdr:rowOff>
    </xdr:from>
    <xdr:to>
      <xdr:col>22</xdr:col>
      <xdr:colOff>10298</xdr:colOff>
      <xdr:row>68</xdr:row>
      <xdr:rowOff>19146</xdr:rowOff>
    </xdr:to>
    <xdr:pic>
      <xdr:nvPicPr>
        <xdr:cNvPr id="5" name="Picture 4">
          <a:extLst>
            <a:ext uri="{FF2B5EF4-FFF2-40B4-BE49-F238E27FC236}">
              <a16:creationId xmlns:a16="http://schemas.microsoft.com/office/drawing/2014/main" xmlns="" id="{877A58F3-A6ED-4A94-ADEF-24169D785607}"/>
            </a:ext>
          </a:extLst>
        </xdr:cNvPr>
        <xdr:cNvPicPr>
          <a:picLocks noChangeAspect="1"/>
        </xdr:cNvPicPr>
      </xdr:nvPicPr>
      <xdr:blipFill>
        <a:blip xmlns:r="http://schemas.openxmlformats.org/officeDocument/2006/relationships" r:embed="rId3"/>
        <a:stretch>
          <a:fillRect/>
        </a:stretch>
      </xdr:blipFill>
      <xdr:spPr>
        <a:xfrm>
          <a:off x="8058150" y="16821150"/>
          <a:ext cx="5544324" cy="685896"/>
        </a:xfrm>
        <a:prstGeom prst="rect">
          <a:avLst/>
        </a:prstGeom>
      </xdr:spPr>
    </xdr:pic>
    <xdr:clientData/>
  </xdr:twoCellAnchor>
  <xdr:twoCellAnchor editAs="oneCell">
    <xdr:from>
      <xdr:col>14</xdr:col>
      <xdr:colOff>791136</xdr:colOff>
      <xdr:row>232</xdr:row>
      <xdr:rowOff>276784</xdr:rowOff>
    </xdr:from>
    <xdr:to>
      <xdr:col>26</xdr:col>
      <xdr:colOff>137455</xdr:colOff>
      <xdr:row>247</xdr:row>
      <xdr:rowOff>4121</xdr:rowOff>
    </xdr:to>
    <xdr:pic>
      <xdr:nvPicPr>
        <xdr:cNvPr id="6" name="Picture 5">
          <a:extLst>
            <a:ext uri="{FF2B5EF4-FFF2-40B4-BE49-F238E27FC236}">
              <a16:creationId xmlns:a16="http://schemas.microsoft.com/office/drawing/2014/main" xmlns="" id="{F97AF64A-674C-4164-AF55-2AC2B26A3095}"/>
            </a:ext>
          </a:extLst>
        </xdr:cNvPr>
        <xdr:cNvPicPr>
          <a:picLocks noChangeAspect="1"/>
        </xdr:cNvPicPr>
      </xdr:nvPicPr>
      <xdr:blipFill>
        <a:blip xmlns:r="http://schemas.openxmlformats.org/officeDocument/2006/relationships" r:embed="rId4"/>
        <a:stretch>
          <a:fillRect/>
        </a:stretch>
      </xdr:blipFill>
      <xdr:spPr>
        <a:xfrm>
          <a:off x="8680077" y="58020696"/>
          <a:ext cx="7470584" cy="2876190"/>
        </a:xfrm>
        <a:prstGeom prst="rect">
          <a:avLst/>
        </a:prstGeom>
      </xdr:spPr>
    </xdr:pic>
    <xdr:clientData/>
  </xdr:twoCellAnchor>
  <xdr:twoCellAnchor editAs="oneCell">
    <xdr:from>
      <xdr:col>14</xdr:col>
      <xdr:colOff>609600</xdr:colOff>
      <xdr:row>126</xdr:row>
      <xdr:rowOff>76200</xdr:rowOff>
    </xdr:from>
    <xdr:to>
      <xdr:col>22</xdr:col>
      <xdr:colOff>285075</xdr:colOff>
      <xdr:row>135</xdr:row>
      <xdr:rowOff>29485</xdr:rowOff>
    </xdr:to>
    <xdr:pic>
      <xdr:nvPicPr>
        <xdr:cNvPr id="7" name="Picture 6">
          <a:extLst>
            <a:ext uri="{FF2B5EF4-FFF2-40B4-BE49-F238E27FC236}">
              <a16:creationId xmlns:a16="http://schemas.microsoft.com/office/drawing/2014/main" xmlns="" id="{A5A62AB4-F839-401E-9F88-15DFE62FB2FA}"/>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8782050" y="34175700"/>
          <a:ext cx="5400000" cy="2067835"/>
        </a:xfrm>
        <a:prstGeom prst="rect">
          <a:avLst/>
        </a:prstGeom>
      </xdr:spPr>
    </xdr:pic>
    <xdr:clientData/>
  </xdr:twoCellAnchor>
  <xdr:twoCellAnchor editAs="oneCell">
    <xdr:from>
      <xdr:col>14</xdr:col>
      <xdr:colOff>174812</xdr:colOff>
      <xdr:row>288</xdr:row>
      <xdr:rowOff>143435</xdr:rowOff>
    </xdr:from>
    <xdr:to>
      <xdr:col>25</xdr:col>
      <xdr:colOff>148097</xdr:colOff>
      <xdr:row>307</xdr:row>
      <xdr:rowOff>141277</xdr:rowOff>
    </xdr:to>
    <xdr:pic>
      <xdr:nvPicPr>
        <xdr:cNvPr id="8" name="Picture 7">
          <a:extLst>
            <a:ext uri="{FF2B5EF4-FFF2-40B4-BE49-F238E27FC236}">
              <a16:creationId xmlns:a16="http://schemas.microsoft.com/office/drawing/2014/main" xmlns="" id="{8FB39FBA-0F27-47DF-8CE7-1BE56E10BEEF}"/>
            </a:ext>
          </a:extLst>
        </xdr:cNvPr>
        <xdr:cNvPicPr>
          <a:picLocks noChangeAspect="1"/>
        </xdr:cNvPicPr>
      </xdr:nvPicPr>
      <xdr:blipFill>
        <a:blip xmlns:r="http://schemas.openxmlformats.org/officeDocument/2006/relationships" r:embed="rId6"/>
        <a:stretch>
          <a:fillRect/>
        </a:stretch>
      </xdr:blipFill>
      <xdr:spPr>
        <a:xfrm>
          <a:off x="8347262" y="63198935"/>
          <a:ext cx="7526610" cy="3817367"/>
        </a:xfrm>
        <a:prstGeom prst="rect">
          <a:avLst/>
        </a:prstGeom>
      </xdr:spPr>
    </xdr:pic>
    <xdr:clientData/>
  </xdr:twoCellAnchor>
  <xdr:twoCellAnchor>
    <xdr:from>
      <xdr:col>1</xdr:col>
      <xdr:colOff>66675</xdr:colOff>
      <xdr:row>732</xdr:row>
      <xdr:rowOff>47626</xdr:rowOff>
    </xdr:from>
    <xdr:to>
      <xdr:col>13</xdr:col>
      <xdr:colOff>495300</xdr:colOff>
      <xdr:row>757</xdr:row>
      <xdr:rowOff>180976</xdr:rowOff>
    </xdr:to>
    <xdr:grpSp>
      <xdr:nvGrpSpPr>
        <xdr:cNvPr id="9" name="Group 8">
          <a:extLst>
            <a:ext uri="{FF2B5EF4-FFF2-40B4-BE49-F238E27FC236}">
              <a16:creationId xmlns:a16="http://schemas.microsoft.com/office/drawing/2014/main" xmlns="" id="{EBBC8199-7679-4FF2-9EAD-99B3CB4F1443}"/>
            </a:ext>
          </a:extLst>
        </xdr:cNvPr>
        <xdr:cNvGrpSpPr/>
      </xdr:nvGrpSpPr>
      <xdr:grpSpPr>
        <a:xfrm>
          <a:off x="342900" y="132387976"/>
          <a:ext cx="7458075" cy="4895850"/>
          <a:chOff x="0" y="0"/>
          <a:chExt cx="6858000" cy="3577348"/>
        </a:xfrm>
      </xdr:grpSpPr>
      <xdr:pic>
        <xdr:nvPicPr>
          <xdr:cNvPr id="10" name="Picture 9">
            <a:extLst>
              <a:ext uri="{FF2B5EF4-FFF2-40B4-BE49-F238E27FC236}">
                <a16:creationId xmlns:a16="http://schemas.microsoft.com/office/drawing/2014/main" xmlns="" id="{1112159E-1317-4717-84A1-8170E831BA5A}"/>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0" y="0"/>
            <a:ext cx="6858000" cy="3577348"/>
          </a:xfrm>
          <a:prstGeom prst="rect">
            <a:avLst/>
          </a:prstGeom>
          <a:ln>
            <a:solidFill>
              <a:schemeClr val="tx1"/>
            </a:solidFill>
          </a:ln>
        </xdr:spPr>
      </xdr:pic>
      <xdr:sp macro="" textlink="">
        <xdr:nvSpPr>
          <xdr:cNvPr id="11" name="Rectangle 59">
            <a:extLst>
              <a:ext uri="{FF2B5EF4-FFF2-40B4-BE49-F238E27FC236}">
                <a16:creationId xmlns:a16="http://schemas.microsoft.com/office/drawing/2014/main" xmlns="" id="{6F603BD1-28B4-4B91-BD2B-4FD2D4A04549}"/>
              </a:ext>
            </a:extLst>
          </xdr:cNvPr>
          <xdr:cNvSpPr/>
        </xdr:nvSpPr>
        <xdr:spPr>
          <a:xfrm>
            <a:off x="654050" y="766324"/>
            <a:ext cx="5327650" cy="2044700"/>
          </a:xfrm>
          <a:custGeom>
            <a:avLst/>
            <a:gdLst>
              <a:gd name="connsiteX0" fmla="*/ 0 w 4711700"/>
              <a:gd name="connsiteY0" fmla="*/ 0 h 2146300"/>
              <a:gd name="connsiteX1" fmla="*/ 4711700 w 4711700"/>
              <a:gd name="connsiteY1" fmla="*/ 0 h 2146300"/>
              <a:gd name="connsiteX2" fmla="*/ 4711700 w 4711700"/>
              <a:gd name="connsiteY2" fmla="*/ 2146300 h 2146300"/>
              <a:gd name="connsiteX3" fmla="*/ 0 w 4711700"/>
              <a:gd name="connsiteY3" fmla="*/ 2146300 h 2146300"/>
              <a:gd name="connsiteX4" fmla="*/ 0 w 4711700"/>
              <a:gd name="connsiteY4" fmla="*/ 0 h 2146300"/>
              <a:gd name="connsiteX0" fmla="*/ 0 w 5327650"/>
              <a:gd name="connsiteY0" fmla="*/ 0 h 2146300"/>
              <a:gd name="connsiteX1" fmla="*/ 4711700 w 5327650"/>
              <a:gd name="connsiteY1" fmla="*/ 0 h 2146300"/>
              <a:gd name="connsiteX2" fmla="*/ 5327650 w 5327650"/>
              <a:gd name="connsiteY2" fmla="*/ 1276350 h 2146300"/>
              <a:gd name="connsiteX3" fmla="*/ 0 w 5327650"/>
              <a:gd name="connsiteY3" fmla="*/ 2146300 h 2146300"/>
              <a:gd name="connsiteX4" fmla="*/ 0 w 5327650"/>
              <a:gd name="connsiteY4" fmla="*/ 0 h 2146300"/>
              <a:gd name="connsiteX0" fmla="*/ 0 w 5327650"/>
              <a:gd name="connsiteY0" fmla="*/ 0 h 2146300"/>
              <a:gd name="connsiteX1" fmla="*/ 4679950 w 5327650"/>
              <a:gd name="connsiteY1" fmla="*/ 12700 h 2146300"/>
              <a:gd name="connsiteX2" fmla="*/ 5327650 w 5327650"/>
              <a:gd name="connsiteY2" fmla="*/ 1276350 h 2146300"/>
              <a:gd name="connsiteX3" fmla="*/ 0 w 5327650"/>
              <a:gd name="connsiteY3" fmla="*/ 2146300 h 2146300"/>
              <a:gd name="connsiteX4" fmla="*/ 0 w 5327650"/>
              <a:gd name="connsiteY4" fmla="*/ 0 h 2146300"/>
              <a:gd name="connsiteX0" fmla="*/ 0 w 5327650"/>
              <a:gd name="connsiteY0" fmla="*/ 0 h 2044700"/>
              <a:gd name="connsiteX1" fmla="*/ 4679950 w 5327650"/>
              <a:gd name="connsiteY1" fmla="*/ 12700 h 2044700"/>
              <a:gd name="connsiteX2" fmla="*/ 5327650 w 5327650"/>
              <a:gd name="connsiteY2" fmla="*/ 1276350 h 2044700"/>
              <a:gd name="connsiteX3" fmla="*/ 19050 w 5327650"/>
              <a:gd name="connsiteY3" fmla="*/ 2044700 h 2044700"/>
              <a:gd name="connsiteX4" fmla="*/ 0 w 5327650"/>
              <a:gd name="connsiteY4" fmla="*/ 0 h 2044700"/>
              <a:gd name="connsiteX0" fmla="*/ 0 w 5327650"/>
              <a:gd name="connsiteY0" fmla="*/ 0 h 2044700"/>
              <a:gd name="connsiteX1" fmla="*/ 4679950 w 5327650"/>
              <a:gd name="connsiteY1" fmla="*/ 12700 h 2044700"/>
              <a:gd name="connsiteX2" fmla="*/ 5327650 w 5327650"/>
              <a:gd name="connsiteY2" fmla="*/ 1276350 h 2044700"/>
              <a:gd name="connsiteX3" fmla="*/ 2679700 w 5327650"/>
              <a:gd name="connsiteY3" fmla="*/ 1822450 h 2044700"/>
              <a:gd name="connsiteX4" fmla="*/ 19050 w 5327650"/>
              <a:gd name="connsiteY4" fmla="*/ 2044700 h 2044700"/>
              <a:gd name="connsiteX5" fmla="*/ 0 w 5327650"/>
              <a:gd name="connsiteY5" fmla="*/ 0 h 20447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5327650" h="2044700">
                <a:moveTo>
                  <a:pt x="0" y="0"/>
                </a:moveTo>
                <a:lnTo>
                  <a:pt x="4679950" y="12700"/>
                </a:lnTo>
                <a:lnTo>
                  <a:pt x="5327650" y="1276350"/>
                </a:lnTo>
                <a:cubicBezTo>
                  <a:pt x="4470400" y="1397000"/>
                  <a:pt x="3536950" y="1701800"/>
                  <a:pt x="2679700" y="1822450"/>
                </a:cubicBezTo>
                <a:lnTo>
                  <a:pt x="19050" y="2044700"/>
                </a:lnTo>
                <a:lnTo>
                  <a:pt x="0" y="0"/>
                </a:lnTo>
                <a:close/>
              </a:path>
            </a:pathLst>
          </a:cu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pic>
        <xdr:nvPicPr>
          <xdr:cNvPr id="12" name="Picture 11">
            <a:extLst>
              <a:ext uri="{FF2B5EF4-FFF2-40B4-BE49-F238E27FC236}">
                <a16:creationId xmlns:a16="http://schemas.microsoft.com/office/drawing/2014/main" xmlns="" id="{65DE1E88-CCBE-4275-980D-259918F706BA}"/>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rot="10800000">
            <a:off x="4617421" y="2497348"/>
            <a:ext cx="1080000" cy="1080000"/>
          </a:xfrm>
          <a:prstGeom prst="rect">
            <a:avLst/>
          </a:prstGeom>
        </xdr:spPr>
      </xdr:pic>
      <xdr:sp macro="" textlink="">
        <xdr:nvSpPr>
          <xdr:cNvPr id="13" name="TextBox 61">
            <a:extLst>
              <a:ext uri="{FF2B5EF4-FFF2-40B4-BE49-F238E27FC236}">
                <a16:creationId xmlns:a16="http://schemas.microsoft.com/office/drawing/2014/main" xmlns="" id="{FDB7D746-421F-4E99-B31F-5D78CDB7F50D}"/>
              </a:ext>
            </a:extLst>
          </xdr:cNvPr>
          <xdr:cNvSpPr txBox="1"/>
        </xdr:nvSpPr>
        <xdr:spPr>
          <a:xfrm>
            <a:off x="4029580" y="198496"/>
            <a:ext cx="2588053" cy="34746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Bhaveshwar Callista 3</a:t>
            </a:r>
            <a:endParaRPr lang="en-IN" b="1">
              <a:solidFill>
                <a:srgbClr val="FF0000"/>
              </a:solidFill>
            </a:endParaRPr>
          </a:p>
        </xdr:txBody>
      </xdr:sp>
    </xdr:grpSp>
    <xdr:clientData/>
  </xdr:twoCellAnchor>
  <xdr:twoCellAnchor>
    <xdr:from>
      <xdr:col>0</xdr:col>
      <xdr:colOff>159684</xdr:colOff>
      <xdr:row>777</xdr:row>
      <xdr:rowOff>168894</xdr:rowOff>
    </xdr:from>
    <xdr:to>
      <xdr:col>13</xdr:col>
      <xdr:colOff>493059</xdr:colOff>
      <xdr:row>802</xdr:row>
      <xdr:rowOff>89648</xdr:rowOff>
    </xdr:to>
    <xdr:grpSp>
      <xdr:nvGrpSpPr>
        <xdr:cNvPr id="16" name="Group 15">
          <a:extLst>
            <a:ext uri="{FF2B5EF4-FFF2-40B4-BE49-F238E27FC236}">
              <a16:creationId xmlns:a16="http://schemas.microsoft.com/office/drawing/2014/main" xmlns="" id="{265986D0-C8BD-423A-ACE7-9910CE2B9FB5}"/>
            </a:ext>
          </a:extLst>
        </xdr:cNvPr>
        <xdr:cNvGrpSpPr/>
      </xdr:nvGrpSpPr>
      <xdr:grpSpPr>
        <a:xfrm>
          <a:off x="159684" y="141081744"/>
          <a:ext cx="7639050" cy="4683254"/>
          <a:chOff x="3806825" y="3478210"/>
          <a:chExt cx="8915953" cy="4580673"/>
        </a:xfrm>
      </xdr:grpSpPr>
      <xdr:pic>
        <xdr:nvPicPr>
          <xdr:cNvPr id="17" name="Picture 16">
            <a:extLst>
              <a:ext uri="{FF2B5EF4-FFF2-40B4-BE49-F238E27FC236}">
                <a16:creationId xmlns:a16="http://schemas.microsoft.com/office/drawing/2014/main" xmlns="" id="{808C3D7D-C9BE-4258-A7AE-160C6DD56CFE}"/>
              </a:ext>
            </a:extLst>
          </xdr:cNvPr>
          <xdr:cNvPicPr>
            <a:picLocks noChangeAspect="1"/>
          </xdr:cNvPicPr>
        </xdr:nvPicPr>
        <xdr:blipFill rotWithShape="1">
          <a:blip xmlns:r="http://schemas.openxmlformats.org/officeDocument/2006/relationships" r:embed="rId9" cstate="screen">
            <a:extLst>
              <a:ext uri="{28A0092B-C50C-407E-A947-70E740481C1C}">
                <a14:useLocalDpi xmlns:a14="http://schemas.microsoft.com/office/drawing/2010/main"/>
              </a:ext>
            </a:extLst>
          </a:blip>
          <a:srcRect/>
          <a:stretch/>
        </xdr:blipFill>
        <xdr:spPr>
          <a:xfrm>
            <a:off x="3842548" y="3504467"/>
            <a:ext cx="8880230" cy="4554416"/>
          </a:xfrm>
          <a:prstGeom prst="rect">
            <a:avLst/>
          </a:prstGeom>
          <a:ln w="12700">
            <a:solidFill>
              <a:schemeClr val="tx1"/>
            </a:solidFill>
          </a:ln>
        </xdr:spPr>
      </xdr:pic>
      <xdr:sp macro="" textlink="">
        <xdr:nvSpPr>
          <xdr:cNvPr id="18" name="Rectangle 17">
            <a:extLst>
              <a:ext uri="{FF2B5EF4-FFF2-40B4-BE49-F238E27FC236}">
                <a16:creationId xmlns:a16="http://schemas.microsoft.com/office/drawing/2014/main" xmlns="" id="{A8E4C9C0-DCCD-4411-A84A-5CD459A2B4DC}"/>
              </a:ext>
            </a:extLst>
          </xdr:cNvPr>
          <xdr:cNvSpPr/>
        </xdr:nvSpPr>
        <xdr:spPr>
          <a:xfrm>
            <a:off x="6972790" y="5302504"/>
            <a:ext cx="1108014" cy="479169"/>
          </a:xfrm>
          <a:prstGeom prst="rect">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9" name="TextBox 60">
            <a:extLst>
              <a:ext uri="{FF2B5EF4-FFF2-40B4-BE49-F238E27FC236}">
                <a16:creationId xmlns:a16="http://schemas.microsoft.com/office/drawing/2014/main" xmlns="" id="{422410CE-A1B3-439D-9AEE-7632715CC1CA}"/>
              </a:ext>
            </a:extLst>
          </xdr:cNvPr>
          <xdr:cNvSpPr txBox="1"/>
        </xdr:nvSpPr>
        <xdr:spPr>
          <a:xfrm>
            <a:off x="6648450" y="5781674"/>
            <a:ext cx="2255682"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Bhaveshwar Callista 3</a:t>
            </a:r>
            <a:endParaRPr lang="en-IN" b="1">
              <a:solidFill>
                <a:srgbClr val="FFFF00"/>
              </a:solidFill>
            </a:endParaRPr>
          </a:p>
        </xdr:txBody>
      </xdr:sp>
      <xdr:sp macro="" textlink="">
        <xdr:nvSpPr>
          <xdr:cNvPr id="20" name="Freeform 13">
            <a:extLst>
              <a:ext uri="{FF2B5EF4-FFF2-40B4-BE49-F238E27FC236}">
                <a16:creationId xmlns:a16="http://schemas.microsoft.com/office/drawing/2014/main" xmlns="" id="{645EA32F-3630-4E09-B845-B592EA2DA09E}"/>
              </a:ext>
            </a:extLst>
          </xdr:cNvPr>
          <xdr:cNvSpPr/>
        </xdr:nvSpPr>
        <xdr:spPr>
          <a:xfrm>
            <a:off x="3832860" y="4698786"/>
            <a:ext cx="7139940" cy="1564853"/>
          </a:xfrm>
          <a:custGeom>
            <a:avLst/>
            <a:gdLst>
              <a:gd name="connsiteX0" fmla="*/ 0 w 7139940"/>
              <a:gd name="connsiteY0" fmla="*/ 1454652 h 1454652"/>
              <a:gd name="connsiteX1" fmla="*/ 7139940 w 7139940"/>
              <a:gd name="connsiteY1" fmla="*/ 6852 h 1454652"/>
              <a:gd name="connsiteX0" fmla="*/ 0 w 7139940"/>
              <a:gd name="connsiteY0" fmla="*/ 1472307 h 1472307"/>
              <a:gd name="connsiteX1" fmla="*/ 2788920 w 7139940"/>
              <a:gd name="connsiteY1" fmla="*/ 138807 h 1472307"/>
              <a:gd name="connsiteX2" fmla="*/ 7139940 w 7139940"/>
              <a:gd name="connsiteY2" fmla="*/ 24507 h 1472307"/>
              <a:gd name="connsiteX0" fmla="*/ 0 w 7139940"/>
              <a:gd name="connsiteY0" fmla="*/ 1548881 h 1548881"/>
              <a:gd name="connsiteX1" fmla="*/ 2788920 w 7139940"/>
              <a:gd name="connsiteY1" fmla="*/ 215381 h 1548881"/>
              <a:gd name="connsiteX2" fmla="*/ 4427220 w 7139940"/>
              <a:gd name="connsiteY2" fmla="*/ 2022 h 1548881"/>
              <a:gd name="connsiteX3" fmla="*/ 7139940 w 7139940"/>
              <a:gd name="connsiteY3" fmla="*/ 101081 h 1548881"/>
              <a:gd name="connsiteX0" fmla="*/ 0 w 7139940"/>
              <a:gd name="connsiteY0" fmla="*/ 1564853 h 1564853"/>
              <a:gd name="connsiteX1" fmla="*/ 2788920 w 7139940"/>
              <a:gd name="connsiteY1" fmla="*/ 231353 h 1564853"/>
              <a:gd name="connsiteX2" fmla="*/ 4427220 w 7139940"/>
              <a:gd name="connsiteY2" fmla="*/ 17994 h 1564853"/>
              <a:gd name="connsiteX3" fmla="*/ 5509260 w 7139940"/>
              <a:gd name="connsiteY3" fmla="*/ 17994 h 1564853"/>
              <a:gd name="connsiteX4" fmla="*/ 7139940 w 7139940"/>
              <a:gd name="connsiteY4" fmla="*/ 117053 h 1564853"/>
              <a:gd name="connsiteX0" fmla="*/ 0 w 7139940"/>
              <a:gd name="connsiteY0" fmla="*/ 1564853 h 1564853"/>
              <a:gd name="connsiteX1" fmla="*/ 2788920 w 7139940"/>
              <a:gd name="connsiteY1" fmla="*/ 231353 h 1564853"/>
              <a:gd name="connsiteX2" fmla="*/ 3398520 w 7139940"/>
              <a:gd name="connsiteY2" fmla="*/ 117054 h 1564853"/>
              <a:gd name="connsiteX3" fmla="*/ 4427220 w 7139940"/>
              <a:gd name="connsiteY3" fmla="*/ 17994 h 1564853"/>
              <a:gd name="connsiteX4" fmla="*/ 5509260 w 7139940"/>
              <a:gd name="connsiteY4" fmla="*/ 17994 h 1564853"/>
              <a:gd name="connsiteX5" fmla="*/ 7139940 w 7139940"/>
              <a:gd name="connsiteY5" fmla="*/ 117053 h 1564853"/>
              <a:gd name="connsiteX0" fmla="*/ 0 w 7139940"/>
              <a:gd name="connsiteY0" fmla="*/ 1564853 h 1564853"/>
              <a:gd name="connsiteX1" fmla="*/ 2651760 w 7139940"/>
              <a:gd name="connsiteY1" fmla="*/ 376133 h 1564853"/>
              <a:gd name="connsiteX2" fmla="*/ 3398520 w 7139940"/>
              <a:gd name="connsiteY2" fmla="*/ 117054 h 1564853"/>
              <a:gd name="connsiteX3" fmla="*/ 4427220 w 7139940"/>
              <a:gd name="connsiteY3" fmla="*/ 17994 h 1564853"/>
              <a:gd name="connsiteX4" fmla="*/ 5509260 w 7139940"/>
              <a:gd name="connsiteY4" fmla="*/ 17994 h 1564853"/>
              <a:gd name="connsiteX5" fmla="*/ 7139940 w 7139940"/>
              <a:gd name="connsiteY5" fmla="*/ 117053 h 1564853"/>
              <a:gd name="connsiteX0" fmla="*/ 0 w 7139940"/>
              <a:gd name="connsiteY0" fmla="*/ 1564853 h 1564853"/>
              <a:gd name="connsiteX1" fmla="*/ 1287780 w 7139940"/>
              <a:gd name="connsiteY1" fmla="*/ 856194 h 1564853"/>
              <a:gd name="connsiteX2" fmla="*/ 2651760 w 7139940"/>
              <a:gd name="connsiteY2" fmla="*/ 376133 h 1564853"/>
              <a:gd name="connsiteX3" fmla="*/ 3398520 w 7139940"/>
              <a:gd name="connsiteY3" fmla="*/ 117054 h 1564853"/>
              <a:gd name="connsiteX4" fmla="*/ 4427220 w 7139940"/>
              <a:gd name="connsiteY4" fmla="*/ 17994 h 1564853"/>
              <a:gd name="connsiteX5" fmla="*/ 5509260 w 7139940"/>
              <a:gd name="connsiteY5" fmla="*/ 17994 h 1564853"/>
              <a:gd name="connsiteX6" fmla="*/ 7139940 w 7139940"/>
              <a:gd name="connsiteY6" fmla="*/ 117053 h 1564853"/>
              <a:gd name="connsiteX0" fmla="*/ 0 w 7139940"/>
              <a:gd name="connsiteY0" fmla="*/ 1564853 h 1564853"/>
              <a:gd name="connsiteX1" fmla="*/ 1287780 w 7139940"/>
              <a:gd name="connsiteY1" fmla="*/ 856194 h 1564853"/>
              <a:gd name="connsiteX2" fmla="*/ 2346960 w 7139940"/>
              <a:gd name="connsiteY2" fmla="*/ 421854 h 1564853"/>
              <a:gd name="connsiteX3" fmla="*/ 2651760 w 7139940"/>
              <a:gd name="connsiteY3" fmla="*/ 376133 h 1564853"/>
              <a:gd name="connsiteX4" fmla="*/ 3398520 w 7139940"/>
              <a:gd name="connsiteY4" fmla="*/ 117054 h 1564853"/>
              <a:gd name="connsiteX5" fmla="*/ 4427220 w 7139940"/>
              <a:gd name="connsiteY5" fmla="*/ 17994 h 1564853"/>
              <a:gd name="connsiteX6" fmla="*/ 5509260 w 7139940"/>
              <a:gd name="connsiteY6" fmla="*/ 17994 h 1564853"/>
              <a:gd name="connsiteX7" fmla="*/ 7139940 w 7139940"/>
              <a:gd name="connsiteY7" fmla="*/ 117053 h 1564853"/>
              <a:gd name="connsiteX0" fmla="*/ 0 w 7139940"/>
              <a:gd name="connsiteY0" fmla="*/ 1564853 h 1564853"/>
              <a:gd name="connsiteX1" fmla="*/ 1287780 w 7139940"/>
              <a:gd name="connsiteY1" fmla="*/ 856194 h 1564853"/>
              <a:gd name="connsiteX2" fmla="*/ 2346960 w 7139940"/>
              <a:gd name="connsiteY2" fmla="*/ 421854 h 1564853"/>
              <a:gd name="connsiteX3" fmla="*/ 2651760 w 7139940"/>
              <a:gd name="connsiteY3" fmla="*/ 376133 h 1564853"/>
              <a:gd name="connsiteX4" fmla="*/ 2689860 w 7139940"/>
              <a:gd name="connsiteY4" fmla="*/ 345654 h 1564853"/>
              <a:gd name="connsiteX5" fmla="*/ 3398520 w 7139940"/>
              <a:gd name="connsiteY5" fmla="*/ 117054 h 1564853"/>
              <a:gd name="connsiteX6" fmla="*/ 4427220 w 7139940"/>
              <a:gd name="connsiteY6" fmla="*/ 17994 h 1564853"/>
              <a:gd name="connsiteX7" fmla="*/ 5509260 w 7139940"/>
              <a:gd name="connsiteY7" fmla="*/ 17994 h 1564853"/>
              <a:gd name="connsiteX8" fmla="*/ 7139940 w 7139940"/>
              <a:gd name="connsiteY8" fmla="*/ 117053 h 15648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7139940" h="1564853">
                <a:moveTo>
                  <a:pt x="0" y="1564853"/>
                </a:moveTo>
                <a:cubicBezTo>
                  <a:pt x="231140" y="1458173"/>
                  <a:pt x="845820" y="1054314"/>
                  <a:pt x="1287780" y="856194"/>
                </a:cubicBezTo>
                <a:cubicBezTo>
                  <a:pt x="1685290" y="674584"/>
                  <a:pt x="2119630" y="501864"/>
                  <a:pt x="2346960" y="421854"/>
                </a:cubicBezTo>
                <a:cubicBezTo>
                  <a:pt x="2574290" y="341844"/>
                  <a:pt x="2589530" y="386293"/>
                  <a:pt x="2651760" y="376133"/>
                </a:cubicBezTo>
                <a:cubicBezTo>
                  <a:pt x="2713990" y="365973"/>
                  <a:pt x="2565400" y="388834"/>
                  <a:pt x="2689860" y="345654"/>
                </a:cubicBezTo>
                <a:cubicBezTo>
                  <a:pt x="2814320" y="302474"/>
                  <a:pt x="3114040" y="174204"/>
                  <a:pt x="3398520" y="117054"/>
                </a:cubicBezTo>
                <a:cubicBezTo>
                  <a:pt x="3683000" y="59904"/>
                  <a:pt x="4075430" y="26884"/>
                  <a:pt x="4427220" y="17994"/>
                </a:cubicBezTo>
                <a:cubicBezTo>
                  <a:pt x="4878070" y="-12486"/>
                  <a:pt x="5057140" y="1484"/>
                  <a:pt x="5509260" y="17994"/>
                </a:cubicBezTo>
                <a:cubicBezTo>
                  <a:pt x="5961380" y="34504"/>
                  <a:pt x="6865620" y="105623"/>
                  <a:pt x="7139940" y="117053"/>
                </a:cubicBezTo>
              </a:path>
            </a:pathLst>
          </a:custGeom>
          <a:noFill/>
          <a:ln w="381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xnSp macro="">
        <xdr:nvCxnSpPr>
          <xdr:cNvPr id="21" name="Straight Connector 20">
            <a:extLst>
              <a:ext uri="{FF2B5EF4-FFF2-40B4-BE49-F238E27FC236}">
                <a16:creationId xmlns:a16="http://schemas.microsoft.com/office/drawing/2014/main" xmlns="" id="{4A647D3D-070E-41D4-B540-3F8798EF06FF}"/>
              </a:ext>
            </a:extLst>
          </xdr:cNvPr>
          <xdr:cNvCxnSpPr>
            <a:stCxn id="20" idx="7"/>
          </xdr:cNvCxnSpPr>
        </xdr:nvCxnSpPr>
        <xdr:spPr>
          <a:xfrm flipV="1">
            <a:off x="9342121" y="3505200"/>
            <a:ext cx="891538" cy="121158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22" name="Straight Connector 21">
            <a:extLst>
              <a:ext uri="{FF2B5EF4-FFF2-40B4-BE49-F238E27FC236}">
                <a16:creationId xmlns:a16="http://schemas.microsoft.com/office/drawing/2014/main" xmlns="" id="{D959F438-AD66-4966-84AE-D7995CAA5B56}"/>
              </a:ext>
            </a:extLst>
          </xdr:cNvPr>
          <xdr:cNvCxnSpPr/>
        </xdr:nvCxnSpPr>
        <xdr:spPr>
          <a:xfrm flipV="1">
            <a:off x="9105899" y="3505200"/>
            <a:ext cx="891540" cy="121158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23" name="Straight Connector 22">
            <a:extLst>
              <a:ext uri="{FF2B5EF4-FFF2-40B4-BE49-F238E27FC236}">
                <a16:creationId xmlns:a16="http://schemas.microsoft.com/office/drawing/2014/main" xmlns="" id="{8E66A6BA-19C2-4C89-8F46-8287A80D2497}"/>
              </a:ext>
            </a:extLst>
          </xdr:cNvPr>
          <xdr:cNvCxnSpPr/>
        </xdr:nvCxnSpPr>
        <xdr:spPr>
          <a:xfrm flipV="1">
            <a:off x="8839200" y="3505200"/>
            <a:ext cx="891540" cy="121158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24" name="Straight Connector 23">
            <a:extLst>
              <a:ext uri="{FF2B5EF4-FFF2-40B4-BE49-F238E27FC236}">
                <a16:creationId xmlns:a16="http://schemas.microsoft.com/office/drawing/2014/main" xmlns="" id="{8C5B5500-1FCC-4335-8496-A2F7772E8B29}"/>
              </a:ext>
            </a:extLst>
          </xdr:cNvPr>
          <xdr:cNvCxnSpPr/>
        </xdr:nvCxnSpPr>
        <xdr:spPr>
          <a:xfrm flipV="1">
            <a:off x="8602980" y="3505200"/>
            <a:ext cx="891540" cy="121158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25" name="Straight Connector 24">
            <a:extLst>
              <a:ext uri="{FF2B5EF4-FFF2-40B4-BE49-F238E27FC236}">
                <a16:creationId xmlns:a16="http://schemas.microsoft.com/office/drawing/2014/main" xmlns="" id="{B6E5E822-2B50-418E-B4D8-2C34658C30FD}"/>
              </a:ext>
            </a:extLst>
          </xdr:cNvPr>
          <xdr:cNvCxnSpPr/>
        </xdr:nvCxnSpPr>
        <xdr:spPr>
          <a:xfrm flipV="1">
            <a:off x="8337550" y="3495837"/>
            <a:ext cx="891540" cy="121158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a:extLst>
              <a:ext uri="{FF2B5EF4-FFF2-40B4-BE49-F238E27FC236}">
                <a16:creationId xmlns:a16="http://schemas.microsoft.com/office/drawing/2014/main" xmlns="" id="{FD1B4925-096A-4537-9DCD-DC463ED33E78}"/>
              </a:ext>
            </a:extLst>
          </xdr:cNvPr>
          <xdr:cNvCxnSpPr/>
        </xdr:nvCxnSpPr>
        <xdr:spPr>
          <a:xfrm flipV="1">
            <a:off x="8101331" y="3495837"/>
            <a:ext cx="891540" cy="121158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27" name="Straight Connector 26">
            <a:extLst>
              <a:ext uri="{FF2B5EF4-FFF2-40B4-BE49-F238E27FC236}">
                <a16:creationId xmlns:a16="http://schemas.microsoft.com/office/drawing/2014/main" xmlns="" id="{6C87E000-FD40-428C-8557-1D14FC7CEF52}"/>
              </a:ext>
            </a:extLst>
          </xdr:cNvPr>
          <xdr:cNvCxnSpPr/>
        </xdr:nvCxnSpPr>
        <xdr:spPr>
          <a:xfrm flipV="1">
            <a:off x="7834630" y="3495837"/>
            <a:ext cx="891540" cy="121158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28" name="Straight Connector 27">
            <a:extLst>
              <a:ext uri="{FF2B5EF4-FFF2-40B4-BE49-F238E27FC236}">
                <a16:creationId xmlns:a16="http://schemas.microsoft.com/office/drawing/2014/main" xmlns="" id="{A80C61FB-580B-4ACC-9307-886B94F2B764}"/>
              </a:ext>
            </a:extLst>
          </xdr:cNvPr>
          <xdr:cNvCxnSpPr/>
        </xdr:nvCxnSpPr>
        <xdr:spPr>
          <a:xfrm flipV="1">
            <a:off x="7557452" y="3495838"/>
            <a:ext cx="932498" cy="1253723"/>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29" name="Straight Connector 28">
            <a:extLst>
              <a:ext uri="{FF2B5EF4-FFF2-40B4-BE49-F238E27FC236}">
                <a16:creationId xmlns:a16="http://schemas.microsoft.com/office/drawing/2014/main" xmlns="" id="{A5048D7E-D9EC-4F8F-B4D9-F161F96FEAFF}"/>
              </a:ext>
            </a:extLst>
          </xdr:cNvPr>
          <xdr:cNvCxnSpPr/>
        </xdr:nvCxnSpPr>
        <xdr:spPr>
          <a:xfrm flipV="1">
            <a:off x="7255510" y="3512739"/>
            <a:ext cx="887095" cy="1236822"/>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0" name="Straight Connector 29">
            <a:extLst>
              <a:ext uri="{FF2B5EF4-FFF2-40B4-BE49-F238E27FC236}">
                <a16:creationId xmlns:a16="http://schemas.microsoft.com/office/drawing/2014/main" xmlns="" id="{CEE977B8-93AC-498B-9F1B-092CCAD9674D}"/>
              </a:ext>
            </a:extLst>
          </xdr:cNvPr>
          <xdr:cNvCxnSpPr/>
        </xdr:nvCxnSpPr>
        <xdr:spPr>
          <a:xfrm flipV="1">
            <a:off x="6962734" y="3512738"/>
            <a:ext cx="943652" cy="1340086"/>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1" name="Straight Connector 30">
            <a:extLst>
              <a:ext uri="{FF2B5EF4-FFF2-40B4-BE49-F238E27FC236}">
                <a16:creationId xmlns:a16="http://schemas.microsoft.com/office/drawing/2014/main" xmlns="" id="{EA2FF43E-E4C3-4BDC-A620-14FB38ED7F41}"/>
              </a:ext>
            </a:extLst>
          </xdr:cNvPr>
          <xdr:cNvCxnSpPr/>
        </xdr:nvCxnSpPr>
        <xdr:spPr>
          <a:xfrm flipV="1">
            <a:off x="6706870" y="3512738"/>
            <a:ext cx="932816" cy="1415504"/>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2" name="Straight Connector 31">
            <a:extLst>
              <a:ext uri="{FF2B5EF4-FFF2-40B4-BE49-F238E27FC236}">
                <a16:creationId xmlns:a16="http://schemas.microsoft.com/office/drawing/2014/main" xmlns="" id="{ADDB3DA8-A178-4290-A482-370B3CBDB49F}"/>
              </a:ext>
            </a:extLst>
          </xdr:cNvPr>
          <xdr:cNvCxnSpPr/>
        </xdr:nvCxnSpPr>
        <xdr:spPr>
          <a:xfrm flipV="1">
            <a:off x="6395402" y="3512738"/>
            <a:ext cx="1008064" cy="1535669"/>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a:extLst>
              <a:ext uri="{FF2B5EF4-FFF2-40B4-BE49-F238E27FC236}">
                <a16:creationId xmlns:a16="http://schemas.microsoft.com/office/drawing/2014/main" xmlns="" id="{F047A76F-E6FA-41EB-9F12-A4725CBE0D81}"/>
              </a:ext>
            </a:extLst>
          </xdr:cNvPr>
          <xdr:cNvCxnSpPr/>
        </xdr:nvCxnSpPr>
        <xdr:spPr>
          <a:xfrm flipV="1">
            <a:off x="6164580" y="3503375"/>
            <a:ext cx="973455" cy="1560911"/>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4" name="Straight Connector 33">
            <a:extLst>
              <a:ext uri="{FF2B5EF4-FFF2-40B4-BE49-F238E27FC236}">
                <a16:creationId xmlns:a16="http://schemas.microsoft.com/office/drawing/2014/main" xmlns="" id="{BB2E9B24-7B3D-467D-A50C-962D084315F2}"/>
              </a:ext>
            </a:extLst>
          </xdr:cNvPr>
          <xdr:cNvCxnSpPr/>
        </xdr:nvCxnSpPr>
        <xdr:spPr>
          <a:xfrm flipV="1">
            <a:off x="5815330" y="3503375"/>
            <a:ext cx="1086485" cy="1671963"/>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5" name="Straight Connector 34">
            <a:extLst>
              <a:ext uri="{FF2B5EF4-FFF2-40B4-BE49-F238E27FC236}">
                <a16:creationId xmlns:a16="http://schemas.microsoft.com/office/drawing/2014/main" xmlns="" id="{48559F6B-D127-4E48-BF68-ACBB02A02943}"/>
              </a:ext>
            </a:extLst>
          </xdr:cNvPr>
          <xdr:cNvCxnSpPr/>
        </xdr:nvCxnSpPr>
        <xdr:spPr>
          <a:xfrm flipV="1">
            <a:off x="5290303" y="3503376"/>
            <a:ext cx="1344813" cy="1991202"/>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6" name="Straight Connector 35">
            <a:extLst>
              <a:ext uri="{FF2B5EF4-FFF2-40B4-BE49-F238E27FC236}">
                <a16:creationId xmlns:a16="http://schemas.microsoft.com/office/drawing/2014/main" xmlns="" id="{7C27DC11-3BF0-4D59-A850-8789411137E7}"/>
              </a:ext>
            </a:extLst>
          </xdr:cNvPr>
          <xdr:cNvCxnSpPr/>
        </xdr:nvCxnSpPr>
        <xdr:spPr>
          <a:xfrm flipV="1">
            <a:off x="4754562" y="3503375"/>
            <a:ext cx="1644333" cy="220587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7" name="Straight Connector 36">
            <a:extLst>
              <a:ext uri="{FF2B5EF4-FFF2-40B4-BE49-F238E27FC236}">
                <a16:creationId xmlns:a16="http://schemas.microsoft.com/office/drawing/2014/main" xmlns="" id="{E1DB53FC-98CD-4848-B918-D7CC26E9CFAC}"/>
              </a:ext>
            </a:extLst>
          </xdr:cNvPr>
          <xdr:cNvCxnSpPr/>
        </xdr:nvCxnSpPr>
        <xdr:spPr>
          <a:xfrm flipV="1">
            <a:off x="3817856" y="3487574"/>
            <a:ext cx="2346724" cy="2685646"/>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8" name="Straight Connector 37">
            <a:extLst>
              <a:ext uri="{FF2B5EF4-FFF2-40B4-BE49-F238E27FC236}">
                <a16:creationId xmlns:a16="http://schemas.microsoft.com/office/drawing/2014/main" xmlns="" id="{135663EC-53E7-4D08-86E6-EB7D5BA91AB8}"/>
              </a:ext>
            </a:extLst>
          </xdr:cNvPr>
          <xdr:cNvCxnSpPr/>
        </xdr:nvCxnSpPr>
        <xdr:spPr>
          <a:xfrm flipV="1">
            <a:off x="3817856" y="3487574"/>
            <a:ext cx="2110504" cy="248242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39" name="Straight Connector 38">
            <a:extLst>
              <a:ext uri="{FF2B5EF4-FFF2-40B4-BE49-F238E27FC236}">
                <a16:creationId xmlns:a16="http://schemas.microsoft.com/office/drawing/2014/main" xmlns="" id="{D1CF8F7C-1307-4C45-A06A-915B958406AE}"/>
              </a:ext>
            </a:extLst>
          </xdr:cNvPr>
          <xdr:cNvCxnSpPr>
            <a:stCxn id="17" idx="1"/>
          </xdr:cNvCxnSpPr>
        </xdr:nvCxnSpPr>
        <xdr:spPr>
          <a:xfrm flipV="1">
            <a:off x="3842549" y="3487574"/>
            <a:ext cx="1819112" cy="2294101"/>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40" name="Straight Connector 39">
            <a:extLst>
              <a:ext uri="{FF2B5EF4-FFF2-40B4-BE49-F238E27FC236}">
                <a16:creationId xmlns:a16="http://schemas.microsoft.com/office/drawing/2014/main" xmlns="" id="{5C412453-D214-4EE9-9FC4-25F7C27EFD6C}"/>
              </a:ext>
            </a:extLst>
          </xdr:cNvPr>
          <xdr:cNvCxnSpPr/>
        </xdr:nvCxnSpPr>
        <xdr:spPr>
          <a:xfrm flipV="1">
            <a:off x="3841673" y="3487575"/>
            <a:ext cx="1583768" cy="2071434"/>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41" name="Straight Connector 40">
            <a:extLst>
              <a:ext uri="{FF2B5EF4-FFF2-40B4-BE49-F238E27FC236}">
                <a16:creationId xmlns:a16="http://schemas.microsoft.com/office/drawing/2014/main" xmlns="" id="{CDC6C0BF-8617-4FF2-BD71-E5E1E42E111B}"/>
              </a:ext>
            </a:extLst>
          </xdr:cNvPr>
          <xdr:cNvCxnSpPr/>
        </xdr:nvCxnSpPr>
        <xdr:spPr>
          <a:xfrm flipV="1">
            <a:off x="3852863" y="3478211"/>
            <a:ext cx="1307147" cy="1868941"/>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42" name="Straight Connector 41">
            <a:extLst>
              <a:ext uri="{FF2B5EF4-FFF2-40B4-BE49-F238E27FC236}">
                <a16:creationId xmlns:a16="http://schemas.microsoft.com/office/drawing/2014/main" xmlns="" id="{21925318-0CE1-42C8-A795-110FBE012AED}"/>
              </a:ext>
            </a:extLst>
          </xdr:cNvPr>
          <xdr:cNvCxnSpPr/>
        </xdr:nvCxnSpPr>
        <xdr:spPr>
          <a:xfrm flipV="1">
            <a:off x="3817856" y="3478210"/>
            <a:ext cx="1105934" cy="1595439"/>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43" name="Straight Connector 42">
            <a:extLst>
              <a:ext uri="{FF2B5EF4-FFF2-40B4-BE49-F238E27FC236}">
                <a16:creationId xmlns:a16="http://schemas.microsoft.com/office/drawing/2014/main" xmlns="" id="{5B39F224-B64D-4385-B29D-14F683929E3C}"/>
              </a:ext>
            </a:extLst>
          </xdr:cNvPr>
          <xdr:cNvCxnSpPr/>
        </xdr:nvCxnSpPr>
        <xdr:spPr>
          <a:xfrm flipV="1">
            <a:off x="3806825" y="3478210"/>
            <a:ext cx="850264" cy="121158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44" name="Straight Connector 43">
            <a:extLst>
              <a:ext uri="{FF2B5EF4-FFF2-40B4-BE49-F238E27FC236}">
                <a16:creationId xmlns:a16="http://schemas.microsoft.com/office/drawing/2014/main" xmlns="" id="{9C7C2F64-27D1-46C8-A5DE-A2823534D5DC}"/>
              </a:ext>
            </a:extLst>
          </xdr:cNvPr>
          <xdr:cNvCxnSpPr/>
        </xdr:nvCxnSpPr>
        <xdr:spPr>
          <a:xfrm flipV="1">
            <a:off x="3832860" y="3478210"/>
            <a:ext cx="588010" cy="834710"/>
          </a:xfrm>
          <a:prstGeom prst="line">
            <a:avLst/>
          </a:prstGeom>
          <a:ln w="38100">
            <a:solidFill>
              <a:srgbClr val="0070C0"/>
            </a:solidFill>
          </a:ln>
        </xdr:spPr>
        <xdr:style>
          <a:lnRef idx="1">
            <a:schemeClr val="accent1"/>
          </a:lnRef>
          <a:fillRef idx="0">
            <a:schemeClr val="accent1"/>
          </a:fillRef>
          <a:effectRef idx="0">
            <a:schemeClr val="accent1"/>
          </a:effectRef>
          <a:fontRef idx="minor">
            <a:schemeClr val="tx1"/>
          </a:fontRef>
        </xdr:style>
      </xdr:cxnSp>
      <xdr:sp macro="" textlink="">
        <xdr:nvSpPr>
          <xdr:cNvPr id="45" name="TextBox 137">
            <a:extLst>
              <a:ext uri="{FF2B5EF4-FFF2-40B4-BE49-F238E27FC236}">
                <a16:creationId xmlns:a16="http://schemas.microsoft.com/office/drawing/2014/main" xmlns="" id="{C5F4D76F-35A5-4228-8E14-F2F29BCE993E}"/>
              </a:ext>
            </a:extLst>
          </xdr:cNvPr>
          <xdr:cNvSpPr txBox="1"/>
        </xdr:nvSpPr>
        <xdr:spPr>
          <a:xfrm>
            <a:off x="5564713" y="4220490"/>
            <a:ext cx="1140569" cy="64202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CRZ Area </a:t>
            </a:r>
            <a:endParaRPr lang="en-IN" b="1">
              <a:solidFill>
                <a:srgbClr val="FFFF00"/>
              </a:solidFill>
            </a:endParaRPr>
          </a:p>
        </xdr:txBody>
      </xdr:sp>
      <xdr:sp macro="" textlink="">
        <xdr:nvSpPr>
          <xdr:cNvPr id="46" name="Rectangle 45">
            <a:extLst>
              <a:ext uri="{FF2B5EF4-FFF2-40B4-BE49-F238E27FC236}">
                <a16:creationId xmlns:a16="http://schemas.microsoft.com/office/drawing/2014/main" xmlns="" id="{E5B1DFFB-33A4-4BE1-96E1-2CD9942CA3DC}"/>
              </a:ext>
            </a:extLst>
          </xdr:cNvPr>
          <xdr:cNvSpPr/>
        </xdr:nvSpPr>
        <xdr:spPr>
          <a:xfrm rot="20879482">
            <a:off x="9943981" y="5144987"/>
            <a:ext cx="609375" cy="95609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solidFill>
                <a:srgbClr val="FF0000"/>
              </a:solidFill>
            </a:endParaRPr>
          </a:p>
        </xdr:txBody>
      </xdr:sp>
      <xdr:sp macro="" textlink="">
        <xdr:nvSpPr>
          <xdr:cNvPr id="47" name="TextBox 139">
            <a:extLst>
              <a:ext uri="{FF2B5EF4-FFF2-40B4-BE49-F238E27FC236}">
                <a16:creationId xmlns:a16="http://schemas.microsoft.com/office/drawing/2014/main" xmlns="" id="{8CEE528F-340E-4465-93D2-8A51F22F6E5F}"/>
              </a:ext>
            </a:extLst>
          </xdr:cNvPr>
          <xdr:cNvSpPr txBox="1"/>
        </xdr:nvSpPr>
        <xdr:spPr>
          <a:xfrm>
            <a:off x="9187249" y="6057900"/>
            <a:ext cx="2031701" cy="3409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Hindu Cemetry</a:t>
            </a:r>
            <a:endParaRPr lang="en-IN" b="1">
              <a:solidFill>
                <a:srgbClr val="FF0000"/>
              </a:solidFill>
            </a:endParaRPr>
          </a:p>
        </xdr:txBody>
      </xdr:sp>
    </xdr:grpSp>
    <xdr:clientData/>
  </xdr:twoCellAnchor>
  <xdr:twoCellAnchor editAs="oneCell">
    <xdr:from>
      <xdr:col>3</xdr:col>
      <xdr:colOff>481853</xdr:colOff>
      <xdr:row>803</xdr:row>
      <xdr:rowOff>89646</xdr:rowOff>
    </xdr:from>
    <xdr:to>
      <xdr:col>10</xdr:col>
      <xdr:colOff>369795</xdr:colOff>
      <xdr:row>819</xdr:row>
      <xdr:rowOff>59066</xdr:rowOff>
    </xdr:to>
    <xdr:pic>
      <xdr:nvPicPr>
        <xdr:cNvPr id="49" name="Picture 48">
          <a:extLst>
            <a:ext uri="{FF2B5EF4-FFF2-40B4-BE49-F238E27FC236}">
              <a16:creationId xmlns:a16="http://schemas.microsoft.com/office/drawing/2014/main" xmlns="" id="{DA05C9A1-D44B-4D39-A731-57CB634007F4}"/>
            </a:ext>
          </a:extLst>
        </xdr:cNvPr>
        <xdr:cNvPicPr>
          <a:picLocks noChangeAspect="1"/>
        </xdr:cNvPicPr>
      </xdr:nvPicPr>
      <xdr:blipFill rotWithShape="1">
        <a:blip xmlns:r="http://schemas.openxmlformats.org/officeDocument/2006/relationships" r:embed="rId10" cstate="screen">
          <a:extLst>
            <a:ext uri="{28A0092B-C50C-407E-A947-70E740481C1C}">
              <a14:useLocalDpi xmlns:a14="http://schemas.microsoft.com/office/drawing/2010/main"/>
            </a:ext>
          </a:extLst>
        </a:blip>
        <a:srcRect/>
        <a:stretch/>
      </xdr:blipFill>
      <xdr:spPr>
        <a:xfrm>
          <a:off x="1826559" y="147032381"/>
          <a:ext cx="4056530" cy="3017420"/>
        </a:xfrm>
        <a:prstGeom prst="rect">
          <a:avLst/>
        </a:prstGeom>
        <a:ln>
          <a:solidFill>
            <a:schemeClr val="tx1"/>
          </a:solidFill>
        </a:ln>
      </xdr:spPr>
    </xdr:pic>
    <xdr:clientData/>
  </xdr:twoCellAnchor>
  <xdr:twoCellAnchor editAs="oneCell">
    <xdr:from>
      <xdr:col>14</xdr:col>
      <xdr:colOff>313765</xdr:colOff>
      <xdr:row>159</xdr:row>
      <xdr:rowOff>324971</xdr:rowOff>
    </xdr:from>
    <xdr:to>
      <xdr:col>18</xdr:col>
      <xdr:colOff>193182</xdr:colOff>
      <xdr:row>167</xdr:row>
      <xdr:rowOff>99414</xdr:rowOff>
    </xdr:to>
    <xdr:pic>
      <xdr:nvPicPr>
        <xdr:cNvPr id="50" name="Picture 49">
          <a:extLst>
            <a:ext uri="{FF2B5EF4-FFF2-40B4-BE49-F238E27FC236}">
              <a16:creationId xmlns:a16="http://schemas.microsoft.com/office/drawing/2014/main" xmlns="" id="{73BDADD3-8208-4827-B2DD-167DF5774488}"/>
            </a:ext>
          </a:extLst>
        </xdr:cNvPr>
        <xdr:cNvPicPr>
          <a:picLocks noChangeAspect="1"/>
        </xdr:cNvPicPr>
      </xdr:nvPicPr>
      <xdr:blipFill>
        <a:blip xmlns:r="http://schemas.openxmlformats.org/officeDocument/2006/relationships" r:embed="rId11"/>
        <a:stretch>
          <a:fillRect/>
        </a:stretch>
      </xdr:blipFill>
      <xdr:spPr>
        <a:xfrm>
          <a:off x="8202706" y="43747765"/>
          <a:ext cx="3162741" cy="1724266"/>
        </a:xfrm>
        <a:prstGeom prst="rect">
          <a:avLst/>
        </a:prstGeom>
      </xdr:spPr>
    </xdr:pic>
    <xdr:clientData/>
  </xdr:twoCellAnchor>
  <xdr:twoCellAnchor>
    <xdr:from>
      <xdr:col>0</xdr:col>
      <xdr:colOff>212913</xdr:colOff>
      <xdr:row>686</xdr:row>
      <xdr:rowOff>67235</xdr:rowOff>
    </xdr:from>
    <xdr:to>
      <xdr:col>13</xdr:col>
      <xdr:colOff>571500</xdr:colOff>
      <xdr:row>727</xdr:row>
      <xdr:rowOff>145677</xdr:rowOff>
    </xdr:to>
    <xdr:grpSp>
      <xdr:nvGrpSpPr>
        <xdr:cNvPr id="51" name="Group 50">
          <a:extLst>
            <a:ext uri="{FF2B5EF4-FFF2-40B4-BE49-F238E27FC236}">
              <a16:creationId xmlns:a16="http://schemas.microsoft.com/office/drawing/2014/main" xmlns="" id="{35ABF40D-F2ED-45F1-9AF3-7D7718FE007B}"/>
            </a:ext>
          </a:extLst>
        </xdr:cNvPr>
        <xdr:cNvGrpSpPr/>
      </xdr:nvGrpSpPr>
      <xdr:grpSpPr>
        <a:xfrm>
          <a:off x="212913" y="123596960"/>
          <a:ext cx="7664262" cy="7888942"/>
          <a:chOff x="-1916117" y="236894"/>
          <a:chExt cx="8861665" cy="8684454"/>
        </a:xfrm>
      </xdr:grpSpPr>
      <xdr:pic>
        <xdr:nvPicPr>
          <xdr:cNvPr id="52" name="Picture 51">
            <a:extLst>
              <a:ext uri="{FF2B5EF4-FFF2-40B4-BE49-F238E27FC236}">
                <a16:creationId xmlns:a16="http://schemas.microsoft.com/office/drawing/2014/main" xmlns="" id="{CDE656A3-43C0-4001-A91D-7EEA8EBF8281}"/>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418394" y="3679849"/>
            <a:ext cx="2160000" cy="2871029"/>
          </a:xfrm>
          <a:prstGeom prst="rect">
            <a:avLst/>
          </a:prstGeom>
          <a:ln>
            <a:solidFill>
              <a:schemeClr val="tx1"/>
            </a:solidFill>
          </a:ln>
        </xdr:spPr>
      </xdr:pic>
      <xdr:pic>
        <xdr:nvPicPr>
          <xdr:cNvPr id="53" name="Picture 52">
            <a:extLst>
              <a:ext uri="{FF2B5EF4-FFF2-40B4-BE49-F238E27FC236}">
                <a16:creationId xmlns:a16="http://schemas.microsoft.com/office/drawing/2014/main" xmlns="" id="{D1D48B89-306B-4677-BD6B-40824654BA58}"/>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639007" y="236894"/>
            <a:ext cx="4306541" cy="3240000"/>
          </a:xfrm>
          <a:prstGeom prst="rect">
            <a:avLst/>
          </a:prstGeom>
          <a:ln>
            <a:solidFill>
              <a:schemeClr val="tx1"/>
            </a:solidFill>
          </a:ln>
        </xdr:spPr>
      </xdr:pic>
      <xdr:pic>
        <xdr:nvPicPr>
          <xdr:cNvPr id="54" name="Picture 53">
            <a:extLst>
              <a:ext uri="{FF2B5EF4-FFF2-40B4-BE49-F238E27FC236}">
                <a16:creationId xmlns:a16="http://schemas.microsoft.com/office/drawing/2014/main" xmlns="" id="{3F077EA7-D1DE-4E8A-AE83-3F47E79EE994}"/>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916117" y="236894"/>
            <a:ext cx="4306543" cy="3240000"/>
          </a:xfrm>
          <a:prstGeom prst="rect">
            <a:avLst/>
          </a:prstGeom>
          <a:ln>
            <a:solidFill>
              <a:schemeClr val="tx1"/>
            </a:solidFill>
          </a:ln>
        </xdr:spPr>
      </xdr:pic>
      <xdr:pic>
        <xdr:nvPicPr>
          <xdr:cNvPr id="55" name="Picture 54">
            <a:extLst>
              <a:ext uri="{FF2B5EF4-FFF2-40B4-BE49-F238E27FC236}">
                <a16:creationId xmlns:a16="http://schemas.microsoft.com/office/drawing/2014/main" xmlns="" id="{1EC0E958-ACC1-4103-AE6B-F16B0AB49CAB}"/>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3754865" y="3679850"/>
            <a:ext cx="2160000" cy="2871028"/>
          </a:xfrm>
          <a:prstGeom prst="rect">
            <a:avLst/>
          </a:prstGeom>
          <a:ln>
            <a:solidFill>
              <a:schemeClr val="tx1"/>
            </a:solidFill>
          </a:ln>
        </xdr:spPr>
      </xdr:pic>
      <xdr:pic>
        <xdr:nvPicPr>
          <xdr:cNvPr id="56" name="Picture 55">
            <a:extLst>
              <a:ext uri="{FF2B5EF4-FFF2-40B4-BE49-F238E27FC236}">
                <a16:creationId xmlns:a16="http://schemas.microsoft.com/office/drawing/2014/main" xmlns="" id="{2CABBCCC-C557-4C80-91C3-073D421FE79C}"/>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216045" y="6761348"/>
            <a:ext cx="1625063" cy="2160000"/>
          </a:xfrm>
          <a:prstGeom prst="rect">
            <a:avLst/>
          </a:prstGeom>
          <a:ln>
            <a:solidFill>
              <a:schemeClr val="tx1"/>
            </a:solidFill>
          </a:ln>
        </xdr:spPr>
      </xdr:pic>
      <xdr:pic>
        <xdr:nvPicPr>
          <xdr:cNvPr id="57" name="Picture 56">
            <a:extLst>
              <a:ext uri="{FF2B5EF4-FFF2-40B4-BE49-F238E27FC236}">
                <a16:creationId xmlns:a16="http://schemas.microsoft.com/office/drawing/2014/main" xmlns="" id="{1E67D10D-091E-47AB-B893-42926237FBF9}"/>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a:stretch/>
        </xdr:blipFill>
        <xdr:spPr>
          <a:xfrm>
            <a:off x="1580426" y="6753833"/>
            <a:ext cx="1620000" cy="2160787"/>
          </a:xfrm>
          <a:prstGeom prst="rect">
            <a:avLst/>
          </a:prstGeom>
          <a:ln>
            <a:solidFill>
              <a:schemeClr val="tx1"/>
            </a:solidFill>
          </a:ln>
        </xdr:spPr>
      </xdr:pic>
      <xdr:pic>
        <xdr:nvPicPr>
          <xdr:cNvPr id="58" name="Picture 57">
            <a:extLst>
              <a:ext uri="{FF2B5EF4-FFF2-40B4-BE49-F238E27FC236}">
                <a16:creationId xmlns:a16="http://schemas.microsoft.com/office/drawing/2014/main" xmlns="" id="{C63677A6-8B89-4823-B08C-225850FAF5F1}"/>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3354358" y="6761348"/>
            <a:ext cx="1625063" cy="2160000"/>
          </a:xfrm>
          <a:prstGeom prst="rect">
            <a:avLst/>
          </a:prstGeom>
          <a:ln>
            <a:solidFill>
              <a:schemeClr val="tx1"/>
            </a:solidFill>
          </a:ln>
        </xdr:spPr>
      </xdr:pic>
      <xdr:pic>
        <xdr:nvPicPr>
          <xdr:cNvPr id="59" name="Picture 58">
            <a:extLst>
              <a:ext uri="{FF2B5EF4-FFF2-40B4-BE49-F238E27FC236}">
                <a16:creationId xmlns:a16="http://schemas.microsoft.com/office/drawing/2014/main" xmlns="" id="{3D845411-702C-4A86-802A-120904215ECF}"/>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918077" y="3679850"/>
            <a:ext cx="2160000" cy="2871028"/>
          </a:xfrm>
          <a:prstGeom prst="rect">
            <a:avLst/>
          </a:prstGeom>
          <a:ln>
            <a:solidFill>
              <a:schemeClr val="tx1"/>
            </a:solidFill>
          </a:ln>
        </xdr:spPr>
      </xdr:pic>
    </xdr:grpSp>
    <xdr:clientData/>
  </xdr:twoCellAnchor>
  <xdr:twoCellAnchor editAs="oneCell">
    <xdr:from>
      <xdr:col>14</xdr:col>
      <xdr:colOff>123266</xdr:colOff>
      <xdr:row>167</xdr:row>
      <xdr:rowOff>56028</xdr:rowOff>
    </xdr:from>
    <xdr:to>
      <xdr:col>21</xdr:col>
      <xdr:colOff>64589</xdr:colOff>
      <xdr:row>181</xdr:row>
      <xdr:rowOff>75480</xdr:rowOff>
    </xdr:to>
    <xdr:pic>
      <xdr:nvPicPr>
        <xdr:cNvPr id="60" name="Picture 59">
          <a:extLst>
            <a:ext uri="{FF2B5EF4-FFF2-40B4-BE49-F238E27FC236}">
              <a16:creationId xmlns:a16="http://schemas.microsoft.com/office/drawing/2014/main" xmlns="" id="{F7C84F28-7464-4A0B-B4E2-755A324F686B}"/>
            </a:ext>
          </a:extLst>
        </xdr:cNvPr>
        <xdr:cNvPicPr>
          <a:picLocks noChangeAspect="1"/>
        </xdr:cNvPicPr>
      </xdr:nvPicPr>
      <xdr:blipFill>
        <a:blip xmlns:r="http://schemas.openxmlformats.org/officeDocument/2006/relationships" r:embed="rId20"/>
        <a:stretch>
          <a:fillRect/>
        </a:stretch>
      </xdr:blipFill>
      <xdr:spPr>
        <a:xfrm>
          <a:off x="8012207" y="45630352"/>
          <a:ext cx="5040000" cy="2686452"/>
        </a:xfrm>
        <a:prstGeom prst="rect">
          <a:avLst/>
        </a:prstGeom>
      </xdr:spPr>
    </xdr:pic>
    <xdr:clientData/>
  </xdr:twoCellAnchor>
  <xdr:twoCellAnchor editAs="oneCell">
    <xdr:from>
      <xdr:col>14</xdr:col>
      <xdr:colOff>112058</xdr:colOff>
      <xdr:row>181</xdr:row>
      <xdr:rowOff>89645</xdr:rowOff>
    </xdr:from>
    <xdr:to>
      <xdr:col>21</xdr:col>
      <xdr:colOff>413381</xdr:colOff>
      <xdr:row>191</xdr:row>
      <xdr:rowOff>169004</xdr:rowOff>
    </xdr:to>
    <xdr:pic>
      <xdr:nvPicPr>
        <xdr:cNvPr id="61" name="Picture 60">
          <a:extLst>
            <a:ext uri="{FF2B5EF4-FFF2-40B4-BE49-F238E27FC236}">
              <a16:creationId xmlns:a16="http://schemas.microsoft.com/office/drawing/2014/main" xmlns="" id="{26F094C3-B3A1-4ECC-AB66-D2DBA39E3A45}"/>
            </a:ext>
          </a:extLst>
        </xdr:cNvPr>
        <xdr:cNvPicPr>
          <a:picLocks noChangeAspect="1"/>
        </xdr:cNvPicPr>
      </xdr:nvPicPr>
      <xdr:blipFill>
        <a:blip xmlns:r="http://schemas.openxmlformats.org/officeDocument/2006/relationships" r:embed="rId21"/>
        <a:stretch>
          <a:fillRect/>
        </a:stretch>
      </xdr:blipFill>
      <xdr:spPr>
        <a:xfrm>
          <a:off x="8000999" y="48330969"/>
          <a:ext cx="5400000" cy="2152448"/>
        </a:xfrm>
        <a:prstGeom prst="rect">
          <a:avLst/>
        </a:prstGeom>
      </xdr:spPr>
    </xdr:pic>
    <xdr:clientData/>
  </xdr:twoCellAnchor>
  <xdr:twoCellAnchor editAs="oneCell">
    <xdr:from>
      <xdr:col>14</xdr:col>
      <xdr:colOff>89647</xdr:colOff>
      <xdr:row>189</xdr:row>
      <xdr:rowOff>123264</xdr:rowOff>
    </xdr:from>
    <xdr:to>
      <xdr:col>22</xdr:col>
      <xdr:colOff>15913</xdr:colOff>
      <xdr:row>200</xdr:row>
      <xdr:rowOff>102825</xdr:rowOff>
    </xdr:to>
    <xdr:pic>
      <xdr:nvPicPr>
        <xdr:cNvPr id="62" name="Picture 61">
          <a:extLst>
            <a:ext uri="{FF2B5EF4-FFF2-40B4-BE49-F238E27FC236}">
              <a16:creationId xmlns:a16="http://schemas.microsoft.com/office/drawing/2014/main" xmlns="" id="{F9BCB544-83A8-4A89-A8D5-3552E9CA12B6}"/>
            </a:ext>
          </a:extLst>
        </xdr:cNvPr>
        <xdr:cNvPicPr>
          <a:picLocks noChangeAspect="1"/>
        </xdr:cNvPicPr>
      </xdr:nvPicPr>
      <xdr:blipFill>
        <a:blip xmlns:r="http://schemas.openxmlformats.org/officeDocument/2006/relationships" r:embed="rId22"/>
        <a:stretch>
          <a:fillRect/>
        </a:stretch>
      </xdr:blipFill>
      <xdr:spPr>
        <a:xfrm>
          <a:off x="7978588" y="50527323"/>
          <a:ext cx="5630061" cy="2086266"/>
        </a:xfrm>
        <a:prstGeom prst="rect">
          <a:avLst/>
        </a:prstGeom>
      </xdr:spPr>
    </xdr:pic>
    <xdr:clientData/>
  </xdr:twoCellAnchor>
  <xdr:twoCellAnchor editAs="oneCell">
    <xdr:from>
      <xdr:col>14</xdr:col>
      <xdr:colOff>145677</xdr:colOff>
      <xdr:row>197</xdr:row>
      <xdr:rowOff>100854</xdr:rowOff>
    </xdr:from>
    <xdr:to>
      <xdr:col>18</xdr:col>
      <xdr:colOff>462353</xdr:colOff>
      <xdr:row>203</xdr:row>
      <xdr:rowOff>231927</xdr:rowOff>
    </xdr:to>
    <xdr:pic>
      <xdr:nvPicPr>
        <xdr:cNvPr id="63" name="Picture 62">
          <a:extLst>
            <a:ext uri="{FF2B5EF4-FFF2-40B4-BE49-F238E27FC236}">
              <a16:creationId xmlns:a16="http://schemas.microsoft.com/office/drawing/2014/main" xmlns="" id="{38FA0290-BB51-4F69-8F2C-22E2A32B39EF}"/>
            </a:ext>
          </a:extLst>
        </xdr:cNvPr>
        <xdr:cNvPicPr>
          <a:picLocks noChangeAspect="1"/>
        </xdr:cNvPicPr>
      </xdr:nvPicPr>
      <xdr:blipFill>
        <a:blip xmlns:r="http://schemas.openxmlformats.org/officeDocument/2006/relationships" r:embed="rId23"/>
        <a:stretch>
          <a:fillRect/>
        </a:stretch>
      </xdr:blipFill>
      <xdr:spPr>
        <a:xfrm>
          <a:off x="8034618" y="52701266"/>
          <a:ext cx="3600000" cy="1285279"/>
        </a:xfrm>
        <a:prstGeom prst="rect">
          <a:avLst/>
        </a:prstGeom>
      </xdr:spPr>
    </xdr:pic>
    <xdr:clientData/>
  </xdr:twoCellAnchor>
  <xdr:twoCellAnchor editAs="oneCell">
    <xdr:from>
      <xdr:col>14</xdr:col>
      <xdr:colOff>112059</xdr:colOff>
      <xdr:row>203</xdr:row>
      <xdr:rowOff>134471</xdr:rowOff>
    </xdr:from>
    <xdr:to>
      <xdr:col>22</xdr:col>
      <xdr:colOff>219325</xdr:colOff>
      <xdr:row>209</xdr:row>
      <xdr:rowOff>129618</xdr:rowOff>
    </xdr:to>
    <xdr:pic>
      <xdr:nvPicPr>
        <xdr:cNvPr id="64" name="Picture 63">
          <a:extLst>
            <a:ext uri="{FF2B5EF4-FFF2-40B4-BE49-F238E27FC236}">
              <a16:creationId xmlns:a16="http://schemas.microsoft.com/office/drawing/2014/main" xmlns="" id="{BA29A824-40FE-4891-A4E7-4E251FAF0DAF}"/>
            </a:ext>
          </a:extLst>
        </xdr:cNvPr>
        <xdr:cNvPicPr>
          <a:picLocks noChangeAspect="1"/>
        </xdr:cNvPicPr>
      </xdr:nvPicPr>
      <xdr:blipFill>
        <a:blip xmlns:r="http://schemas.openxmlformats.org/officeDocument/2006/relationships" r:embed="rId24"/>
        <a:stretch>
          <a:fillRect/>
        </a:stretch>
      </xdr:blipFill>
      <xdr:spPr>
        <a:xfrm>
          <a:off x="8001000" y="54079589"/>
          <a:ext cx="5811061" cy="1362265"/>
        </a:xfrm>
        <a:prstGeom prst="rect">
          <a:avLst/>
        </a:prstGeom>
      </xdr:spPr>
    </xdr:pic>
    <xdr:clientData/>
  </xdr:twoCellAnchor>
  <xdr:twoCellAnchor editAs="oneCell">
    <xdr:from>
      <xdr:col>1</xdr:col>
      <xdr:colOff>78442</xdr:colOff>
      <xdr:row>824</xdr:row>
      <xdr:rowOff>123265</xdr:rowOff>
    </xdr:from>
    <xdr:to>
      <xdr:col>13</xdr:col>
      <xdr:colOff>224543</xdr:colOff>
      <xdr:row>839</xdr:row>
      <xdr:rowOff>33617</xdr:rowOff>
    </xdr:to>
    <xdr:pic>
      <xdr:nvPicPr>
        <xdr:cNvPr id="65" name="Picture 64">
          <a:extLst>
            <a:ext uri="{FF2B5EF4-FFF2-40B4-BE49-F238E27FC236}">
              <a16:creationId xmlns:a16="http://schemas.microsoft.com/office/drawing/2014/main" xmlns="" id="{76D00F34-3EE8-4259-8989-ABBA9EB91D23}"/>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358589" y="154551530"/>
          <a:ext cx="7194601" cy="2767852"/>
        </a:xfrm>
        <a:prstGeom prst="rect">
          <a:avLst/>
        </a:prstGeom>
      </xdr:spPr>
    </xdr:pic>
    <xdr:clientData/>
  </xdr:twoCellAnchor>
  <xdr:twoCellAnchor editAs="oneCell">
    <xdr:from>
      <xdr:col>1</xdr:col>
      <xdr:colOff>336176</xdr:colOff>
      <xdr:row>889</xdr:row>
      <xdr:rowOff>118318</xdr:rowOff>
    </xdr:from>
    <xdr:to>
      <xdr:col>12</xdr:col>
      <xdr:colOff>195066</xdr:colOff>
      <xdr:row>908</xdr:row>
      <xdr:rowOff>98818</xdr:rowOff>
    </xdr:to>
    <xdr:pic>
      <xdr:nvPicPr>
        <xdr:cNvPr id="67" name="Picture 66">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616323" y="162939789"/>
          <a:ext cx="6403125" cy="3600000"/>
        </a:xfrm>
        <a:prstGeom prst="rect">
          <a:avLst/>
        </a:prstGeom>
        <a:ln>
          <a:solidFill>
            <a:schemeClr val="tx1"/>
          </a:solidFill>
        </a:ln>
      </xdr:spPr>
    </xdr:pic>
    <xdr:clientData/>
  </xdr:twoCellAnchor>
  <xdr:twoCellAnchor editAs="oneCell">
    <xdr:from>
      <xdr:col>1</xdr:col>
      <xdr:colOff>352425</xdr:colOff>
      <xdr:row>870</xdr:row>
      <xdr:rowOff>47625</xdr:rowOff>
    </xdr:from>
    <xdr:to>
      <xdr:col>12</xdr:col>
      <xdr:colOff>209074</xdr:colOff>
      <xdr:row>889</xdr:row>
      <xdr:rowOff>28125</xdr:rowOff>
    </xdr:to>
    <xdr:pic>
      <xdr:nvPicPr>
        <xdr:cNvPr id="71" name="Picture 70">
          <a:extLst>
            <a:ext uri="{FF2B5EF4-FFF2-40B4-BE49-F238E27FC236}">
              <a16:creationId xmlns:a16="http://schemas.microsoft.com/office/drawing/2014/main" xmlns="" id="{00000000-0008-0000-0000-000046000000}"/>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628650" y="158543625"/>
          <a:ext cx="6381274" cy="3600000"/>
        </a:xfrm>
        <a:prstGeom prst="rect">
          <a:avLst/>
        </a:prstGeom>
        <a:ln>
          <a:solidFill>
            <a:schemeClr val="tx1"/>
          </a:solidFill>
        </a:ln>
      </xdr:spPr>
    </xdr:pic>
    <xdr:clientData/>
  </xdr:twoCellAnchor>
  <xdr:twoCellAnchor editAs="oneCell">
    <xdr:from>
      <xdr:col>2</xdr:col>
      <xdr:colOff>133351</xdr:colOff>
      <xdr:row>915</xdr:row>
      <xdr:rowOff>19050</xdr:rowOff>
    </xdr:from>
    <xdr:to>
      <xdr:col>13</xdr:col>
      <xdr:colOff>2326</xdr:colOff>
      <xdr:row>933</xdr:row>
      <xdr:rowOff>190050</xdr:rowOff>
    </xdr:to>
    <xdr:pic>
      <xdr:nvPicPr>
        <xdr:cNvPr id="72" name="Picture 71">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904876" y="167087550"/>
          <a:ext cx="6403125" cy="3600000"/>
        </a:xfrm>
        <a:prstGeom prst="rect">
          <a:avLst/>
        </a:prstGeom>
        <a:ln>
          <a:solidFill>
            <a:schemeClr val="tx1"/>
          </a:solidFill>
        </a:ln>
      </xdr:spPr>
    </xdr:pic>
    <xdr:clientData/>
  </xdr:twoCellAnchor>
  <xdr:twoCellAnchor editAs="oneCell">
    <xdr:from>
      <xdr:col>2</xdr:col>
      <xdr:colOff>133350</xdr:colOff>
      <xdr:row>934</xdr:row>
      <xdr:rowOff>154825</xdr:rowOff>
    </xdr:from>
    <xdr:to>
      <xdr:col>13</xdr:col>
      <xdr:colOff>2325</xdr:colOff>
      <xdr:row>953</xdr:row>
      <xdr:rowOff>135325</xdr:rowOff>
    </xdr:to>
    <xdr:pic>
      <xdr:nvPicPr>
        <xdr:cNvPr id="73" name="Picture 72">
          <a:extLst>
            <a:ext uri="{FF2B5EF4-FFF2-40B4-BE49-F238E27FC236}">
              <a16:creationId xmlns:a16="http://schemas.microsoft.com/office/drawing/2014/main" xmlns="" id="{00000000-0008-0000-0000-000049000000}"/>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904875" y="170842825"/>
          <a:ext cx="6403125" cy="3600000"/>
        </a:xfrm>
        <a:prstGeom prst="rect">
          <a:avLst/>
        </a:prstGeom>
        <a:ln>
          <a:solidFill>
            <a:schemeClr val="tx1"/>
          </a:solidFill>
        </a:ln>
      </xdr:spPr>
    </xdr:pic>
    <xdr:clientData/>
  </xdr:twoCellAnchor>
  <xdr:twoCellAnchor editAs="oneCell">
    <xdr:from>
      <xdr:col>2</xdr:col>
      <xdr:colOff>123826</xdr:colOff>
      <xdr:row>962</xdr:row>
      <xdr:rowOff>0</xdr:rowOff>
    </xdr:from>
    <xdr:to>
      <xdr:col>12</xdr:col>
      <xdr:colOff>497626</xdr:colOff>
      <xdr:row>980</xdr:row>
      <xdr:rowOff>171000</xdr:rowOff>
    </xdr:to>
    <xdr:pic>
      <xdr:nvPicPr>
        <xdr:cNvPr id="74" name="Picture 73">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895351" y="176022000"/>
          <a:ext cx="6403125" cy="3600000"/>
        </a:xfrm>
        <a:prstGeom prst="rect">
          <a:avLst/>
        </a:prstGeom>
        <a:ln>
          <a:solidFill>
            <a:schemeClr val="tx1"/>
          </a:solidFill>
        </a:ln>
      </xdr:spPr>
    </xdr:pic>
    <xdr:clientData/>
  </xdr:twoCellAnchor>
  <xdr:twoCellAnchor editAs="oneCell">
    <xdr:from>
      <xdr:col>2</xdr:col>
      <xdr:colOff>123825</xdr:colOff>
      <xdr:row>981</xdr:row>
      <xdr:rowOff>135775</xdr:rowOff>
    </xdr:from>
    <xdr:to>
      <xdr:col>12</xdr:col>
      <xdr:colOff>497625</xdr:colOff>
      <xdr:row>1000</xdr:row>
      <xdr:rowOff>116275</xdr:rowOff>
    </xdr:to>
    <xdr:pic>
      <xdr:nvPicPr>
        <xdr:cNvPr id="75" name="Picture 74">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895350" y="179777275"/>
          <a:ext cx="6403125" cy="3600000"/>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14</xdr:row>
      <xdr:rowOff>0</xdr:rowOff>
    </xdr:from>
    <xdr:to>
      <xdr:col>7</xdr:col>
      <xdr:colOff>419185</xdr:colOff>
      <xdr:row>32</xdr:row>
      <xdr:rowOff>171000</xdr:rowOff>
    </xdr:to>
    <xdr:pic>
      <xdr:nvPicPr>
        <xdr:cNvPr id="2" name="Picture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a:stretch>
          <a:fillRect/>
        </a:stretch>
      </xdr:blipFill>
      <xdr:spPr>
        <a:xfrm>
          <a:off x="582707" y="3249706"/>
          <a:ext cx="6403125" cy="3600000"/>
        </a:xfrm>
        <a:prstGeom prst="rect">
          <a:avLst/>
        </a:prstGeom>
      </xdr:spPr>
    </xdr:pic>
    <xdr:clientData/>
  </xdr:twoCellAnchor>
  <xdr:twoCellAnchor editAs="oneCell">
    <xdr:from>
      <xdr:col>1</xdr:col>
      <xdr:colOff>1</xdr:colOff>
      <xdr:row>34</xdr:row>
      <xdr:rowOff>0</xdr:rowOff>
    </xdr:from>
    <xdr:to>
      <xdr:col>7</xdr:col>
      <xdr:colOff>419185</xdr:colOff>
      <xdr:row>52</xdr:row>
      <xdr:rowOff>171000</xdr:rowOff>
    </xdr:to>
    <xdr:pic>
      <xdr:nvPicPr>
        <xdr:cNvPr id="3" name="Picture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2"/>
        <a:stretch>
          <a:fillRect/>
        </a:stretch>
      </xdr:blipFill>
      <xdr:spPr>
        <a:xfrm>
          <a:off x="582707" y="7059706"/>
          <a:ext cx="6403125" cy="3600000"/>
        </a:xfrm>
        <a:prstGeom prst="rect">
          <a:avLst/>
        </a:prstGeom>
      </xdr:spPr>
    </xdr:pic>
    <xdr:clientData/>
  </xdr:twoCellAnchor>
  <xdr:twoCellAnchor editAs="oneCell">
    <xdr:from>
      <xdr:col>1</xdr:col>
      <xdr:colOff>1</xdr:colOff>
      <xdr:row>54</xdr:row>
      <xdr:rowOff>0</xdr:rowOff>
    </xdr:from>
    <xdr:to>
      <xdr:col>7</xdr:col>
      <xdr:colOff>419185</xdr:colOff>
      <xdr:row>72</xdr:row>
      <xdr:rowOff>171000</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3"/>
        <a:stretch>
          <a:fillRect/>
        </a:stretch>
      </xdr:blipFill>
      <xdr:spPr>
        <a:xfrm>
          <a:off x="582707" y="10679206"/>
          <a:ext cx="6403125" cy="3600000"/>
        </a:xfrm>
        <a:prstGeom prst="rect">
          <a:avLst/>
        </a:prstGeom>
      </xdr:spPr>
    </xdr:pic>
    <xdr:clientData/>
  </xdr:twoCellAnchor>
  <xdr:twoCellAnchor editAs="oneCell">
    <xdr:from>
      <xdr:col>1</xdr:col>
      <xdr:colOff>1</xdr:colOff>
      <xdr:row>74</xdr:row>
      <xdr:rowOff>0</xdr:rowOff>
    </xdr:from>
    <xdr:to>
      <xdr:col>7</xdr:col>
      <xdr:colOff>419185</xdr:colOff>
      <xdr:row>92</xdr:row>
      <xdr:rowOff>171000</xdr:rowOff>
    </xdr:to>
    <xdr:pic>
      <xdr:nvPicPr>
        <xdr:cNvPr id="5" name="Picture 4">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4"/>
        <a:stretch>
          <a:fillRect/>
        </a:stretch>
      </xdr:blipFill>
      <xdr:spPr>
        <a:xfrm>
          <a:off x="582707" y="14489206"/>
          <a:ext cx="6403125" cy="3600000"/>
        </a:xfrm>
        <a:prstGeom prst="rect">
          <a:avLst/>
        </a:prstGeom>
      </xdr:spPr>
    </xdr:pic>
    <xdr:clientData/>
  </xdr:twoCellAnchor>
  <xdr:twoCellAnchor editAs="oneCell">
    <xdr:from>
      <xdr:col>1</xdr:col>
      <xdr:colOff>1</xdr:colOff>
      <xdr:row>94</xdr:row>
      <xdr:rowOff>0</xdr:rowOff>
    </xdr:from>
    <xdr:to>
      <xdr:col>7</xdr:col>
      <xdr:colOff>419185</xdr:colOff>
      <xdr:row>112</xdr:row>
      <xdr:rowOff>171000</xdr:rowOff>
    </xdr:to>
    <xdr:pic>
      <xdr:nvPicPr>
        <xdr:cNvPr id="6" name="Picture 5">
          <a:extLst>
            <a:ext uri="{FF2B5EF4-FFF2-40B4-BE49-F238E27FC236}">
              <a16:creationId xmlns:a16="http://schemas.microsoft.com/office/drawing/2014/main" xmlns="" id="{00000000-0008-0000-0300-000006000000}"/>
            </a:ext>
          </a:extLst>
        </xdr:cNvPr>
        <xdr:cNvPicPr>
          <a:picLocks noChangeAspect="1"/>
        </xdr:cNvPicPr>
      </xdr:nvPicPr>
      <xdr:blipFill>
        <a:blip xmlns:r="http://schemas.openxmlformats.org/officeDocument/2006/relationships" r:embed="rId5"/>
        <a:stretch>
          <a:fillRect/>
        </a:stretch>
      </xdr:blipFill>
      <xdr:spPr>
        <a:xfrm>
          <a:off x="582707" y="18299206"/>
          <a:ext cx="6403125" cy="3600000"/>
        </a:xfrm>
        <a:prstGeom prst="rect">
          <a:avLst/>
        </a:prstGeom>
      </xdr:spPr>
    </xdr:pic>
    <xdr:clientData/>
  </xdr:twoCellAnchor>
  <xdr:twoCellAnchor editAs="oneCell">
    <xdr:from>
      <xdr:col>1</xdr:col>
      <xdr:colOff>1</xdr:colOff>
      <xdr:row>114</xdr:row>
      <xdr:rowOff>0</xdr:rowOff>
    </xdr:from>
    <xdr:to>
      <xdr:col>7</xdr:col>
      <xdr:colOff>419185</xdr:colOff>
      <xdr:row>132</xdr:row>
      <xdr:rowOff>171000</xdr:rowOff>
    </xdr:to>
    <xdr:pic>
      <xdr:nvPicPr>
        <xdr:cNvPr id="7" name="Picture 6">
          <a:extLst>
            <a:ext uri="{FF2B5EF4-FFF2-40B4-BE49-F238E27FC236}">
              <a16:creationId xmlns:a16="http://schemas.microsoft.com/office/drawing/2014/main" xmlns="" id="{00000000-0008-0000-0300-000007000000}"/>
            </a:ext>
          </a:extLst>
        </xdr:cNvPr>
        <xdr:cNvPicPr>
          <a:picLocks noChangeAspect="1"/>
        </xdr:cNvPicPr>
      </xdr:nvPicPr>
      <xdr:blipFill>
        <a:blip xmlns:r="http://schemas.openxmlformats.org/officeDocument/2006/relationships" r:embed="rId6"/>
        <a:stretch>
          <a:fillRect/>
        </a:stretch>
      </xdr:blipFill>
      <xdr:spPr>
        <a:xfrm>
          <a:off x="582707" y="22109206"/>
          <a:ext cx="6403125" cy="360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2:X1152"/>
  <sheetViews>
    <sheetView tabSelected="1" view="pageBreakPreview" zoomScaleNormal="100" zoomScaleSheetLayoutView="100" zoomScalePageLayoutView="85" workbookViewId="0">
      <selection activeCell="R10" sqref="R10"/>
    </sheetView>
  </sheetViews>
  <sheetFormatPr defaultRowHeight="15" x14ac:dyDescent="0.25"/>
  <cols>
    <col min="1" max="1" width="4.140625" style="5" customWidth="1"/>
    <col min="2" max="2" width="7.42578125" style="43" customWidth="1"/>
    <col min="3" max="3" width="8.5703125" style="44" customWidth="1"/>
    <col min="4" max="4" width="7.85546875" style="44" customWidth="1"/>
    <col min="5" max="7" width="8" style="44" customWidth="1"/>
    <col min="8" max="8" width="7.85546875" style="44" customWidth="1"/>
    <col min="9" max="9" width="9" style="5" customWidth="1"/>
    <col min="10" max="10" width="13.42578125" style="5" customWidth="1"/>
    <col min="11" max="11" width="11.140625" style="5" customWidth="1"/>
    <col min="12" max="12" width="8.5703125" style="5" customWidth="1"/>
    <col min="13" max="13" width="7.5703125" style="5" customWidth="1"/>
    <col min="14" max="14" width="13" style="5" customWidth="1"/>
    <col min="15" max="15" width="18.28515625" style="5" customWidth="1"/>
    <col min="16" max="16" width="12.7109375" style="5" customWidth="1"/>
    <col min="17" max="16384" width="9.140625" style="5"/>
  </cols>
  <sheetData>
    <row r="2" spans="1:14" ht="18.75" x14ac:dyDescent="0.3">
      <c r="A2" s="233" t="s">
        <v>76</v>
      </c>
      <c r="B2" s="233"/>
      <c r="C2" s="233"/>
      <c r="D2" s="233"/>
      <c r="E2" s="233"/>
      <c r="F2" s="233"/>
      <c r="G2" s="233"/>
      <c r="H2" s="233"/>
      <c r="I2" s="233"/>
      <c r="J2" s="233"/>
      <c r="K2" s="233"/>
      <c r="L2" s="233"/>
      <c r="M2" s="233"/>
      <c r="N2" s="233"/>
    </row>
    <row r="3" spans="1:14" ht="18.75" x14ac:dyDescent="0.3">
      <c r="A3" s="29"/>
      <c r="B3" s="37"/>
      <c r="C3" s="38"/>
      <c r="D3" s="38"/>
      <c r="E3" s="38"/>
      <c r="F3" s="38"/>
      <c r="G3" s="38"/>
      <c r="H3" s="38"/>
      <c r="I3" s="29"/>
      <c r="J3" s="29"/>
      <c r="K3" s="29"/>
      <c r="L3" s="29"/>
      <c r="M3" s="29"/>
      <c r="N3" s="29"/>
    </row>
    <row r="4" spans="1:14" ht="18.75" x14ac:dyDescent="0.3">
      <c r="A4" s="233" t="s">
        <v>77</v>
      </c>
      <c r="B4" s="233"/>
      <c r="C4" s="233"/>
      <c r="D4" s="233"/>
      <c r="E4" s="233"/>
      <c r="F4" s="233"/>
      <c r="G4" s="233"/>
      <c r="H4" s="233"/>
      <c r="I4" s="233"/>
      <c r="J4" s="233"/>
      <c r="K4" s="233"/>
      <c r="L4" s="233"/>
      <c r="M4" s="233"/>
      <c r="N4" s="233"/>
    </row>
    <row r="5" spans="1:14" ht="18.75" x14ac:dyDescent="0.3">
      <c r="A5" s="29"/>
      <c r="B5" s="37"/>
      <c r="C5" s="38"/>
      <c r="D5" s="38"/>
      <c r="E5" s="38"/>
      <c r="F5" s="38"/>
      <c r="G5" s="38"/>
      <c r="H5" s="38"/>
      <c r="I5" s="29"/>
      <c r="J5" s="29"/>
      <c r="K5" s="29"/>
      <c r="L5" s="29"/>
      <c r="M5" s="29"/>
      <c r="N5" s="29"/>
    </row>
    <row r="6" spans="1:14" ht="18.75" customHeight="1" x14ac:dyDescent="0.3">
      <c r="A6" s="232" t="s">
        <v>630</v>
      </c>
      <c r="B6" s="232"/>
      <c r="C6" s="232"/>
      <c r="D6" s="232"/>
      <c r="E6" s="232"/>
      <c r="F6" s="232"/>
      <c r="G6" s="232"/>
      <c r="H6" s="232"/>
      <c r="I6" s="232"/>
      <c r="J6" s="232"/>
      <c r="K6" s="232"/>
      <c r="L6" s="232"/>
      <c r="M6" s="232"/>
      <c r="N6" s="232"/>
    </row>
    <row r="8" spans="1:14" ht="15.75" customHeight="1" x14ac:dyDescent="0.25">
      <c r="A8" s="231" t="s">
        <v>631</v>
      </c>
      <c r="B8" s="231"/>
      <c r="C8" s="231"/>
      <c r="D8" s="231"/>
      <c r="E8" s="231"/>
      <c r="F8" s="231"/>
      <c r="G8" s="231"/>
      <c r="H8" s="231"/>
      <c r="I8" s="231"/>
      <c r="J8" s="231"/>
      <c r="K8" s="231"/>
      <c r="L8" s="231"/>
      <c r="M8" s="231"/>
      <c r="N8" s="231"/>
    </row>
    <row r="9" spans="1:14" ht="15.75" customHeight="1" x14ac:dyDescent="0.25">
      <c r="A9" s="230" t="s">
        <v>632</v>
      </c>
      <c r="B9" s="230"/>
      <c r="C9" s="230"/>
      <c r="D9" s="230"/>
      <c r="E9" s="230"/>
      <c r="F9" s="230"/>
      <c r="G9" s="230"/>
      <c r="H9" s="230"/>
      <c r="I9" s="230"/>
      <c r="J9" s="230"/>
      <c r="K9" s="230"/>
      <c r="L9" s="230"/>
      <c r="M9" s="230"/>
      <c r="N9" s="230"/>
    </row>
    <row r="10" spans="1:14" ht="15.75" x14ac:dyDescent="0.25">
      <c r="A10" s="230"/>
      <c r="B10" s="230"/>
      <c r="C10" s="230"/>
      <c r="D10" s="230"/>
      <c r="E10" s="230"/>
      <c r="F10" s="230"/>
      <c r="G10" s="230"/>
      <c r="H10" s="230"/>
      <c r="I10" s="230"/>
      <c r="J10" s="230"/>
      <c r="K10" s="230"/>
      <c r="L10" s="230"/>
      <c r="M10" s="230"/>
      <c r="N10" s="230"/>
    </row>
    <row r="33" spans="1:14" ht="15.75" x14ac:dyDescent="0.25">
      <c r="A33" s="377" t="s">
        <v>78</v>
      </c>
      <c r="B33" s="377"/>
      <c r="C33" s="377"/>
      <c r="D33" s="377"/>
      <c r="E33" s="377"/>
      <c r="F33" s="377"/>
      <c r="G33" s="377"/>
      <c r="H33" s="377"/>
      <c r="I33" s="377"/>
      <c r="J33" s="377"/>
      <c r="K33" s="377"/>
      <c r="L33" s="377"/>
      <c r="M33" s="377"/>
      <c r="N33" s="377"/>
    </row>
    <row r="34" spans="1:14" ht="15.75" x14ac:dyDescent="0.25">
      <c r="A34" s="377"/>
      <c r="B34" s="377"/>
      <c r="C34" s="377"/>
      <c r="D34" s="377"/>
      <c r="E34" s="377"/>
      <c r="F34" s="377"/>
      <c r="G34" s="377"/>
      <c r="H34" s="377"/>
      <c r="I34" s="377"/>
      <c r="J34" s="377"/>
      <c r="K34" s="377"/>
      <c r="L34" s="377"/>
      <c r="M34" s="377"/>
      <c r="N34" s="377"/>
    </row>
    <row r="35" spans="1:14" ht="15.75" x14ac:dyDescent="0.25">
      <c r="A35" s="377" t="s">
        <v>361</v>
      </c>
      <c r="B35" s="377"/>
      <c r="C35" s="377"/>
      <c r="D35" s="377"/>
      <c r="E35" s="377"/>
      <c r="F35" s="377"/>
      <c r="G35" s="377"/>
      <c r="H35" s="377"/>
      <c r="I35" s="377"/>
      <c r="J35" s="377"/>
      <c r="K35" s="377"/>
      <c r="L35" s="377"/>
      <c r="M35" s="377"/>
      <c r="N35" s="377"/>
    </row>
    <row r="36" spans="1:14" ht="15.75" x14ac:dyDescent="0.25">
      <c r="A36" s="377" t="s">
        <v>115</v>
      </c>
      <c r="B36" s="377"/>
      <c r="C36" s="377"/>
      <c r="D36" s="377"/>
      <c r="E36" s="377"/>
      <c r="F36" s="377"/>
      <c r="G36" s="377"/>
      <c r="H36" s="377"/>
      <c r="I36" s="377"/>
      <c r="J36" s="377"/>
      <c r="K36" s="377"/>
      <c r="L36" s="377"/>
      <c r="M36" s="377"/>
      <c r="N36" s="377"/>
    </row>
    <row r="37" spans="1:14" ht="15.75" x14ac:dyDescent="0.25">
      <c r="A37" s="377" t="s">
        <v>116</v>
      </c>
      <c r="B37" s="377"/>
      <c r="C37" s="377"/>
      <c r="D37" s="377"/>
      <c r="E37" s="377"/>
      <c r="F37" s="377"/>
      <c r="G37" s="377"/>
      <c r="H37" s="377"/>
      <c r="I37" s="377"/>
      <c r="J37" s="377"/>
      <c r="K37" s="377"/>
      <c r="L37" s="377"/>
      <c r="M37" s="377"/>
      <c r="N37" s="377"/>
    </row>
    <row r="38" spans="1:14" ht="15.75" x14ac:dyDescent="0.25">
      <c r="A38" s="377" t="s">
        <v>117</v>
      </c>
      <c r="B38" s="377"/>
      <c r="C38" s="377"/>
      <c r="D38" s="377"/>
      <c r="E38" s="377"/>
      <c r="F38" s="377"/>
      <c r="G38" s="377"/>
      <c r="H38" s="377"/>
      <c r="I38" s="377"/>
      <c r="J38" s="377"/>
      <c r="K38" s="377"/>
      <c r="L38" s="377"/>
      <c r="M38" s="377"/>
      <c r="N38" s="377"/>
    </row>
    <row r="39" spans="1:14" ht="15.75" x14ac:dyDescent="0.25">
      <c r="A39" s="28"/>
      <c r="B39" s="39"/>
      <c r="C39" s="40"/>
      <c r="D39" s="40"/>
      <c r="E39" s="40"/>
      <c r="F39" s="40"/>
      <c r="G39" s="40"/>
      <c r="H39" s="40"/>
      <c r="I39" s="28"/>
      <c r="J39" s="28"/>
      <c r="K39" s="28"/>
      <c r="L39" s="28"/>
      <c r="M39" s="28"/>
      <c r="N39" s="28"/>
    </row>
    <row r="40" spans="1:14" ht="15.75" x14ac:dyDescent="0.25">
      <c r="A40" s="377" t="s">
        <v>119</v>
      </c>
      <c r="B40" s="377"/>
      <c r="C40" s="377"/>
      <c r="D40" s="377"/>
      <c r="E40" s="377"/>
      <c r="F40" s="377"/>
      <c r="G40" s="377"/>
      <c r="H40" s="377"/>
      <c r="I40" s="377"/>
      <c r="J40" s="377"/>
      <c r="K40" s="377"/>
      <c r="L40" s="377"/>
      <c r="M40" s="377"/>
      <c r="N40" s="377"/>
    </row>
    <row r="41" spans="1:14" x14ac:dyDescent="0.25">
      <c r="A41" s="27"/>
      <c r="B41" s="41"/>
      <c r="C41" s="42"/>
      <c r="D41" s="42"/>
      <c r="E41" s="42"/>
      <c r="F41" s="42"/>
      <c r="G41" s="42"/>
      <c r="H41" s="42"/>
      <c r="I41" s="27"/>
      <c r="J41" s="27"/>
      <c r="K41" s="27"/>
      <c r="L41" s="27"/>
      <c r="M41" s="27"/>
      <c r="N41" s="27"/>
    </row>
    <row r="42" spans="1:14" x14ac:dyDescent="0.25">
      <c r="A42" s="338" t="s">
        <v>118</v>
      </c>
      <c r="B42" s="338"/>
      <c r="C42" s="338"/>
      <c r="D42" s="338"/>
      <c r="E42" s="338"/>
      <c r="F42" s="338"/>
      <c r="G42" s="338"/>
      <c r="H42" s="338"/>
      <c r="I42" s="338"/>
      <c r="J42" s="338"/>
      <c r="K42" s="338"/>
      <c r="L42" s="338"/>
      <c r="M42" s="338"/>
      <c r="N42" s="338"/>
    </row>
    <row r="45" spans="1:14" ht="46.5" customHeight="1" x14ac:dyDescent="0.25">
      <c r="A45" s="386" t="s">
        <v>120</v>
      </c>
      <c r="B45" s="387"/>
      <c r="C45" s="387"/>
      <c r="D45" s="387"/>
      <c r="E45" s="387"/>
      <c r="F45" s="387"/>
      <c r="G45" s="387"/>
      <c r="H45" s="387"/>
      <c r="I45" s="387"/>
      <c r="J45" s="387"/>
      <c r="K45" s="387"/>
      <c r="L45" s="387"/>
      <c r="M45" s="387"/>
      <c r="N45" s="388"/>
    </row>
    <row r="46" spans="1:14" x14ac:dyDescent="0.25">
      <c r="A46" s="378" t="s">
        <v>66</v>
      </c>
      <c r="B46" s="379"/>
      <c r="C46" s="379"/>
      <c r="D46" s="379"/>
      <c r="E46" s="379"/>
      <c r="F46" s="379"/>
      <c r="G46" s="379"/>
      <c r="H46" s="379"/>
      <c r="I46" s="379"/>
      <c r="J46" s="379"/>
      <c r="K46" s="379"/>
      <c r="L46" s="379"/>
      <c r="M46" s="379"/>
      <c r="N46" s="380"/>
    </row>
    <row r="47" spans="1:14" x14ac:dyDescent="0.25">
      <c r="A47" s="381"/>
      <c r="B47" s="382"/>
      <c r="C47" s="382"/>
      <c r="D47" s="382"/>
      <c r="E47" s="382"/>
      <c r="F47" s="382"/>
      <c r="G47" s="382"/>
      <c r="H47" s="382"/>
      <c r="I47" s="382"/>
      <c r="J47" s="382"/>
      <c r="K47" s="382"/>
      <c r="L47" s="382"/>
      <c r="M47" s="382"/>
      <c r="N47" s="383"/>
    </row>
    <row r="48" spans="1:14" x14ac:dyDescent="0.25">
      <c r="A48" s="18"/>
      <c r="K48" s="5" t="s">
        <v>1</v>
      </c>
      <c r="M48" s="389" t="str">
        <f ca="1">TEXT(TODAY(),"DD/MM/YYYY")</f>
        <v>30/08/2025</v>
      </c>
      <c r="N48" s="390"/>
    </row>
    <row r="49" spans="1:24" x14ac:dyDescent="0.25">
      <c r="A49" s="18"/>
      <c r="N49" s="19"/>
    </row>
    <row r="50" spans="1:24" x14ac:dyDescent="0.25">
      <c r="A50" s="20"/>
      <c r="B50" s="391" t="s">
        <v>2</v>
      </c>
      <c r="C50" s="391"/>
      <c r="D50" s="391"/>
      <c r="E50" s="41"/>
      <c r="F50" s="41"/>
      <c r="G50" s="41"/>
      <c r="H50" s="42" t="s">
        <v>3</v>
      </c>
      <c r="I50" s="384" t="s">
        <v>618</v>
      </c>
      <c r="J50" s="384"/>
      <c r="K50" s="384"/>
      <c r="L50" s="384"/>
      <c r="M50" s="384"/>
      <c r="N50" s="385"/>
    </row>
    <row r="51" spans="1:24" x14ac:dyDescent="0.25">
      <c r="A51" s="18"/>
      <c r="C51" s="43"/>
      <c r="D51" s="43"/>
      <c r="E51" s="43"/>
      <c r="F51" s="43"/>
      <c r="G51" s="43"/>
      <c r="I51" s="11"/>
      <c r="J51" s="11"/>
      <c r="K51" s="11"/>
      <c r="L51" s="11"/>
      <c r="M51" s="11"/>
      <c r="N51" s="21"/>
    </row>
    <row r="52" spans="1:24" x14ac:dyDescent="0.25">
      <c r="A52" s="20"/>
      <c r="B52" s="391" t="s">
        <v>4</v>
      </c>
      <c r="C52" s="391"/>
      <c r="D52" s="391"/>
      <c r="E52" s="41"/>
      <c r="F52" s="41"/>
      <c r="G52" s="41"/>
      <c r="H52" s="42" t="s">
        <v>3</v>
      </c>
      <c r="I52" s="384" t="s">
        <v>631</v>
      </c>
      <c r="J52" s="384"/>
      <c r="K52" s="384"/>
      <c r="L52" s="384"/>
      <c r="M52" s="384"/>
      <c r="N52" s="385"/>
    </row>
    <row r="53" spans="1:24" x14ac:dyDescent="0.25">
      <c r="A53" s="22"/>
      <c r="B53" s="45"/>
      <c r="C53" s="46"/>
      <c r="D53" s="46"/>
      <c r="E53" s="46"/>
      <c r="F53" s="46"/>
      <c r="G53" s="46"/>
      <c r="H53" s="46"/>
      <c r="I53" s="14"/>
      <c r="J53" s="14"/>
      <c r="K53" s="14"/>
      <c r="L53" s="14"/>
      <c r="M53" s="14"/>
      <c r="N53" s="15"/>
    </row>
    <row r="54" spans="1:24" ht="15" customHeight="1" x14ac:dyDescent="0.25">
      <c r="A54" s="422" t="s">
        <v>55</v>
      </c>
      <c r="B54" s="423"/>
      <c r="C54" s="423"/>
      <c r="D54" s="423"/>
      <c r="E54" s="423"/>
      <c r="F54" s="423"/>
      <c r="G54" s="423"/>
      <c r="H54" s="423"/>
      <c r="I54" s="423"/>
      <c r="J54" s="423"/>
      <c r="K54" s="423"/>
      <c r="L54" s="423"/>
      <c r="M54" s="423"/>
      <c r="N54" s="424"/>
    </row>
    <row r="55" spans="1:24" x14ac:dyDescent="0.25">
      <c r="A55" s="52">
        <v>1</v>
      </c>
      <c r="B55" s="291" t="s">
        <v>8</v>
      </c>
      <c r="C55" s="291"/>
      <c r="D55" s="291"/>
      <c r="E55" s="291"/>
      <c r="F55" s="291"/>
      <c r="G55" s="291"/>
      <c r="H55" s="292"/>
      <c r="I55" s="304" t="s">
        <v>56</v>
      </c>
      <c r="J55" s="304"/>
      <c r="K55" s="304"/>
      <c r="L55" s="304"/>
      <c r="M55" s="304"/>
      <c r="N55" s="304"/>
    </row>
    <row r="56" spans="1:24" x14ac:dyDescent="0.25">
      <c r="A56" s="416">
        <v>2</v>
      </c>
      <c r="B56" s="291" t="s">
        <v>9</v>
      </c>
      <c r="C56" s="291"/>
      <c r="D56" s="291"/>
      <c r="E56" s="291"/>
      <c r="F56" s="291"/>
      <c r="G56" s="291"/>
      <c r="H56" s="292"/>
      <c r="I56" s="404">
        <v>45895</v>
      </c>
      <c r="J56" s="404"/>
      <c r="K56" s="404"/>
      <c r="L56" s="404"/>
      <c r="M56" s="404"/>
      <c r="N56" s="404"/>
      <c r="Q56" s="494"/>
      <c r="R56" s="494"/>
      <c r="S56" s="494"/>
      <c r="T56" s="494"/>
      <c r="U56" s="494"/>
      <c r="V56" s="494"/>
      <c r="W56" s="495"/>
      <c r="X56" s="495"/>
    </row>
    <row r="57" spans="1:24" x14ac:dyDescent="0.25">
      <c r="A57" s="316"/>
      <c r="B57" s="291" t="s">
        <v>121</v>
      </c>
      <c r="C57" s="291"/>
      <c r="D57" s="291"/>
      <c r="E57" s="291"/>
      <c r="F57" s="291"/>
      <c r="G57" s="291"/>
      <c r="H57" s="292"/>
      <c r="I57" s="404" t="str">
        <f ca="1">TEXT(TODAY(),"DD/MM/YYYY")</f>
        <v>30/08/2025</v>
      </c>
      <c r="J57" s="404"/>
      <c r="K57" s="404"/>
      <c r="L57" s="404"/>
      <c r="M57" s="404"/>
      <c r="N57" s="404"/>
      <c r="Q57" s="494"/>
      <c r="R57" s="494"/>
      <c r="S57" s="494"/>
      <c r="T57" s="494"/>
      <c r="U57" s="494"/>
      <c r="V57" s="494"/>
      <c r="W57" s="495"/>
      <c r="X57" s="495"/>
    </row>
    <row r="58" spans="1:24" ht="302.25" customHeight="1" x14ac:dyDescent="0.25">
      <c r="A58" s="53">
        <v>3</v>
      </c>
      <c r="B58" s="199" t="s">
        <v>122</v>
      </c>
      <c r="C58" s="200"/>
      <c r="D58" s="200"/>
      <c r="E58" s="200"/>
      <c r="F58" s="200"/>
      <c r="G58" s="200"/>
      <c r="H58" s="201"/>
      <c r="I58" s="304" t="s">
        <v>683</v>
      </c>
      <c r="J58" s="304"/>
      <c r="K58" s="304"/>
      <c r="L58" s="304"/>
      <c r="M58" s="304"/>
      <c r="N58" s="304"/>
      <c r="Q58" s="494"/>
      <c r="R58" s="494"/>
      <c r="S58" s="494"/>
      <c r="T58" s="494"/>
      <c r="U58" s="494"/>
      <c r="V58" s="494"/>
      <c r="W58" s="495"/>
      <c r="X58" s="495"/>
    </row>
    <row r="59" spans="1:24" ht="50.25" customHeight="1" x14ac:dyDescent="0.25">
      <c r="A59" s="53">
        <v>4</v>
      </c>
      <c r="B59" s="199" t="s">
        <v>123</v>
      </c>
      <c r="C59" s="200"/>
      <c r="D59" s="200"/>
      <c r="E59" s="200"/>
      <c r="F59" s="200"/>
      <c r="G59" s="200"/>
      <c r="H59" s="201"/>
      <c r="I59" s="304" t="s">
        <v>675</v>
      </c>
      <c r="J59" s="304"/>
      <c r="K59" s="304"/>
      <c r="L59" s="304"/>
      <c r="M59" s="304"/>
      <c r="N59" s="304"/>
      <c r="O59" s="140" t="s">
        <v>633</v>
      </c>
    </row>
    <row r="60" spans="1:24" x14ac:dyDescent="0.25">
      <c r="A60" s="416">
        <v>5</v>
      </c>
      <c r="B60" s="405" t="s">
        <v>124</v>
      </c>
      <c r="C60" s="406"/>
      <c r="D60" s="406"/>
      <c r="E60" s="406"/>
      <c r="F60" s="406"/>
      <c r="G60" s="406"/>
      <c r="H60" s="407"/>
      <c r="I60" s="425" t="s">
        <v>634</v>
      </c>
      <c r="J60" s="200"/>
      <c r="K60" s="200"/>
      <c r="L60" s="200"/>
      <c r="M60" s="200"/>
      <c r="N60" s="201"/>
    </row>
    <row r="61" spans="1:24" ht="90" customHeight="1" x14ac:dyDescent="0.25">
      <c r="A61" s="417"/>
      <c r="B61" s="408"/>
      <c r="C61" s="409"/>
      <c r="D61" s="409"/>
      <c r="E61" s="409"/>
      <c r="F61" s="409"/>
      <c r="G61" s="409"/>
      <c r="H61" s="410"/>
      <c r="I61" s="202"/>
      <c r="J61" s="203"/>
      <c r="K61" s="203"/>
      <c r="L61" s="203"/>
      <c r="M61" s="203"/>
      <c r="N61" s="204"/>
    </row>
    <row r="62" spans="1:24" ht="15.75" customHeight="1" x14ac:dyDescent="0.25">
      <c r="A62" s="13">
        <v>6.1</v>
      </c>
      <c r="B62" s="304" t="s">
        <v>470</v>
      </c>
      <c r="C62" s="304"/>
      <c r="D62" s="304"/>
      <c r="E62" s="304"/>
      <c r="F62" s="304"/>
      <c r="G62" s="304"/>
      <c r="H62" s="304"/>
      <c r="I62" s="304" t="s">
        <v>635</v>
      </c>
      <c r="J62" s="304"/>
      <c r="K62" s="304"/>
      <c r="L62" s="304"/>
      <c r="M62" s="304"/>
      <c r="N62" s="304"/>
    </row>
    <row r="63" spans="1:24" ht="15.75" customHeight="1" x14ac:dyDescent="0.25">
      <c r="A63" s="13">
        <v>6.2</v>
      </c>
      <c r="B63" s="304" t="s">
        <v>515</v>
      </c>
      <c r="C63" s="304"/>
      <c r="D63" s="304"/>
      <c r="E63" s="304"/>
      <c r="F63" s="304"/>
      <c r="G63" s="304"/>
      <c r="H63" s="304"/>
      <c r="I63" s="419">
        <v>46752</v>
      </c>
      <c r="J63" s="304"/>
      <c r="K63" s="304"/>
      <c r="L63" s="304"/>
      <c r="M63" s="304"/>
      <c r="N63" s="304"/>
    </row>
    <row r="64" spans="1:24" ht="15.75" customHeight="1" x14ac:dyDescent="0.25">
      <c r="A64" s="330" t="s">
        <v>10</v>
      </c>
      <c r="B64" s="331"/>
      <c r="C64" s="331"/>
      <c r="D64" s="331"/>
      <c r="E64" s="331"/>
      <c r="F64" s="331"/>
      <c r="G64" s="331"/>
      <c r="H64" s="331"/>
      <c r="I64" s="331"/>
      <c r="J64" s="331"/>
      <c r="K64" s="331"/>
      <c r="L64" s="331"/>
      <c r="M64" s="331"/>
      <c r="N64" s="332"/>
    </row>
    <row r="65" spans="1:21" x14ac:dyDescent="0.25">
      <c r="A65" s="53" t="s">
        <v>471</v>
      </c>
      <c r="B65" s="290" t="s">
        <v>394</v>
      </c>
      <c r="C65" s="291"/>
      <c r="D65" s="291"/>
      <c r="E65" s="291"/>
      <c r="F65" s="291"/>
      <c r="G65" s="291"/>
      <c r="H65" s="292"/>
      <c r="I65" s="290" t="s">
        <v>636</v>
      </c>
      <c r="J65" s="291"/>
      <c r="K65" s="291"/>
      <c r="L65" s="291"/>
      <c r="M65" s="291"/>
      <c r="N65" s="292"/>
      <c r="Q65" s="102" t="s">
        <v>516</v>
      </c>
      <c r="R65" s="102" t="s">
        <v>517</v>
      </c>
      <c r="S65" s="102" t="s">
        <v>518</v>
      </c>
      <c r="T65" s="102" t="s">
        <v>397</v>
      </c>
      <c r="U65" s="102" t="s">
        <v>519</v>
      </c>
    </row>
    <row r="66" spans="1:21" x14ac:dyDescent="0.25">
      <c r="A66" s="53" t="s">
        <v>472</v>
      </c>
      <c r="B66" s="221" t="s">
        <v>395</v>
      </c>
      <c r="C66" s="221"/>
      <c r="D66" s="221"/>
      <c r="E66" s="221"/>
      <c r="F66" s="221"/>
      <c r="G66" s="221"/>
      <c r="H66" s="221"/>
      <c r="I66" s="304" t="s">
        <v>637</v>
      </c>
      <c r="J66" s="304"/>
      <c r="K66" s="304"/>
      <c r="L66" s="304"/>
      <c r="M66" s="304"/>
      <c r="N66" s="304"/>
      <c r="Q66" s="102" t="s">
        <v>516</v>
      </c>
      <c r="R66" s="102" t="s">
        <v>520</v>
      </c>
      <c r="S66" s="102" t="s">
        <v>521</v>
      </c>
      <c r="T66" s="102" t="s">
        <v>522</v>
      </c>
      <c r="U66" s="102" t="s">
        <v>523</v>
      </c>
    </row>
    <row r="67" spans="1:21" x14ac:dyDescent="0.25">
      <c r="A67" s="53" t="s">
        <v>473</v>
      </c>
      <c r="B67" s="221" t="s">
        <v>398</v>
      </c>
      <c r="C67" s="221"/>
      <c r="D67" s="221"/>
      <c r="E67" s="221"/>
      <c r="F67" s="221"/>
      <c r="G67" s="221"/>
      <c r="H67" s="221"/>
      <c r="I67" s="304" t="s">
        <v>684</v>
      </c>
      <c r="J67" s="304"/>
      <c r="K67" s="304"/>
      <c r="L67" s="304"/>
      <c r="M67" s="304"/>
      <c r="N67" s="304"/>
      <c r="Q67" s="102" t="s">
        <v>524</v>
      </c>
      <c r="R67" s="102" t="s">
        <v>525</v>
      </c>
      <c r="S67" s="102" t="s">
        <v>526</v>
      </c>
      <c r="T67" s="102" t="s">
        <v>396</v>
      </c>
      <c r="U67" s="102" t="s">
        <v>527</v>
      </c>
    </row>
    <row r="68" spans="1:21" x14ac:dyDescent="0.25">
      <c r="A68" s="53">
        <v>2</v>
      </c>
      <c r="B68" s="221" t="s">
        <v>399</v>
      </c>
      <c r="C68" s="221"/>
      <c r="D68" s="221"/>
      <c r="E68" s="221"/>
      <c r="F68" s="221"/>
      <c r="G68" s="221"/>
      <c r="H68" s="221"/>
      <c r="I68" s="304" t="s">
        <v>642</v>
      </c>
      <c r="J68" s="304"/>
      <c r="K68" s="304"/>
      <c r="L68" s="304"/>
      <c r="M68" s="304"/>
      <c r="N68" s="304"/>
      <c r="Q68" s="102" t="s">
        <v>528</v>
      </c>
      <c r="R68" s="102" t="s">
        <v>529</v>
      </c>
      <c r="S68" s="102" t="s">
        <v>530</v>
      </c>
      <c r="T68" s="102" t="s">
        <v>531</v>
      </c>
      <c r="U68" s="102" t="s">
        <v>532</v>
      </c>
    </row>
    <row r="69" spans="1:21" x14ac:dyDescent="0.25">
      <c r="A69" s="53">
        <v>3</v>
      </c>
      <c r="B69" s="221" t="s">
        <v>125</v>
      </c>
      <c r="C69" s="221"/>
      <c r="D69" s="221"/>
      <c r="E69" s="221"/>
      <c r="F69" s="221"/>
      <c r="G69" s="221"/>
      <c r="H69" s="221"/>
      <c r="I69" s="304" t="s">
        <v>638</v>
      </c>
      <c r="J69" s="304"/>
      <c r="K69" s="304"/>
      <c r="L69" s="304"/>
      <c r="M69" s="304"/>
      <c r="N69" s="304"/>
      <c r="Q69" s="102" t="s">
        <v>533</v>
      </c>
      <c r="R69" s="102" t="s">
        <v>534</v>
      </c>
      <c r="S69" s="102" t="s">
        <v>518</v>
      </c>
      <c r="T69" s="102" t="s">
        <v>535</v>
      </c>
      <c r="U69" s="102" t="s">
        <v>536</v>
      </c>
    </row>
    <row r="70" spans="1:21" x14ac:dyDescent="0.25">
      <c r="A70" s="53">
        <v>4</v>
      </c>
      <c r="B70" s="221" t="s">
        <v>127</v>
      </c>
      <c r="C70" s="221"/>
      <c r="D70" s="221"/>
      <c r="E70" s="221"/>
      <c r="F70" s="221"/>
      <c r="G70" s="221"/>
      <c r="H70" s="221"/>
      <c r="I70" s="304" t="s">
        <v>396</v>
      </c>
      <c r="J70" s="304"/>
      <c r="K70" s="304"/>
      <c r="L70" s="304"/>
      <c r="M70" s="304"/>
      <c r="N70" s="304"/>
      <c r="Q70" s="102" t="s">
        <v>537</v>
      </c>
      <c r="R70" s="102" t="s">
        <v>517</v>
      </c>
      <c r="S70" s="102"/>
      <c r="T70" s="102" t="s">
        <v>538</v>
      </c>
      <c r="U70" s="102" t="s">
        <v>539</v>
      </c>
    </row>
    <row r="71" spans="1:21" x14ac:dyDescent="0.25">
      <c r="A71" s="53">
        <v>5</v>
      </c>
      <c r="B71" s="221" t="s">
        <v>126</v>
      </c>
      <c r="C71" s="221"/>
      <c r="D71" s="221"/>
      <c r="E71" s="221"/>
      <c r="F71" s="221"/>
      <c r="G71" s="221"/>
      <c r="H71" s="221"/>
      <c r="I71" s="304" t="s">
        <v>397</v>
      </c>
      <c r="J71" s="304"/>
      <c r="K71" s="304"/>
      <c r="L71" s="304"/>
      <c r="M71" s="304"/>
      <c r="N71" s="304"/>
      <c r="Q71" s="102" t="s">
        <v>540</v>
      </c>
      <c r="R71" s="102" t="s">
        <v>541</v>
      </c>
      <c r="S71" s="102"/>
      <c r="T71" s="102" t="s">
        <v>542</v>
      </c>
      <c r="U71" s="102" t="s">
        <v>543</v>
      </c>
    </row>
    <row r="72" spans="1:21" x14ac:dyDescent="0.25">
      <c r="A72" s="53">
        <v>6</v>
      </c>
      <c r="B72" s="221" t="s">
        <v>400</v>
      </c>
      <c r="C72" s="221"/>
      <c r="D72" s="221"/>
      <c r="E72" s="221"/>
      <c r="F72" s="221"/>
      <c r="G72" s="221"/>
      <c r="H72" s="221"/>
      <c r="I72" s="304">
        <v>410218</v>
      </c>
      <c r="J72" s="304"/>
      <c r="K72" s="304"/>
      <c r="L72" s="304"/>
      <c r="M72" s="304"/>
      <c r="N72" s="304"/>
      <c r="Q72" s="102" t="s">
        <v>544</v>
      </c>
      <c r="R72" s="102" t="s">
        <v>545</v>
      </c>
      <c r="S72" s="102"/>
      <c r="T72" s="102" t="s">
        <v>546</v>
      </c>
      <c r="U72" s="102" t="s">
        <v>547</v>
      </c>
    </row>
    <row r="73" spans="1:21" ht="31.5" customHeight="1" x14ac:dyDescent="0.25">
      <c r="A73" s="53">
        <v>7</v>
      </c>
      <c r="B73" s="221" t="s">
        <v>128</v>
      </c>
      <c r="C73" s="221"/>
      <c r="D73" s="221"/>
      <c r="E73" s="221"/>
      <c r="F73" s="221"/>
      <c r="G73" s="221"/>
      <c r="H73" s="221"/>
      <c r="I73" s="304" t="str">
        <f>CONCATENATE((IF(OR(I52="",I52="NA"),"",I52)),", ",(IF(OR(B65="",B65="NA"),"",B65)),".",(IF(OR(I65="",I65="NA"),"",I65)),", ",(IF(OR(B66="",B66="NA"),"",B66)),". ",(IF(OR(I66="",I66="NA"),"",I66)),", near ",(IF(OR(I67="",I67="NA"),"",I67)),", ",(IF(OR(I68="",I68="NA"),"",I68)),", ",(IF(OR(I69="",I69="NA"),"",I69)),", ",(IF(OR(I74="",I74="NA"),"",I74)),", ",(IF(OR(I70="",I70="NA"),"",I70)),", ",(IF(OR(I71="",I71="NA"),"",I71))," - ",(IF(OR(I72="",I72="NA"),"",I72)),".")</f>
        <v>Bhaveshwar Callista 3, Plot No.10C, Sector. 16E, near Tricity Aura, Kalamboli Link Rd, Kalamboli, Kalamboli, Panvel, Raigad - 410218.</v>
      </c>
      <c r="J73" s="304"/>
      <c r="K73" s="304"/>
      <c r="L73" s="304"/>
      <c r="M73" s="304"/>
      <c r="N73" s="304"/>
      <c r="Q73" s="102"/>
      <c r="R73" s="102"/>
      <c r="S73" s="102"/>
      <c r="T73" s="102" t="s">
        <v>548</v>
      </c>
      <c r="U73" s="102" t="s">
        <v>549</v>
      </c>
    </row>
    <row r="74" spans="1:21" x14ac:dyDescent="0.25">
      <c r="A74" s="416">
        <v>8</v>
      </c>
      <c r="B74" s="221" t="s">
        <v>129</v>
      </c>
      <c r="C74" s="221"/>
      <c r="D74" s="221"/>
      <c r="E74" s="221"/>
      <c r="F74" s="221"/>
      <c r="G74" s="221"/>
      <c r="H74" s="221"/>
      <c r="I74" s="304" t="s">
        <v>638</v>
      </c>
      <c r="J74" s="304"/>
      <c r="K74" s="304"/>
      <c r="L74" s="304"/>
      <c r="M74" s="304"/>
      <c r="N74" s="304"/>
      <c r="Q74" s="102"/>
      <c r="R74" s="102"/>
      <c r="S74" s="102"/>
      <c r="T74" s="102" t="s">
        <v>550</v>
      </c>
      <c r="U74" s="102" t="s">
        <v>551</v>
      </c>
    </row>
    <row r="75" spans="1:21" x14ac:dyDescent="0.25">
      <c r="A75" s="417"/>
      <c r="B75" s="221" t="s">
        <v>130</v>
      </c>
      <c r="C75" s="221"/>
      <c r="D75" s="221"/>
      <c r="E75" s="221"/>
      <c r="F75" s="221"/>
      <c r="G75" s="221"/>
      <c r="H75" s="221"/>
      <c r="I75" s="304" t="s">
        <v>53</v>
      </c>
      <c r="J75" s="304"/>
      <c r="K75" s="304"/>
      <c r="L75" s="304"/>
      <c r="M75" s="304"/>
      <c r="N75" s="304"/>
      <c r="Q75" s="102"/>
      <c r="R75" s="102"/>
      <c r="S75" s="102"/>
      <c r="T75" s="102" t="s">
        <v>552</v>
      </c>
      <c r="U75" s="102" t="s">
        <v>553</v>
      </c>
    </row>
    <row r="76" spans="1:21" x14ac:dyDescent="0.25">
      <c r="A76" s="417"/>
      <c r="B76" s="221" t="s">
        <v>131</v>
      </c>
      <c r="C76" s="221"/>
      <c r="D76" s="221"/>
      <c r="E76" s="221"/>
      <c r="F76" s="221"/>
      <c r="G76" s="221"/>
      <c r="H76" s="221"/>
      <c r="I76" s="304" t="s">
        <v>54</v>
      </c>
      <c r="J76" s="304"/>
      <c r="K76" s="304"/>
      <c r="L76" s="304"/>
      <c r="M76" s="304"/>
      <c r="N76" s="304"/>
      <c r="Q76" s="102"/>
      <c r="R76" s="102"/>
      <c r="S76" s="102"/>
      <c r="T76" s="102" t="s">
        <v>554</v>
      </c>
      <c r="U76" s="102" t="s">
        <v>555</v>
      </c>
    </row>
    <row r="77" spans="1:21" x14ac:dyDescent="0.25">
      <c r="A77" s="316"/>
      <c r="B77" s="221" t="s">
        <v>132</v>
      </c>
      <c r="C77" s="221"/>
      <c r="D77" s="221"/>
      <c r="E77" s="221"/>
      <c r="F77" s="221"/>
      <c r="G77" s="221"/>
      <c r="H77" s="221"/>
      <c r="I77" s="304" t="s">
        <v>54</v>
      </c>
      <c r="J77" s="304"/>
      <c r="K77" s="304"/>
      <c r="L77" s="304"/>
      <c r="M77" s="304"/>
      <c r="N77" s="304"/>
      <c r="Q77" s="102"/>
      <c r="R77" s="102"/>
      <c r="S77" s="102"/>
      <c r="T77" s="102" t="s">
        <v>556</v>
      </c>
      <c r="U77" s="102" t="s">
        <v>557</v>
      </c>
    </row>
    <row r="78" spans="1:21" x14ac:dyDescent="0.25">
      <c r="A78" s="416">
        <v>9</v>
      </c>
      <c r="B78" s="222" t="s">
        <v>133</v>
      </c>
      <c r="C78" s="223"/>
      <c r="D78" s="223"/>
      <c r="E78" s="223"/>
      <c r="F78" s="223"/>
      <c r="G78" s="223"/>
      <c r="H78" s="223"/>
      <c r="I78" s="223"/>
      <c r="J78" s="223"/>
      <c r="K78" s="223"/>
      <c r="L78" s="223"/>
      <c r="M78" s="223"/>
      <c r="N78" s="224"/>
      <c r="Q78" s="102"/>
      <c r="R78" s="102"/>
      <c r="S78" s="102"/>
      <c r="T78" s="102" t="s">
        <v>558</v>
      </c>
      <c r="U78" s="102" t="s">
        <v>559</v>
      </c>
    </row>
    <row r="79" spans="1:21" x14ac:dyDescent="0.25">
      <c r="A79" s="417"/>
      <c r="B79" s="221" t="s">
        <v>134</v>
      </c>
      <c r="C79" s="221"/>
      <c r="D79" s="221"/>
      <c r="E79" s="221"/>
      <c r="F79" s="221"/>
      <c r="G79" s="221"/>
      <c r="H79" s="221"/>
      <c r="I79" s="307" t="str">
        <f>IF(AND(I71="Mumbai"),"Upper Class","Middle Class")</f>
        <v>Middle Class</v>
      </c>
      <c r="J79" s="307"/>
      <c r="K79" s="307"/>
      <c r="L79" s="307"/>
      <c r="M79" s="307"/>
      <c r="N79" s="307"/>
      <c r="Q79" s="102"/>
      <c r="R79" s="102"/>
      <c r="S79" s="102"/>
      <c r="T79" s="102" t="s">
        <v>560</v>
      </c>
      <c r="U79" s="102" t="s">
        <v>561</v>
      </c>
    </row>
    <row r="80" spans="1:21" x14ac:dyDescent="0.25">
      <c r="A80" s="316"/>
      <c r="B80" s="221" t="s">
        <v>135</v>
      </c>
      <c r="C80" s="221"/>
      <c r="D80" s="221"/>
      <c r="E80" s="221"/>
      <c r="F80" s="221"/>
      <c r="G80" s="221"/>
      <c r="H80" s="221"/>
      <c r="I80" s="304" t="s">
        <v>136</v>
      </c>
      <c r="J80" s="304"/>
      <c r="K80" s="304"/>
      <c r="L80" s="304"/>
      <c r="M80" s="304"/>
      <c r="N80" s="304"/>
    </row>
    <row r="81" spans="1:20" ht="33.75" customHeight="1" x14ac:dyDescent="0.25">
      <c r="A81" s="53">
        <v>10</v>
      </c>
      <c r="B81" s="304" t="s">
        <v>137</v>
      </c>
      <c r="C81" s="221"/>
      <c r="D81" s="221"/>
      <c r="E81" s="221"/>
      <c r="F81" s="221"/>
      <c r="G81" s="221"/>
      <c r="H81" s="221"/>
      <c r="I81" s="304" t="s">
        <v>564</v>
      </c>
      <c r="J81" s="304"/>
      <c r="K81" s="304"/>
      <c r="L81" s="304"/>
      <c r="M81" s="304"/>
      <c r="N81" s="304"/>
      <c r="Q81" s="1" t="s">
        <v>518</v>
      </c>
      <c r="R81" s="1" t="s">
        <v>516</v>
      </c>
      <c r="S81" s="1" t="s">
        <v>397</v>
      </c>
      <c r="T81" s="1" t="s">
        <v>517</v>
      </c>
    </row>
    <row r="82" spans="1:20" ht="45" customHeight="1" x14ac:dyDescent="0.25">
      <c r="A82" s="53">
        <v>11</v>
      </c>
      <c r="B82" s="304" t="s">
        <v>401</v>
      </c>
      <c r="C82" s="221"/>
      <c r="D82" s="221"/>
      <c r="E82" s="221"/>
      <c r="F82" s="221"/>
      <c r="G82" s="221"/>
      <c r="H82" s="221"/>
      <c r="I82" s="304" t="s">
        <v>54</v>
      </c>
      <c r="J82" s="304"/>
      <c r="K82" s="304"/>
      <c r="L82" s="304"/>
      <c r="M82" s="304"/>
      <c r="N82" s="304"/>
      <c r="Q82" s="1" t="s">
        <v>562</v>
      </c>
      <c r="R82" s="1" t="s">
        <v>563</v>
      </c>
      <c r="S82" s="1" t="s">
        <v>564</v>
      </c>
      <c r="T82" s="1" t="s">
        <v>565</v>
      </c>
    </row>
    <row r="83" spans="1:20" ht="34.5" customHeight="1" x14ac:dyDescent="0.25">
      <c r="A83" s="53">
        <v>12</v>
      </c>
      <c r="B83" s="304" t="s">
        <v>402</v>
      </c>
      <c r="C83" s="221"/>
      <c r="D83" s="221"/>
      <c r="E83" s="221"/>
      <c r="F83" s="221"/>
      <c r="G83" s="221"/>
      <c r="H83" s="221"/>
      <c r="I83" s="304" t="s">
        <v>51</v>
      </c>
      <c r="J83" s="304"/>
      <c r="K83" s="304"/>
      <c r="L83" s="304"/>
      <c r="M83" s="304"/>
      <c r="N83" s="304"/>
      <c r="Q83" s="1" t="s">
        <v>566</v>
      </c>
      <c r="R83" s="1" t="s">
        <v>567</v>
      </c>
      <c r="S83" s="1" t="s">
        <v>568</v>
      </c>
      <c r="T83" s="1" t="s">
        <v>569</v>
      </c>
    </row>
    <row r="84" spans="1:20" x14ac:dyDescent="0.25">
      <c r="A84" s="26">
        <v>13</v>
      </c>
      <c r="B84" s="221" t="s">
        <v>138</v>
      </c>
      <c r="C84" s="221"/>
      <c r="D84" s="221"/>
      <c r="E84" s="221"/>
      <c r="F84" s="221"/>
      <c r="G84" s="221"/>
      <c r="H84" s="221"/>
      <c r="I84" s="221"/>
      <c r="J84" s="221"/>
      <c r="K84" s="221"/>
      <c r="L84" s="221"/>
      <c r="M84" s="221"/>
      <c r="N84" s="221"/>
      <c r="Q84" s="1" t="s">
        <v>570</v>
      </c>
      <c r="R84" s="1" t="s">
        <v>571</v>
      </c>
      <c r="S84" s="1" t="s">
        <v>572</v>
      </c>
      <c r="T84" s="1" t="s">
        <v>573</v>
      </c>
    </row>
    <row r="85" spans="1:20" ht="15.75" x14ac:dyDescent="0.25">
      <c r="A85" s="340"/>
      <c r="B85" s="287"/>
      <c r="C85" s="287"/>
      <c r="D85" s="287"/>
      <c r="E85" s="288"/>
      <c r="F85" s="147" t="s">
        <v>49</v>
      </c>
      <c r="G85" s="418"/>
      <c r="H85" s="148"/>
      <c r="I85" s="147" t="s">
        <v>50</v>
      </c>
      <c r="J85" s="148"/>
      <c r="K85" s="147" t="s">
        <v>47</v>
      </c>
      <c r="L85" s="148"/>
      <c r="M85" s="392" t="s">
        <v>48</v>
      </c>
      <c r="N85" s="392"/>
      <c r="Q85" s="1" t="s">
        <v>574</v>
      </c>
      <c r="R85" s="1" t="s">
        <v>575</v>
      </c>
      <c r="S85" s="1" t="s">
        <v>576</v>
      </c>
      <c r="T85" s="103"/>
    </row>
    <row r="86" spans="1:20" ht="15" customHeight="1" x14ac:dyDescent="0.25">
      <c r="A86" s="392" t="s">
        <v>139</v>
      </c>
      <c r="B86" s="392"/>
      <c r="C86" s="392"/>
      <c r="D86" s="392"/>
      <c r="E86" s="392"/>
      <c r="F86" s="287" t="s">
        <v>51</v>
      </c>
      <c r="G86" s="287"/>
      <c r="H86" s="288"/>
      <c r="I86" s="340" t="s">
        <v>51</v>
      </c>
      <c r="J86" s="288"/>
      <c r="K86" s="340" t="s">
        <v>51</v>
      </c>
      <c r="L86" s="288"/>
      <c r="M86" s="340" t="s">
        <v>51</v>
      </c>
      <c r="N86" s="288"/>
      <c r="Q86" s="1" t="s">
        <v>570</v>
      </c>
      <c r="R86" s="1" t="s">
        <v>571</v>
      </c>
      <c r="S86" s="1" t="s">
        <v>572</v>
      </c>
      <c r="T86" s="1" t="s">
        <v>573</v>
      </c>
    </row>
    <row r="87" spans="1:20" ht="15.75" customHeight="1" x14ac:dyDescent="0.25">
      <c r="A87" s="392" t="s">
        <v>140</v>
      </c>
      <c r="B87" s="392" t="s">
        <v>47</v>
      </c>
      <c r="C87" s="392"/>
      <c r="D87" s="392"/>
      <c r="E87" s="392"/>
      <c r="F87" s="287" t="s">
        <v>641</v>
      </c>
      <c r="G87" s="287"/>
      <c r="H87" s="288"/>
      <c r="I87" s="340" t="s">
        <v>640</v>
      </c>
      <c r="J87" s="288"/>
      <c r="K87" s="396" t="s">
        <v>639</v>
      </c>
      <c r="L87" s="396"/>
      <c r="M87" s="396" t="s">
        <v>639</v>
      </c>
      <c r="N87" s="396"/>
      <c r="Q87" s="1" t="s">
        <v>572</v>
      </c>
      <c r="R87" s="1" t="s">
        <v>577</v>
      </c>
      <c r="S87" s="1" t="s">
        <v>578</v>
      </c>
      <c r="T87" s="104"/>
    </row>
    <row r="88" spans="1:20" ht="30.75" customHeight="1" x14ac:dyDescent="0.25">
      <c r="A88" s="392" t="s">
        <v>141</v>
      </c>
      <c r="B88" s="392" t="s">
        <v>48</v>
      </c>
      <c r="C88" s="392"/>
      <c r="D88" s="392"/>
      <c r="E88" s="392"/>
      <c r="F88" s="287" t="s">
        <v>642</v>
      </c>
      <c r="G88" s="287"/>
      <c r="H88" s="288"/>
      <c r="I88" s="340" t="s">
        <v>644</v>
      </c>
      <c r="J88" s="288"/>
      <c r="K88" s="396" t="s">
        <v>639</v>
      </c>
      <c r="L88" s="396"/>
      <c r="M88" s="396" t="s">
        <v>643</v>
      </c>
      <c r="N88" s="396"/>
      <c r="Q88" s="104"/>
      <c r="R88" s="1" t="s">
        <v>579</v>
      </c>
      <c r="S88" s="1" t="s">
        <v>580</v>
      </c>
      <c r="T88" s="104"/>
    </row>
    <row r="89" spans="1:20" ht="15.75" x14ac:dyDescent="0.25">
      <c r="A89" s="416">
        <v>14.1</v>
      </c>
      <c r="B89" s="221" t="s">
        <v>142</v>
      </c>
      <c r="C89" s="221"/>
      <c r="D89" s="221"/>
      <c r="E89" s="221"/>
      <c r="F89" s="221"/>
      <c r="G89" s="221"/>
      <c r="H89" s="221"/>
      <c r="I89" s="308" t="s">
        <v>143</v>
      </c>
      <c r="J89" s="308"/>
      <c r="K89" s="308"/>
      <c r="L89" s="186" t="s">
        <v>144</v>
      </c>
      <c r="M89" s="187"/>
      <c r="N89" s="188"/>
      <c r="Q89" s="104"/>
      <c r="R89" s="1" t="s">
        <v>581</v>
      </c>
      <c r="S89" s="1" t="s">
        <v>582</v>
      </c>
      <c r="T89" s="104"/>
    </row>
    <row r="90" spans="1:20" ht="15.75" x14ac:dyDescent="0.25">
      <c r="A90" s="417"/>
      <c r="B90" s="221" t="s">
        <v>49</v>
      </c>
      <c r="C90" s="221"/>
      <c r="D90" s="221"/>
      <c r="E90" s="221"/>
      <c r="F90" s="221"/>
      <c r="G90" s="221"/>
      <c r="H90" s="221"/>
      <c r="I90" s="308" t="s">
        <v>171</v>
      </c>
      <c r="J90" s="308"/>
      <c r="K90" s="308"/>
      <c r="L90" s="186" t="s">
        <v>171</v>
      </c>
      <c r="M90" s="187"/>
      <c r="N90" s="188"/>
      <c r="Q90" s="104"/>
      <c r="R90" s="1" t="s">
        <v>583</v>
      </c>
      <c r="S90" s="104" t="s">
        <v>584</v>
      </c>
      <c r="T90" s="104"/>
    </row>
    <row r="91" spans="1:20" ht="15.75" x14ac:dyDescent="0.25">
      <c r="A91" s="417"/>
      <c r="B91" s="221" t="s">
        <v>50</v>
      </c>
      <c r="C91" s="221"/>
      <c r="D91" s="221"/>
      <c r="E91" s="221"/>
      <c r="F91" s="221"/>
      <c r="G91" s="221"/>
      <c r="H91" s="221"/>
      <c r="I91" s="308" t="s">
        <v>171</v>
      </c>
      <c r="J91" s="308"/>
      <c r="K91" s="308"/>
      <c r="L91" s="186" t="s">
        <v>171</v>
      </c>
      <c r="M91" s="187"/>
      <c r="N91" s="188"/>
      <c r="Q91" s="104"/>
      <c r="R91" s="1" t="s">
        <v>585</v>
      </c>
      <c r="S91" s="104"/>
      <c r="T91" s="104"/>
    </row>
    <row r="92" spans="1:20" ht="15.75" x14ac:dyDescent="0.25">
      <c r="A92" s="417"/>
      <c r="B92" s="304" t="s">
        <v>47</v>
      </c>
      <c r="C92" s="221"/>
      <c r="D92" s="221"/>
      <c r="E92" s="221"/>
      <c r="F92" s="221"/>
      <c r="G92" s="221"/>
      <c r="H92" s="221"/>
      <c r="I92" s="308" t="s">
        <v>171</v>
      </c>
      <c r="J92" s="308"/>
      <c r="K92" s="308"/>
      <c r="L92" s="186" t="s">
        <v>171</v>
      </c>
      <c r="M92" s="187"/>
      <c r="N92" s="188"/>
      <c r="Q92" s="104"/>
      <c r="R92" s="1" t="s">
        <v>586</v>
      </c>
      <c r="S92" s="104"/>
      <c r="T92" s="104"/>
    </row>
    <row r="93" spans="1:20" ht="15.75" x14ac:dyDescent="0.25">
      <c r="A93" s="316"/>
      <c r="B93" s="304" t="s">
        <v>48</v>
      </c>
      <c r="C93" s="221"/>
      <c r="D93" s="221"/>
      <c r="E93" s="221"/>
      <c r="F93" s="221"/>
      <c r="G93" s="221"/>
      <c r="H93" s="221"/>
      <c r="I93" s="308" t="s">
        <v>171</v>
      </c>
      <c r="J93" s="308"/>
      <c r="K93" s="308"/>
      <c r="L93" s="186" t="s">
        <v>171</v>
      </c>
      <c r="M93" s="187"/>
      <c r="N93" s="188"/>
      <c r="Q93" s="104"/>
      <c r="R93" s="1" t="s">
        <v>587</v>
      </c>
      <c r="S93" s="104"/>
      <c r="T93" s="104"/>
    </row>
    <row r="94" spans="1:20" x14ac:dyDescent="0.25">
      <c r="A94" s="53">
        <v>14.2</v>
      </c>
      <c r="B94" s="304" t="s">
        <v>588</v>
      </c>
      <c r="C94" s="304"/>
      <c r="D94" s="304"/>
      <c r="E94" s="304"/>
      <c r="F94" s="304"/>
      <c r="G94" s="304"/>
      <c r="H94" s="304"/>
      <c r="I94" s="307"/>
      <c r="J94" s="307"/>
      <c r="K94" s="307"/>
      <c r="L94" s="307"/>
      <c r="M94" s="307"/>
      <c r="N94" s="307"/>
    </row>
    <row r="95" spans="1:20" x14ac:dyDescent="0.25">
      <c r="A95" s="53">
        <v>14.3</v>
      </c>
      <c r="B95" s="304" t="s">
        <v>403</v>
      </c>
      <c r="C95" s="304"/>
      <c r="D95" s="304"/>
      <c r="E95" s="304"/>
      <c r="F95" s="304"/>
      <c r="G95" s="304"/>
      <c r="H95" s="304"/>
      <c r="I95" s="426"/>
      <c r="J95" s="427"/>
      <c r="K95" s="427"/>
      <c r="L95" s="427"/>
      <c r="M95" s="427"/>
      <c r="N95" s="427"/>
    </row>
    <row r="96" spans="1:20" x14ac:dyDescent="0.25">
      <c r="A96" s="416">
        <v>15</v>
      </c>
      <c r="B96" s="199" t="s">
        <v>145</v>
      </c>
      <c r="C96" s="200"/>
      <c r="D96" s="200"/>
      <c r="E96" s="200"/>
      <c r="F96" s="200"/>
      <c r="G96" s="200"/>
      <c r="H96" s="201"/>
      <c r="I96" s="431" t="s">
        <v>597</v>
      </c>
      <c r="J96" s="432"/>
      <c r="K96" s="433"/>
      <c r="L96" s="340" t="s">
        <v>645</v>
      </c>
      <c r="M96" s="287"/>
      <c r="N96" s="288"/>
    </row>
    <row r="97" spans="1:15" x14ac:dyDescent="0.25">
      <c r="A97" s="316"/>
      <c r="B97" s="202"/>
      <c r="C97" s="203"/>
      <c r="D97" s="203"/>
      <c r="E97" s="203"/>
      <c r="F97" s="203"/>
      <c r="G97" s="203"/>
      <c r="H97" s="204"/>
      <c r="I97" s="431" t="s">
        <v>596</v>
      </c>
      <c r="J97" s="432"/>
      <c r="K97" s="433"/>
      <c r="L97" s="340" t="s">
        <v>645</v>
      </c>
      <c r="M97" s="287"/>
      <c r="N97" s="288"/>
      <c r="O97" s="141" t="s">
        <v>646</v>
      </c>
    </row>
    <row r="98" spans="1:15" x14ac:dyDescent="0.25">
      <c r="A98" s="416">
        <v>16</v>
      </c>
      <c r="B98" s="199" t="s">
        <v>404</v>
      </c>
      <c r="C98" s="200"/>
      <c r="D98" s="200"/>
      <c r="E98" s="200"/>
      <c r="F98" s="200"/>
      <c r="G98" s="200"/>
      <c r="H98" s="201"/>
      <c r="I98" s="431" t="s">
        <v>597</v>
      </c>
      <c r="J98" s="432"/>
      <c r="K98" s="433"/>
      <c r="L98" s="340" t="s">
        <v>645</v>
      </c>
      <c r="M98" s="287"/>
      <c r="N98" s="288"/>
    </row>
    <row r="99" spans="1:15" x14ac:dyDescent="0.25">
      <c r="A99" s="316"/>
      <c r="B99" s="202"/>
      <c r="C99" s="203"/>
      <c r="D99" s="203"/>
      <c r="E99" s="203"/>
      <c r="F99" s="203"/>
      <c r="G99" s="203"/>
      <c r="H99" s="204"/>
      <c r="I99" s="431" t="s">
        <v>596</v>
      </c>
      <c r="J99" s="432"/>
      <c r="K99" s="433"/>
      <c r="L99" s="340" t="s">
        <v>645</v>
      </c>
      <c r="M99" s="287"/>
      <c r="N99" s="288"/>
    </row>
    <row r="100" spans="1:15" ht="46.5" customHeight="1" x14ac:dyDescent="0.25">
      <c r="A100" s="53">
        <v>17</v>
      </c>
      <c r="B100" s="304" t="s">
        <v>146</v>
      </c>
      <c r="C100" s="304"/>
      <c r="D100" s="304"/>
      <c r="E100" s="304"/>
      <c r="F100" s="304"/>
      <c r="G100" s="304"/>
      <c r="H100" s="304"/>
      <c r="I100" s="304" t="s">
        <v>208</v>
      </c>
      <c r="J100" s="304"/>
      <c r="K100" s="304"/>
      <c r="L100" s="304"/>
      <c r="M100" s="304"/>
      <c r="N100" s="304"/>
    </row>
    <row r="101" spans="1:15" x14ac:dyDescent="0.25">
      <c r="A101" s="456" t="s">
        <v>451</v>
      </c>
      <c r="B101" s="457"/>
      <c r="C101" s="457"/>
      <c r="D101" s="457"/>
      <c r="E101" s="457"/>
      <c r="F101" s="457"/>
      <c r="G101" s="457"/>
      <c r="H101" s="457"/>
      <c r="I101" s="457"/>
      <c r="J101" s="457"/>
      <c r="K101" s="457"/>
      <c r="L101" s="457"/>
      <c r="M101" s="457"/>
      <c r="N101" s="458"/>
    </row>
    <row r="102" spans="1:15" s="48" customFormat="1" x14ac:dyDescent="0.25">
      <c r="A102" s="26">
        <v>1</v>
      </c>
      <c r="B102" s="304" t="s">
        <v>405</v>
      </c>
      <c r="C102" s="304"/>
      <c r="D102" s="304"/>
      <c r="E102" s="304"/>
      <c r="F102" s="304"/>
      <c r="G102" s="304"/>
      <c r="H102" s="304"/>
      <c r="I102" s="222" t="str">
        <f>I79</f>
        <v>Middle Class</v>
      </c>
      <c r="J102" s="223"/>
      <c r="K102" s="223"/>
      <c r="L102" s="223"/>
      <c r="M102" s="223"/>
      <c r="N102" s="224"/>
    </row>
    <row r="103" spans="1:15" customFormat="1" x14ac:dyDescent="0.25">
      <c r="A103" s="26">
        <v>2</v>
      </c>
      <c r="B103" s="304" t="s">
        <v>406</v>
      </c>
      <c r="C103" s="304"/>
      <c r="D103" s="304"/>
      <c r="E103" s="304"/>
      <c r="F103" s="304"/>
      <c r="G103" s="304"/>
      <c r="H103" s="304"/>
      <c r="I103" s="222" t="s">
        <v>63</v>
      </c>
      <c r="J103" s="223"/>
      <c r="K103" s="223"/>
      <c r="L103" s="223"/>
      <c r="M103" s="223"/>
      <c r="N103" s="224"/>
    </row>
    <row r="104" spans="1:15" customFormat="1" x14ac:dyDescent="0.25">
      <c r="A104" s="52">
        <v>3</v>
      </c>
      <c r="B104" s="304" t="s">
        <v>407</v>
      </c>
      <c r="C104" s="304"/>
      <c r="D104" s="304"/>
      <c r="E104" s="304"/>
      <c r="F104" s="304"/>
      <c r="G104" s="304"/>
      <c r="H104" s="304"/>
      <c r="I104" s="290" t="s">
        <v>54</v>
      </c>
      <c r="J104" s="291"/>
      <c r="K104" s="291"/>
      <c r="L104" s="291"/>
      <c r="M104" s="291"/>
      <c r="N104" s="292"/>
    </row>
    <row r="105" spans="1:15" customFormat="1" ht="45.75" customHeight="1" x14ac:dyDescent="0.25">
      <c r="A105" s="416">
        <v>4</v>
      </c>
      <c r="B105" s="199" t="s">
        <v>147</v>
      </c>
      <c r="C105" s="200"/>
      <c r="D105" s="200"/>
      <c r="E105" s="200"/>
      <c r="F105" s="200"/>
      <c r="G105" s="200"/>
      <c r="H105" s="201"/>
      <c r="I105" s="428" t="s">
        <v>647</v>
      </c>
      <c r="J105" s="429"/>
      <c r="K105" s="429"/>
      <c r="L105" s="429"/>
      <c r="M105" s="429"/>
      <c r="N105" s="430"/>
    </row>
    <row r="106" spans="1:15" customFormat="1" ht="50.25" customHeight="1" x14ac:dyDescent="0.25">
      <c r="A106" s="417"/>
      <c r="B106" s="459"/>
      <c r="C106" s="305"/>
      <c r="D106" s="305"/>
      <c r="E106" s="305"/>
      <c r="F106" s="305"/>
      <c r="G106" s="305"/>
      <c r="H106" s="460"/>
      <c r="I106" s="419" t="s">
        <v>648</v>
      </c>
      <c r="J106" s="419"/>
      <c r="K106" s="419"/>
      <c r="L106" s="419"/>
      <c r="M106" s="419"/>
      <c r="N106" s="419"/>
    </row>
    <row r="107" spans="1:15" customFormat="1" ht="48.75" customHeight="1" x14ac:dyDescent="0.25">
      <c r="A107" s="417"/>
      <c r="B107" s="459"/>
      <c r="C107" s="305"/>
      <c r="D107" s="305"/>
      <c r="E107" s="305"/>
      <c r="F107" s="305"/>
      <c r="G107" s="305"/>
      <c r="H107" s="460"/>
      <c r="I107" s="419" t="s">
        <v>649</v>
      </c>
      <c r="J107" s="419"/>
      <c r="K107" s="419"/>
      <c r="L107" s="419"/>
      <c r="M107" s="419"/>
      <c r="N107" s="419"/>
    </row>
    <row r="108" spans="1:15" customFormat="1" ht="35.25" customHeight="1" x14ac:dyDescent="0.25">
      <c r="A108" s="316"/>
      <c r="B108" s="202"/>
      <c r="C108" s="203"/>
      <c r="D108" s="203"/>
      <c r="E108" s="203"/>
      <c r="F108" s="203"/>
      <c r="G108" s="203"/>
      <c r="H108" s="204"/>
      <c r="I108" s="419" t="s">
        <v>650</v>
      </c>
      <c r="J108" s="419"/>
      <c r="K108" s="419"/>
      <c r="L108" s="419"/>
      <c r="M108" s="419"/>
      <c r="N108" s="419"/>
    </row>
    <row r="109" spans="1:15" customFormat="1" ht="15" customHeight="1" x14ac:dyDescent="0.25">
      <c r="A109" s="52">
        <v>5</v>
      </c>
      <c r="B109" s="304" t="s">
        <v>417</v>
      </c>
      <c r="C109" s="304"/>
      <c r="D109" s="304"/>
      <c r="E109" s="304"/>
      <c r="F109" s="304"/>
      <c r="G109" s="304"/>
      <c r="H109" s="304"/>
      <c r="I109" s="221" t="s">
        <v>158</v>
      </c>
      <c r="J109" s="221"/>
      <c r="K109" s="221"/>
      <c r="L109" s="221"/>
      <c r="M109" s="221"/>
      <c r="N109" s="221"/>
    </row>
    <row r="110" spans="1:15" customFormat="1" x14ac:dyDescent="0.25">
      <c r="A110" s="52">
        <v>6</v>
      </c>
      <c r="B110" s="304" t="s">
        <v>418</v>
      </c>
      <c r="C110" s="304"/>
      <c r="D110" s="304"/>
      <c r="E110" s="304"/>
      <c r="F110" s="304"/>
      <c r="G110" s="304"/>
      <c r="H110" s="304"/>
      <c r="I110" s="198" t="s">
        <v>685</v>
      </c>
      <c r="J110" s="198"/>
      <c r="K110" s="198"/>
      <c r="L110" s="198"/>
      <c r="M110" s="198"/>
      <c r="N110" s="198"/>
    </row>
    <row r="111" spans="1:15" customFormat="1" x14ac:dyDescent="0.25">
      <c r="A111" s="52">
        <v>7</v>
      </c>
      <c r="B111" s="304" t="s">
        <v>419</v>
      </c>
      <c r="C111" s="304"/>
      <c r="D111" s="304"/>
      <c r="E111" s="304"/>
      <c r="F111" s="304"/>
      <c r="G111" s="304"/>
      <c r="H111" s="304"/>
      <c r="I111" s="221" t="str">
        <f>IF(AND(ISNUMBER(SEARCH("Flat",I198)),ISNUMBER(SEARCH("Shop",I198)),ISNUMBER(SEARCH("Office",I198))),"Residential + Commercial",IF(AND(ISNUMBER(SEARCH("Flat",I198)),ISNUMBER(SEARCH("Shop",I198))),"Residential + Commercial",IF(AND(ISNUMBER(SEARCH("Flat",I198)),ISNUMBER(SEARCH("Office",I198))),"Residential + Commercial",IF(AND(ISNUMBER(SEARCH("Shop",I198)),ISNUMBER(SEARCH("Office",I198))),"Commercial",IF(ISNUMBER(SEARCH("Shop",I198)),"Commercial",IF(ISNUMBER(SEARCH("Office",I198)),"Commercial",IF(ISNUMBER(SEARCH("Flat",I198)),"Residential")))))))</f>
        <v>Residential + Commercial</v>
      </c>
      <c r="J111" s="221"/>
      <c r="K111" s="221"/>
      <c r="L111" s="221"/>
      <c r="M111" s="221"/>
      <c r="N111" s="221"/>
    </row>
    <row r="112" spans="1:15" customFormat="1" x14ac:dyDescent="0.25">
      <c r="A112" s="52">
        <v>8</v>
      </c>
      <c r="B112" s="304" t="s">
        <v>420</v>
      </c>
      <c r="C112" s="304"/>
      <c r="D112" s="304"/>
      <c r="E112" s="304"/>
      <c r="F112" s="304"/>
      <c r="G112" s="304"/>
      <c r="H112" s="304"/>
      <c r="I112" s="198" t="str">
        <f>I111</f>
        <v>Residential + Commercial</v>
      </c>
      <c r="J112" s="198"/>
      <c r="K112" s="198"/>
      <c r="L112" s="198"/>
      <c r="M112" s="198"/>
      <c r="N112" s="198"/>
    </row>
    <row r="113" spans="1:14" customFormat="1" x14ac:dyDescent="0.25">
      <c r="A113" s="52">
        <v>9</v>
      </c>
      <c r="B113" s="304" t="s">
        <v>416</v>
      </c>
      <c r="C113" s="304"/>
      <c r="D113" s="304"/>
      <c r="E113" s="304"/>
      <c r="F113" s="304"/>
      <c r="G113" s="304"/>
      <c r="H113" s="304"/>
      <c r="I113" s="198" t="s">
        <v>53</v>
      </c>
      <c r="J113" s="198"/>
      <c r="K113" s="198"/>
      <c r="L113" s="198"/>
      <c r="M113" s="198"/>
      <c r="N113" s="198"/>
    </row>
    <row r="114" spans="1:14" customFormat="1" x14ac:dyDescent="0.25">
      <c r="A114" s="52">
        <v>10</v>
      </c>
      <c r="B114" s="304" t="s">
        <v>148</v>
      </c>
      <c r="C114" s="304"/>
      <c r="D114" s="304"/>
      <c r="E114" s="304"/>
      <c r="F114" s="304"/>
      <c r="G114" s="304"/>
      <c r="H114" s="304"/>
      <c r="I114" s="221" t="s">
        <v>159</v>
      </c>
      <c r="J114" s="221"/>
      <c r="K114" s="221"/>
      <c r="L114" s="221"/>
      <c r="M114" s="221"/>
      <c r="N114" s="221"/>
    </row>
    <row r="115" spans="1:14" customFormat="1" x14ac:dyDescent="0.25">
      <c r="A115" s="52">
        <v>11</v>
      </c>
      <c r="B115" s="304" t="s">
        <v>149</v>
      </c>
      <c r="C115" s="304"/>
      <c r="D115" s="304"/>
      <c r="E115" s="304"/>
      <c r="F115" s="304"/>
      <c r="G115" s="304"/>
      <c r="H115" s="304"/>
      <c r="I115" s="221" t="s">
        <v>53</v>
      </c>
      <c r="J115" s="221"/>
      <c r="K115" s="221"/>
      <c r="L115" s="221"/>
      <c r="M115" s="221"/>
      <c r="N115" s="221"/>
    </row>
    <row r="116" spans="1:14" customFormat="1" x14ac:dyDescent="0.25">
      <c r="A116" s="52">
        <v>12</v>
      </c>
      <c r="B116" s="304" t="s">
        <v>150</v>
      </c>
      <c r="C116" s="304"/>
      <c r="D116" s="304"/>
      <c r="E116" s="304"/>
      <c r="F116" s="304"/>
      <c r="G116" s="304"/>
      <c r="H116" s="304"/>
      <c r="I116" s="221" t="s">
        <v>589</v>
      </c>
      <c r="J116" s="221"/>
      <c r="K116" s="221"/>
      <c r="L116" s="221"/>
      <c r="M116" s="221"/>
      <c r="N116" s="221"/>
    </row>
    <row r="117" spans="1:14" customFormat="1" x14ac:dyDescent="0.25">
      <c r="A117" s="52">
        <v>13</v>
      </c>
      <c r="B117" s="304" t="s">
        <v>151</v>
      </c>
      <c r="C117" s="304"/>
      <c r="D117" s="304"/>
      <c r="E117" s="304"/>
      <c r="F117" s="304"/>
      <c r="G117" s="304"/>
      <c r="H117" s="304"/>
      <c r="I117" s="198" t="s">
        <v>408</v>
      </c>
      <c r="J117" s="198"/>
      <c r="K117" s="198"/>
      <c r="L117" s="198"/>
      <c r="M117" s="198"/>
      <c r="N117" s="198"/>
    </row>
    <row r="118" spans="1:14" customFormat="1" x14ac:dyDescent="0.25">
      <c r="A118" s="52">
        <v>14</v>
      </c>
      <c r="B118" s="304" t="s">
        <v>152</v>
      </c>
      <c r="C118" s="304"/>
      <c r="D118" s="304"/>
      <c r="E118" s="304"/>
      <c r="F118" s="304"/>
      <c r="G118" s="304"/>
      <c r="H118" s="304"/>
      <c r="I118" s="221" t="s">
        <v>54</v>
      </c>
      <c r="J118" s="221"/>
      <c r="K118" s="221"/>
      <c r="L118" s="221"/>
      <c r="M118" s="221"/>
      <c r="N118" s="221"/>
    </row>
    <row r="119" spans="1:14" customFormat="1" x14ac:dyDescent="0.25">
      <c r="A119" s="52">
        <v>15</v>
      </c>
      <c r="B119" s="304" t="s">
        <v>153</v>
      </c>
      <c r="C119" s="304"/>
      <c r="D119" s="304"/>
      <c r="E119" s="304"/>
      <c r="F119" s="304"/>
      <c r="G119" s="304"/>
      <c r="H119" s="304"/>
      <c r="I119" s="221" t="s">
        <v>409</v>
      </c>
      <c r="J119" s="221"/>
      <c r="K119" s="221"/>
      <c r="L119" s="221"/>
      <c r="M119" s="221"/>
      <c r="N119" s="221"/>
    </row>
    <row r="120" spans="1:14" customFormat="1" x14ac:dyDescent="0.25">
      <c r="A120" s="52">
        <v>16</v>
      </c>
      <c r="B120" s="304" t="s">
        <v>154</v>
      </c>
      <c r="C120" s="304"/>
      <c r="D120" s="304"/>
      <c r="E120" s="304"/>
      <c r="F120" s="304"/>
      <c r="G120" s="304"/>
      <c r="H120" s="304"/>
      <c r="I120" s="198" t="s">
        <v>160</v>
      </c>
      <c r="J120" s="198"/>
      <c r="K120" s="198"/>
      <c r="L120" s="198"/>
      <c r="M120" s="198"/>
      <c r="N120" s="198"/>
    </row>
    <row r="121" spans="1:14" customFormat="1" x14ac:dyDescent="0.25">
      <c r="A121" s="52">
        <v>17</v>
      </c>
      <c r="B121" s="304" t="s">
        <v>155</v>
      </c>
      <c r="C121" s="304"/>
      <c r="D121" s="304"/>
      <c r="E121" s="304"/>
      <c r="F121" s="304"/>
      <c r="G121" s="304"/>
      <c r="H121" s="304"/>
      <c r="I121" s="221" t="s">
        <v>53</v>
      </c>
      <c r="J121" s="221"/>
      <c r="K121" s="221"/>
      <c r="L121" s="221"/>
      <c r="M121" s="221"/>
      <c r="N121" s="221"/>
    </row>
    <row r="122" spans="1:14" customFormat="1" ht="44.25" customHeight="1" x14ac:dyDescent="0.25">
      <c r="A122" s="52">
        <v>18</v>
      </c>
      <c r="B122" s="304" t="s">
        <v>156</v>
      </c>
      <c r="C122" s="304"/>
      <c r="D122" s="304"/>
      <c r="E122" s="304"/>
      <c r="F122" s="304"/>
      <c r="G122" s="304"/>
      <c r="H122" s="304"/>
      <c r="I122" s="304" t="s">
        <v>676</v>
      </c>
      <c r="J122" s="304"/>
      <c r="K122" s="304"/>
      <c r="L122" s="304"/>
      <c r="M122" s="304"/>
      <c r="N122" s="304"/>
    </row>
    <row r="123" spans="1:14" customFormat="1" ht="34.5" customHeight="1" x14ac:dyDescent="0.25">
      <c r="A123" s="52">
        <v>19</v>
      </c>
      <c r="B123" s="304" t="s">
        <v>619</v>
      </c>
      <c r="C123" s="304"/>
      <c r="D123" s="304"/>
      <c r="E123" s="304"/>
      <c r="F123" s="304"/>
      <c r="G123" s="304"/>
      <c r="H123" s="304"/>
      <c r="I123" s="304" t="s">
        <v>651</v>
      </c>
      <c r="J123" s="221"/>
      <c r="K123" s="221"/>
      <c r="L123" s="221"/>
      <c r="M123" s="221"/>
      <c r="N123" s="221"/>
    </row>
    <row r="124" spans="1:14" customFormat="1" ht="45.75" customHeight="1" x14ac:dyDescent="0.25">
      <c r="A124" s="52">
        <v>20</v>
      </c>
      <c r="B124" s="304" t="s">
        <v>157</v>
      </c>
      <c r="C124" s="304"/>
      <c r="D124" s="304"/>
      <c r="E124" s="304"/>
      <c r="F124" s="304"/>
      <c r="G124" s="304"/>
      <c r="H124" s="304"/>
      <c r="I124" s="221" t="s">
        <v>54</v>
      </c>
      <c r="J124" s="221"/>
      <c r="K124" s="221"/>
      <c r="L124" s="221"/>
      <c r="M124" s="221"/>
      <c r="N124" s="221"/>
    </row>
    <row r="125" spans="1:14" customFormat="1" x14ac:dyDescent="0.25">
      <c r="A125" s="295" t="s">
        <v>161</v>
      </c>
      <c r="B125" s="296"/>
      <c r="C125" s="296"/>
      <c r="D125" s="296"/>
      <c r="E125" s="296"/>
      <c r="F125" s="296"/>
      <c r="G125" s="296"/>
      <c r="H125" s="296"/>
      <c r="I125" s="296"/>
      <c r="J125" s="296"/>
      <c r="K125" s="296"/>
      <c r="L125" s="296"/>
      <c r="M125" s="296"/>
      <c r="N125" s="297"/>
    </row>
    <row r="126" spans="1:14" customFormat="1" x14ac:dyDescent="0.25">
      <c r="A126" s="26" t="s">
        <v>162</v>
      </c>
      <c r="B126" s="464" t="s">
        <v>452</v>
      </c>
      <c r="C126" s="465"/>
      <c r="D126" s="465"/>
      <c r="E126" s="465"/>
      <c r="F126" s="465"/>
      <c r="G126" s="465"/>
      <c r="H126" s="465"/>
      <c r="I126" s="465"/>
      <c r="J126" s="465"/>
      <c r="K126" s="465"/>
      <c r="L126" s="465"/>
      <c r="M126" s="465"/>
      <c r="N126" s="466"/>
    </row>
    <row r="127" spans="1:14" customFormat="1" x14ac:dyDescent="0.25">
      <c r="A127" s="183">
        <v>1</v>
      </c>
      <c r="B127" s="304" t="s">
        <v>169</v>
      </c>
      <c r="C127" s="304"/>
      <c r="D127" s="304"/>
      <c r="E127" s="304"/>
      <c r="F127" s="304"/>
      <c r="G127" s="304"/>
      <c r="H127" s="304"/>
      <c r="I127" s="221">
        <v>1949.96</v>
      </c>
      <c r="J127" s="221"/>
      <c r="K127" s="221"/>
      <c r="L127" s="221"/>
      <c r="M127" s="221"/>
      <c r="N127" s="221"/>
    </row>
    <row r="128" spans="1:14" customFormat="1" x14ac:dyDescent="0.25">
      <c r="A128" s="184"/>
      <c r="B128" s="304" t="s">
        <v>170</v>
      </c>
      <c r="C128" s="304"/>
      <c r="D128" s="304"/>
      <c r="E128" s="304"/>
      <c r="F128" s="304"/>
      <c r="G128" s="304"/>
      <c r="H128" s="304"/>
      <c r="I128" s="221">
        <v>1949.96</v>
      </c>
      <c r="J128" s="221"/>
      <c r="K128" s="221"/>
      <c r="L128" s="221"/>
      <c r="M128" s="221"/>
      <c r="N128" s="221"/>
    </row>
    <row r="129" spans="1:14" customFormat="1" x14ac:dyDescent="0.25">
      <c r="A129" s="184"/>
      <c r="B129" s="304" t="s">
        <v>163</v>
      </c>
      <c r="C129" s="304"/>
      <c r="D129" s="304"/>
      <c r="E129" s="304"/>
      <c r="F129" s="304"/>
      <c r="G129" s="304"/>
      <c r="H129" s="304"/>
      <c r="I129" s="393" t="s">
        <v>171</v>
      </c>
      <c r="J129" s="394"/>
      <c r="K129" s="394"/>
      <c r="L129" s="394"/>
      <c r="M129" s="394"/>
      <c r="N129" s="395"/>
    </row>
    <row r="130" spans="1:14" customFormat="1" x14ac:dyDescent="0.25">
      <c r="A130" s="185"/>
      <c r="B130" s="304" t="s">
        <v>164</v>
      </c>
      <c r="C130" s="304"/>
      <c r="D130" s="304"/>
      <c r="E130" s="304"/>
      <c r="F130" s="304"/>
      <c r="G130" s="304"/>
      <c r="H130" s="304"/>
      <c r="I130" s="393" t="s">
        <v>171</v>
      </c>
      <c r="J130" s="394"/>
      <c r="K130" s="394"/>
      <c r="L130" s="394"/>
      <c r="M130" s="394"/>
      <c r="N130" s="395"/>
    </row>
    <row r="131" spans="1:14" customFormat="1" x14ac:dyDescent="0.25">
      <c r="A131" s="26">
        <v>2</v>
      </c>
      <c r="B131" s="304" t="s">
        <v>165</v>
      </c>
      <c r="C131" s="304"/>
      <c r="D131" s="304"/>
      <c r="E131" s="304"/>
      <c r="F131" s="304"/>
      <c r="G131" s="304"/>
      <c r="H131" s="304"/>
      <c r="I131" s="222" t="s">
        <v>172</v>
      </c>
      <c r="J131" s="223"/>
      <c r="K131" s="223"/>
      <c r="L131" s="223"/>
      <c r="M131" s="223"/>
      <c r="N131" s="224"/>
    </row>
    <row r="132" spans="1:14" customFormat="1" ht="46.5" customHeight="1" x14ac:dyDescent="0.25">
      <c r="A132" s="26">
        <v>3</v>
      </c>
      <c r="B132" s="304" t="s">
        <v>166</v>
      </c>
      <c r="C132" s="304"/>
      <c r="D132" s="304"/>
      <c r="E132" s="304"/>
      <c r="F132" s="304"/>
      <c r="G132" s="304"/>
      <c r="H132" s="304"/>
      <c r="I132" s="290" t="s">
        <v>173</v>
      </c>
      <c r="J132" s="223"/>
      <c r="K132" s="223"/>
      <c r="L132" s="223"/>
      <c r="M132" s="223"/>
      <c r="N132" s="224"/>
    </row>
    <row r="133" spans="1:14" customFormat="1" x14ac:dyDescent="0.25">
      <c r="A133" s="183">
        <v>4</v>
      </c>
      <c r="B133" s="199" t="s">
        <v>174</v>
      </c>
      <c r="C133" s="200"/>
      <c r="D133" s="200"/>
      <c r="E133" s="200"/>
      <c r="F133" s="200"/>
      <c r="G133" s="200"/>
      <c r="H133" s="201"/>
      <c r="I133" s="396" t="s">
        <v>615</v>
      </c>
      <c r="J133" s="396"/>
      <c r="K133" s="490">
        <v>88100</v>
      </c>
      <c r="L133" s="490"/>
      <c r="M133" s="490"/>
      <c r="N133" s="490"/>
    </row>
    <row r="134" spans="1:14" customFormat="1" x14ac:dyDescent="0.25">
      <c r="A134" s="185"/>
      <c r="B134" s="202"/>
      <c r="C134" s="203"/>
      <c r="D134" s="203"/>
      <c r="E134" s="203"/>
      <c r="F134" s="203"/>
      <c r="G134" s="203"/>
      <c r="H134" s="204"/>
      <c r="I134" s="396" t="s">
        <v>616</v>
      </c>
      <c r="J134" s="396"/>
      <c r="K134" s="490">
        <v>27100</v>
      </c>
      <c r="L134" s="490"/>
      <c r="M134" s="490"/>
      <c r="N134" s="490"/>
    </row>
    <row r="135" spans="1:14" customFormat="1" x14ac:dyDescent="0.25">
      <c r="A135" s="26">
        <v>5</v>
      </c>
      <c r="B135" s="304" t="s">
        <v>167</v>
      </c>
      <c r="C135" s="304"/>
      <c r="D135" s="304"/>
      <c r="E135" s="304"/>
      <c r="F135" s="304"/>
      <c r="G135" s="304"/>
      <c r="H135" s="304"/>
      <c r="I135" s="393" t="s">
        <v>172</v>
      </c>
      <c r="J135" s="394"/>
      <c r="K135" s="394"/>
      <c r="L135" s="394"/>
      <c r="M135" s="394"/>
      <c r="N135" s="395"/>
    </row>
    <row r="136" spans="1:14" customFormat="1" x14ac:dyDescent="0.25">
      <c r="A136" s="416">
        <v>6</v>
      </c>
      <c r="B136" s="317" t="s">
        <v>168</v>
      </c>
      <c r="C136" s="318"/>
      <c r="D136" s="318"/>
      <c r="E136" s="318"/>
      <c r="F136" s="318"/>
      <c r="G136" s="318"/>
      <c r="H136" s="319"/>
      <c r="I136" s="397" t="s">
        <v>176</v>
      </c>
      <c r="J136" s="398"/>
      <c r="K136" s="398"/>
      <c r="L136" s="398"/>
      <c r="M136" s="398"/>
      <c r="N136" s="399"/>
    </row>
    <row r="137" spans="1:14" customFormat="1" x14ac:dyDescent="0.25">
      <c r="A137" s="417"/>
      <c r="B137" s="467"/>
      <c r="C137" s="468"/>
      <c r="D137" s="468"/>
      <c r="E137" s="468"/>
      <c r="F137" s="468"/>
      <c r="G137" s="468"/>
      <c r="H137" s="469"/>
      <c r="I137" s="421" t="s">
        <v>177</v>
      </c>
      <c r="J137" s="421"/>
      <c r="K137" s="397" t="s">
        <v>13</v>
      </c>
      <c r="L137" s="399"/>
      <c r="M137" s="421" t="s">
        <v>178</v>
      </c>
      <c r="N137" s="421"/>
    </row>
    <row r="138" spans="1:14" customFormat="1" x14ac:dyDescent="0.25">
      <c r="A138" s="417"/>
      <c r="B138" s="467"/>
      <c r="C138" s="468"/>
      <c r="D138" s="468"/>
      <c r="E138" s="468"/>
      <c r="F138" s="468"/>
      <c r="G138" s="468"/>
      <c r="H138" s="469"/>
      <c r="I138" s="421">
        <f>I127</f>
        <v>1949.96</v>
      </c>
      <c r="J138" s="421"/>
      <c r="K138" s="470">
        <v>50000</v>
      </c>
      <c r="L138" s="399"/>
      <c r="M138" s="420">
        <f>I138*K138</f>
        <v>97498000</v>
      </c>
      <c r="N138" s="420"/>
    </row>
    <row r="139" spans="1:14" customFormat="1" x14ac:dyDescent="0.25">
      <c r="A139" s="417"/>
      <c r="B139" s="467"/>
      <c r="C139" s="468"/>
      <c r="D139" s="468"/>
      <c r="E139" s="468"/>
      <c r="F139" s="468"/>
      <c r="G139" s="468"/>
      <c r="H139" s="469"/>
      <c r="I139" s="397" t="s">
        <v>175</v>
      </c>
      <c r="J139" s="398"/>
      <c r="K139" s="398"/>
      <c r="L139" s="398"/>
      <c r="M139" s="398"/>
      <c r="N139" s="399"/>
    </row>
    <row r="140" spans="1:14" customFormat="1" x14ac:dyDescent="0.25">
      <c r="A140" s="417"/>
      <c r="B140" s="467"/>
      <c r="C140" s="468"/>
      <c r="D140" s="468"/>
      <c r="E140" s="468"/>
      <c r="F140" s="468"/>
      <c r="G140" s="468"/>
      <c r="H140" s="469"/>
      <c r="I140" s="421" t="s">
        <v>177</v>
      </c>
      <c r="J140" s="421"/>
      <c r="K140" s="397" t="s">
        <v>13</v>
      </c>
      <c r="L140" s="399"/>
      <c r="M140" s="421" t="s">
        <v>178</v>
      </c>
      <c r="N140" s="421"/>
    </row>
    <row r="141" spans="1:14" customFormat="1" x14ac:dyDescent="0.25">
      <c r="A141" s="316"/>
      <c r="B141" s="320"/>
      <c r="C141" s="321"/>
      <c r="D141" s="321"/>
      <c r="E141" s="321"/>
      <c r="F141" s="321"/>
      <c r="G141" s="321"/>
      <c r="H141" s="322"/>
      <c r="I141" s="421">
        <f>I128</f>
        <v>1949.96</v>
      </c>
      <c r="J141" s="421"/>
      <c r="K141" s="470">
        <v>50000</v>
      </c>
      <c r="L141" s="399"/>
      <c r="M141" s="420">
        <f>I141*K141</f>
        <v>97498000</v>
      </c>
      <c r="N141" s="420"/>
    </row>
    <row r="142" spans="1:14" customFormat="1" x14ac:dyDescent="0.25">
      <c r="A142" s="26" t="s">
        <v>180</v>
      </c>
      <c r="B142" s="411" t="s">
        <v>179</v>
      </c>
      <c r="C142" s="412"/>
      <c r="D142" s="412"/>
      <c r="E142" s="412"/>
      <c r="F142" s="412"/>
      <c r="G142" s="412"/>
      <c r="H142" s="412"/>
      <c r="I142" s="412"/>
      <c r="J142" s="412"/>
      <c r="K142" s="412"/>
      <c r="L142" s="412"/>
      <c r="M142" s="412"/>
      <c r="N142" s="413"/>
    </row>
    <row r="143" spans="1:14" customFormat="1" x14ac:dyDescent="0.25">
      <c r="A143" s="26" t="s">
        <v>410</v>
      </c>
      <c r="B143" s="414" t="s">
        <v>181</v>
      </c>
      <c r="C143" s="414"/>
      <c r="D143" s="414"/>
      <c r="E143" s="414"/>
      <c r="F143" s="414"/>
      <c r="G143" s="414"/>
      <c r="H143" s="414"/>
      <c r="I143" s="414"/>
      <c r="J143" s="414"/>
      <c r="K143" s="414"/>
      <c r="L143" s="414"/>
      <c r="M143" s="414"/>
      <c r="N143" s="414"/>
    </row>
    <row r="144" spans="1:14" customFormat="1" ht="31.5" customHeight="1" x14ac:dyDescent="0.25">
      <c r="A144" s="26" t="s">
        <v>5</v>
      </c>
      <c r="B144" s="304" t="s">
        <v>191</v>
      </c>
      <c r="C144" s="304"/>
      <c r="D144" s="304"/>
      <c r="E144" s="304"/>
      <c r="F144" s="304"/>
      <c r="G144" s="304"/>
      <c r="H144" s="304"/>
      <c r="I144" s="221" t="str">
        <f>I111</f>
        <v>Residential + Commercial</v>
      </c>
      <c r="J144" s="221"/>
      <c r="K144" s="221"/>
      <c r="L144" s="221"/>
      <c r="M144" s="221"/>
      <c r="N144" s="221"/>
    </row>
    <row r="145" spans="1:14" customFormat="1" ht="31.5" customHeight="1" x14ac:dyDescent="0.25">
      <c r="A145" s="52" t="s">
        <v>6</v>
      </c>
      <c r="B145" s="304" t="s">
        <v>182</v>
      </c>
      <c r="C145" s="304"/>
      <c r="D145" s="304"/>
      <c r="E145" s="304"/>
      <c r="F145" s="304"/>
      <c r="G145" s="304"/>
      <c r="H145" s="304"/>
      <c r="I145" s="221" t="s">
        <v>37</v>
      </c>
      <c r="J145" s="221"/>
      <c r="K145" s="221"/>
      <c r="L145" s="221"/>
      <c r="M145" s="221"/>
      <c r="N145" s="221"/>
    </row>
    <row r="146" spans="1:14" customFormat="1" x14ac:dyDescent="0.25">
      <c r="A146" s="26" t="s">
        <v>184</v>
      </c>
      <c r="B146" s="304" t="s">
        <v>183</v>
      </c>
      <c r="C146" s="304"/>
      <c r="D146" s="304"/>
      <c r="E146" s="304"/>
      <c r="F146" s="304"/>
      <c r="G146" s="304"/>
      <c r="H146" s="304"/>
      <c r="I146" s="221" t="s">
        <v>208</v>
      </c>
      <c r="J146" s="221"/>
      <c r="K146" s="221"/>
      <c r="L146" s="221"/>
      <c r="M146" s="221"/>
      <c r="N146" s="221"/>
    </row>
    <row r="147" spans="1:14" customFormat="1" ht="33.75" customHeight="1" x14ac:dyDescent="0.25">
      <c r="A147" s="52" t="s">
        <v>7</v>
      </c>
      <c r="B147" s="290" t="s">
        <v>185</v>
      </c>
      <c r="C147" s="291"/>
      <c r="D147" s="291"/>
      <c r="E147" s="291"/>
      <c r="F147" s="291"/>
      <c r="G147" s="291"/>
      <c r="H147" s="292"/>
      <c r="I147" s="221" t="s">
        <v>655</v>
      </c>
      <c r="J147" s="221"/>
      <c r="K147" s="221"/>
      <c r="L147" s="221"/>
      <c r="M147" s="221"/>
      <c r="N147" s="221"/>
    </row>
    <row r="148" spans="1:14" customFormat="1" x14ac:dyDescent="0.25">
      <c r="A148" s="26" t="s">
        <v>40</v>
      </c>
      <c r="B148" s="290" t="s">
        <v>186</v>
      </c>
      <c r="C148" s="291"/>
      <c r="D148" s="291"/>
      <c r="E148" s="291"/>
      <c r="F148" s="291"/>
      <c r="G148" s="291"/>
      <c r="H148" s="292"/>
      <c r="I148" s="222" t="s">
        <v>172</v>
      </c>
      <c r="J148" s="223"/>
      <c r="K148" s="223"/>
      <c r="L148" s="223"/>
      <c r="M148" s="223"/>
      <c r="N148" s="224"/>
    </row>
    <row r="149" spans="1:14" customFormat="1" ht="15" customHeight="1" x14ac:dyDescent="0.25">
      <c r="A149" s="308" t="s">
        <v>41</v>
      </c>
      <c r="B149" s="199" t="s">
        <v>187</v>
      </c>
      <c r="C149" s="200"/>
      <c r="D149" s="200"/>
      <c r="E149" s="200"/>
      <c r="F149" s="200"/>
      <c r="G149" s="200"/>
      <c r="H149" s="201"/>
      <c r="I149" s="308" t="s">
        <v>188</v>
      </c>
      <c r="J149" s="308"/>
      <c r="K149" s="308"/>
      <c r="L149" s="186" t="s">
        <v>189</v>
      </c>
      <c r="M149" s="187"/>
      <c r="N149" s="188"/>
    </row>
    <row r="150" spans="1:14" customFormat="1" ht="31.5" customHeight="1" x14ac:dyDescent="0.25">
      <c r="A150" s="308"/>
      <c r="B150" s="202"/>
      <c r="C150" s="203"/>
      <c r="D150" s="203"/>
      <c r="E150" s="203"/>
      <c r="F150" s="203"/>
      <c r="G150" s="203"/>
      <c r="H150" s="204"/>
      <c r="I150" s="415" t="s">
        <v>208</v>
      </c>
      <c r="J150" s="415"/>
      <c r="K150" s="415"/>
      <c r="L150" s="431" t="s">
        <v>208</v>
      </c>
      <c r="M150" s="432"/>
      <c r="N150" s="433"/>
    </row>
    <row r="151" spans="1:14" customFormat="1" ht="31.5" customHeight="1" x14ac:dyDescent="0.25">
      <c r="A151" s="52" t="s">
        <v>42</v>
      </c>
      <c r="B151" s="304" t="s">
        <v>190</v>
      </c>
      <c r="C151" s="304"/>
      <c r="D151" s="304"/>
      <c r="E151" s="304"/>
      <c r="F151" s="304"/>
      <c r="G151" s="304"/>
      <c r="H151" s="304"/>
      <c r="I151" s="304" t="s">
        <v>652</v>
      </c>
      <c r="J151" s="221"/>
      <c r="K151" s="221"/>
      <c r="L151" s="221"/>
      <c r="M151" s="221"/>
      <c r="N151" s="221"/>
    </row>
    <row r="152" spans="1:14" customFormat="1" x14ac:dyDescent="0.25">
      <c r="A152" s="26" t="s">
        <v>43</v>
      </c>
      <c r="B152" s="222" t="s">
        <v>192</v>
      </c>
      <c r="C152" s="223"/>
      <c r="D152" s="223"/>
      <c r="E152" s="223"/>
      <c r="F152" s="223"/>
      <c r="G152" s="223"/>
      <c r="H152" s="224"/>
      <c r="I152" s="304" t="str">
        <f>I81</f>
        <v>Panvel Municipal Corporation</v>
      </c>
      <c r="J152" s="304"/>
      <c r="K152" s="304"/>
      <c r="L152" s="304"/>
      <c r="M152" s="304"/>
      <c r="N152" s="304"/>
    </row>
    <row r="153" spans="1:14" customFormat="1" ht="29.25" customHeight="1" x14ac:dyDescent="0.25">
      <c r="A153" s="52" t="s">
        <v>44</v>
      </c>
      <c r="B153" s="304" t="s">
        <v>194</v>
      </c>
      <c r="C153" s="304"/>
      <c r="D153" s="304"/>
      <c r="E153" s="304"/>
      <c r="F153" s="304"/>
      <c r="G153" s="304"/>
      <c r="H153" s="304"/>
      <c r="I153" s="304" t="s">
        <v>53</v>
      </c>
      <c r="J153" s="304"/>
      <c r="K153" s="304"/>
      <c r="L153" s="304"/>
      <c r="M153" s="304"/>
      <c r="N153" s="304"/>
    </row>
    <row r="154" spans="1:14" customFormat="1" ht="33" customHeight="1" x14ac:dyDescent="0.25">
      <c r="A154" s="52" t="s">
        <v>45</v>
      </c>
      <c r="B154" s="304" t="s">
        <v>193</v>
      </c>
      <c r="C154" s="304"/>
      <c r="D154" s="304"/>
      <c r="E154" s="304"/>
      <c r="F154" s="304"/>
      <c r="G154" s="304"/>
      <c r="H154" s="304"/>
      <c r="I154" s="304" t="s">
        <v>54</v>
      </c>
      <c r="J154" s="304"/>
      <c r="K154" s="304"/>
      <c r="L154" s="304"/>
      <c r="M154" s="304"/>
      <c r="N154" s="304"/>
    </row>
    <row r="155" spans="1:14" customFormat="1" x14ac:dyDescent="0.25">
      <c r="A155" s="26" t="s">
        <v>410</v>
      </c>
      <c r="B155" s="461" t="s">
        <v>195</v>
      </c>
      <c r="C155" s="462"/>
      <c r="D155" s="462"/>
      <c r="E155" s="462"/>
      <c r="F155" s="462"/>
      <c r="G155" s="462"/>
      <c r="H155" s="462"/>
      <c r="I155" s="462"/>
      <c r="J155" s="462"/>
      <c r="K155" s="462"/>
      <c r="L155" s="462"/>
      <c r="M155" s="462"/>
      <c r="N155" s="463"/>
    </row>
    <row r="156" spans="1:14" customFormat="1" x14ac:dyDescent="0.25">
      <c r="A156" s="26" t="s">
        <v>196</v>
      </c>
      <c r="B156" s="222" t="s">
        <v>197</v>
      </c>
      <c r="C156" s="223"/>
      <c r="D156" s="223"/>
      <c r="E156" s="223"/>
      <c r="F156" s="223"/>
      <c r="G156" s="223"/>
      <c r="H156" s="223"/>
      <c r="I156" s="223"/>
      <c r="J156" s="223"/>
      <c r="K156" s="223"/>
      <c r="L156" s="223"/>
      <c r="M156" s="223"/>
      <c r="N156" s="224"/>
    </row>
    <row r="157" spans="1:14" customFormat="1" x14ac:dyDescent="0.25">
      <c r="A157" s="26">
        <v>1</v>
      </c>
      <c r="B157" s="221" t="s">
        <v>198</v>
      </c>
      <c r="C157" s="221"/>
      <c r="D157" s="221"/>
      <c r="E157" s="221"/>
      <c r="F157" s="221"/>
      <c r="G157" s="221"/>
      <c r="H157" s="221"/>
      <c r="I157" s="279" t="s">
        <v>411</v>
      </c>
      <c r="J157" s="289"/>
      <c r="K157" s="289"/>
      <c r="L157" s="289"/>
      <c r="M157" s="289"/>
      <c r="N157" s="280"/>
    </row>
    <row r="158" spans="1:14" customFormat="1" x14ac:dyDescent="0.25">
      <c r="A158" s="26">
        <v>2</v>
      </c>
      <c r="B158" s="221" t="s">
        <v>199</v>
      </c>
      <c r="C158" s="221"/>
      <c r="D158" s="221"/>
      <c r="E158" s="221"/>
      <c r="F158" s="221"/>
      <c r="G158" s="221"/>
      <c r="H158" s="221"/>
      <c r="I158" s="400" t="s">
        <v>208</v>
      </c>
      <c r="J158" s="401"/>
      <c r="K158" s="401"/>
      <c r="L158" s="401"/>
      <c r="M158" s="401"/>
      <c r="N158" s="402"/>
    </row>
    <row r="159" spans="1:14" customFormat="1" x14ac:dyDescent="0.25">
      <c r="A159" s="26">
        <v>3</v>
      </c>
      <c r="B159" s="221" t="s">
        <v>590</v>
      </c>
      <c r="C159" s="221"/>
      <c r="D159" s="221"/>
      <c r="E159" s="221"/>
      <c r="F159" s="221"/>
      <c r="G159" s="221"/>
      <c r="H159" s="221"/>
      <c r="I159" s="400" t="s">
        <v>207</v>
      </c>
      <c r="J159" s="401"/>
      <c r="K159" s="401"/>
      <c r="L159" s="401"/>
      <c r="M159" s="401"/>
      <c r="N159" s="402"/>
    </row>
    <row r="160" spans="1:14" customFormat="1" ht="48.75" customHeight="1" x14ac:dyDescent="0.25">
      <c r="A160" s="52">
        <v>4</v>
      </c>
      <c r="B160" s="304" t="s">
        <v>200</v>
      </c>
      <c r="C160" s="304"/>
      <c r="D160" s="304"/>
      <c r="E160" s="304"/>
      <c r="F160" s="304"/>
      <c r="G160" s="304"/>
      <c r="H160" s="304"/>
      <c r="I160" s="400" t="s">
        <v>52</v>
      </c>
      <c r="J160" s="401"/>
      <c r="K160" s="401"/>
      <c r="L160" s="401"/>
      <c r="M160" s="401"/>
      <c r="N160" s="402"/>
    </row>
    <row r="161" spans="1:14" customFormat="1" x14ac:dyDescent="0.25">
      <c r="A161" s="26">
        <v>5</v>
      </c>
      <c r="B161" s="221" t="s">
        <v>201</v>
      </c>
      <c r="C161" s="221"/>
      <c r="D161" s="221"/>
      <c r="E161" s="221"/>
      <c r="F161" s="221"/>
      <c r="G161" s="221"/>
      <c r="H161" s="221"/>
      <c r="I161" s="400" t="s">
        <v>208</v>
      </c>
      <c r="J161" s="401"/>
      <c r="K161" s="401"/>
      <c r="L161" s="401"/>
      <c r="M161" s="401"/>
      <c r="N161" s="402"/>
    </row>
    <row r="162" spans="1:14" customFormat="1" x14ac:dyDescent="0.25">
      <c r="A162" s="26">
        <v>6</v>
      </c>
      <c r="B162" s="221" t="s">
        <v>202</v>
      </c>
      <c r="C162" s="221"/>
      <c r="D162" s="221"/>
      <c r="E162" s="221"/>
      <c r="F162" s="221"/>
      <c r="G162" s="221"/>
      <c r="H162" s="221"/>
      <c r="I162" s="400" t="s">
        <v>208</v>
      </c>
      <c r="J162" s="401"/>
      <c r="K162" s="401"/>
      <c r="L162" s="401"/>
      <c r="M162" s="401"/>
      <c r="N162" s="402"/>
    </row>
    <row r="163" spans="1:14" customFormat="1" x14ac:dyDescent="0.25">
      <c r="A163" s="26">
        <v>7</v>
      </c>
      <c r="B163" s="221" t="s">
        <v>203</v>
      </c>
      <c r="C163" s="221"/>
      <c r="D163" s="221"/>
      <c r="E163" s="221"/>
      <c r="F163" s="221"/>
      <c r="G163" s="221"/>
      <c r="H163" s="221"/>
      <c r="I163" s="400" t="s">
        <v>208</v>
      </c>
      <c r="J163" s="401"/>
      <c r="K163" s="401"/>
      <c r="L163" s="401"/>
      <c r="M163" s="401"/>
      <c r="N163" s="402"/>
    </row>
    <row r="164" spans="1:14" customFormat="1" x14ac:dyDescent="0.25">
      <c r="A164" s="26">
        <v>8</v>
      </c>
      <c r="B164" s="304" t="s">
        <v>204</v>
      </c>
      <c r="C164" s="304"/>
      <c r="D164" s="304"/>
      <c r="E164" s="304"/>
      <c r="F164" s="304"/>
      <c r="G164" s="304"/>
      <c r="H164" s="304"/>
      <c r="I164" s="400" t="s">
        <v>208</v>
      </c>
      <c r="J164" s="401"/>
      <c r="K164" s="401"/>
      <c r="L164" s="401"/>
      <c r="M164" s="401"/>
      <c r="N164" s="402"/>
    </row>
    <row r="165" spans="1:14" customFormat="1" x14ac:dyDescent="0.25">
      <c r="A165" s="26">
        <v>9</v>
      </c>
      <c r="B165" s="221" t="s">
        <v>205</v>
      </c>
      <c r="C165" s="221"/>
      <c r="D165" s="221"/>
      <c r="E165" s="221"/>
      <c r="F165" s="221"/>
      <c r="G165" s="221"/>
      <c r="H165" s="221"/>
      <c r="I165" s="400" t="s">
        <v>208</v>
      </c>
      <c r="J165" s="401"/>
      <c r="K165" s="401"/>
      <c r="L165" s="401"/>
      <c r="M165" s="401"/>
      <c r="N165" s="402"/>
    </row>
    <row r="166" spans="1:14" customFormat="1" x14ac:dyDescent="0.25">
      <c r="A166" s="26">
        <v>10</v>
      </c>
      <c r="B166" s="221" t="s">
        <v>206</v>
      </c>
      <c r="C166" s="221"/>
      <c r="D166" s="221"/>
      <c r="E166" s="221"/>
      <c r="F166" s="221"/>
      <c r="G166" s="221"/>
      <c r="H166" s="221"/>
      <c r="I166" s="400" t="s">
        <v>52</v>
      </c>
      <c r="J166" s="401"/>
      <c r="K166" s="401"/>
      <c r="L166" s="401"/>
      <c r="M166" s="401"/>
      <c r="N166" s="402"/>
    </row>
    <row r="167" spans="1:14" customFormat="1" x14ac:dyDescent="0.25">
      <c r="A167" s="183">
        <v>11</v>
      </c>
      <c r="B167" s="281" t="s">
        <v>209</v>
      </c>
      <c r="C167" s="282"/>
      <c r="D167" s="282"/>
      <c r="E167" s="282"/>
      <c r="F167" s="282"/>
      <c r="G167" s="282"/>
      <c r="H167" s="282"/>
      <c r="I167" s="282"/>
      <c r="J167" s="282"/>
      <c r="K167" s="282"/>
      <c r="L167" s="282"/>
      <c r="M167" s="282"/>
      <c r="N167" s="283"/>
    </row>
    <row r="168" spans="1:14" customFormat="1" x14ac:dyDescent="0.25">
      <c r="A168" s="184"/>
      <c r="B168" s="352" t="s">
        <v>210</v>
      </c>
      <c r="C168" s="352"/>
      <c r="D168" s="352"/>
      <c r="E168" s="352"/>
      <c r="F168" s="352"/>
      <c r="G168" s="352"/>
      <c r="H168" s="352"/>
      <c r="I168" s="341" t="s">
        <v>208</v>
      </c>
      <c r="J168" s="342"/>
      <c r="K168" s="342"/>
      <c r="L168" s="342"/>
      <c r="M168" s="342"/>
      <c r="N168" s="343"/>
    </row>
    <row r="169" spans="1:14" customFormat="1" x14ac:dyDescent="0.25">
      <c r="A169" s="184"/>
      <c r="B169" s="352" t="s">
        <v>211</v>
      </c>
      <c r="C169" s="352"/>
      <c r="D169" s="352"/>
      <c r="E169" s="352"/>
      <c r="F169" s="352"/>
      <c r="G169" s="352"/>
      <c r="H169" s="352"/>
      <c r="I169" s="347"/>
      <c r="J169" s="348"/>
      <c r="K169" s="348"/>
      <c r="L169" s="348"/>
      <c r="M169" s="348"/>
      <c r="N169" s="349"/>
    </row>
    <row r="170" spans="1:14" customFormat="1" x14ac:dyDescent="0.25">
      <c r="A170" s="185"/>
      <c r="B170" s="352" t="s">
        <v>212</v>
      </c>
      <c r="C170" s="352"/>
      <c r="D170" s="352"/>
      <c r="E170" s="352"/>
      <c r="F170" s="352"/>
      <c r="G170" s="352"/>
      <c r="H170" s="352"/>
      <c r="I170" s="278" t="s">
        <v>227</v>
      </c>
      <c r="J170" s="278"/>
      <c r="K170" s="278"/>
      <c r="L170" s="278"/>
      <c r="M170" s="278"/>
      <c r="N170" s="278"/>
    </row>
    <row r="171" spans="1:14" customFormat="1" x14ac:dyDescent="0.25">
      <c r="A171" s="183">
        <v>12</v>
      </c>
      <c r="B171" s="281" t="s">
        <v>213</v>
      </c>
      <c r="C171" s="282"/>
      <c r="D171" s="282"/>
      <c r="E171" s="282"/>
      <c r="F171" s="282"/>
      <c r="G171" s="282"/>
      <c r="H171" s="282"/>
      <c r="I171" s="282"/>
      <c r="J171" s="282"/>
      <c r="K171" s="282"/>
      <c r="L171" s="282"/>
      <c r="M171" s="282"/>
      <c r="N171" s="283"/>
    </row>
    <row r="172" spans="1:14" customFormat="1" x14ac:dyDescent="0.25">
      <c r="A172" s="184"/>
      <c r="B172" s="352" t="s">
        <v>214</v>
      </c>
      <c r="C172" s="352"/>
      <c r="D172" s="352"/>
      <c r="E172" s="352"/>
      <c r="F172" s="352"/>
      <c r="G172" s="352"/>
      <c r="H172" s="352"/>
      <c r="I172" s="341" t="s">
        <v>208</v>
      </c>
      <c r="J172" s="342"/>
      <c r="K172" s="342"/>
      <c r="L172" s="342"/>
      <c r="M172" s="342"/>
      <c r="N172" s="343"/>
    </row>
    <row r="173" spans="1:14" customFormat="1" x14ac:dyDescent="0.25">
      <c r="A173" s="184"/>
      <c r="B173" s="352" t="s">
        <v>215</v>
      </c>
      <c r="C173" s="352"/>
      <c r="D173" s="352"/>
      <c r="E173" s="352"/>
      <c r="F173" s="352"/>
      <c r="G173" s="352"/>
      <c r="H173" s="352"/>
      <c r="I173" s="344"/>
      <c r="J173" s="345"/>
      <c r="K173" s="345"/>
      <c r="L173" s="345"/>
      <c r="M173" s="345"/>
      <c r="N173" s="346"/>
    </row>
    <row r="174" spans="1:14" customFormat="1" x14ac:dyDescent="0.25">
      <c r="A174" s="184"/>
      <c r="B174" s="352" t="s">
        <v>216</v>
      </c>
      <c r="C174" s="352"/>
      <c r="D174" s="352"/>
      <c r="E174" s="352"/>
      <c r="F174" s="352"/>
      <c r="G174" s="352"/>
      <c r="H174" s="352"/>
      <c r="I174" s="344"/>
      <c r="J174" s="345"/>
      <c r="K174" s="345"/>
      <c r="L174" s="345"/>
      <c r="M174" s="345"/>
      <c r="N174" s="346"/>
    </row>
    <row r="175" spans="1:14" customFormat="1" x14ac:dyDescent="0.25">
      <c r="A175" s="184"/>
      <c r="B175" s="352" t="s">
        <v>217</v>
      </c>
      <c r="C175" s="352"/>
      <c r="D175" s="352"/>
      <c r="E175" s="352"/>
      <c r="F175" s="352"/>
      <c r="G175" s="352"/>
      <c r="H175" s="352"/>
      <c r="I175" s="344"/>
      <c r="J175" s="345"/>
      <c r="K175" s="345"/>
      <c r="L175" s="345"/>
      <c r="M175" s="345"/>
      <c r="N175" s="346"/>
    </row>
    <row r="176" spans="1:14" customFormat="1" x14ac:dyDescent="0.25">
      <c r="A176" s="184"/>
      <c r="B176" s="352" t="s">
        <v>218</v>
      </c>
      <c r="C176" s="352"/>
      <c r="D176" s="352"/>
      <c r="E176" s="352"/>
      <c r="F176" s="352"/>
      <c r="G176" s="352"/>
      <c r="H176" s="352"/>
      <c r="I176" s="344"/>
      <c r="J176" s="345"/>
      <c r="K176" s="345"/>
      <c r="L176" s="345"/>
      <c r="M176" s="345"/>
      <c r="N176" s="346"/>
    </row>
    <row r="177" spans="1:14" customFormat="1" x14ac:dyDescent="0.25">
      <c r="A177" s="185"/>
      <c r="B177" s="352" t="s">
        <v>219</v>
      </c>
      <c r="C177" s="352"/>
      <c r="D177" s="352"/>
      <c r="E177" s="352"/>
      <c r="F177" s="352"/>
      <c r="G177" s="352"/>
      <c r="H177" s="352"/>
      <c r="I177" s="347"/>
      <c r="J177" s="348"/>
      <c r="K177" s="348"/>
      <c r="L177" s="348"/>
      <c r="M177" s="348"/>
      <c r="N177" s="349"/>
    </row>
    <row r="178" spans="1:14" customFormat="1" x14ac:dyDescent="0.25">
      <c r="A178" s="183">
        <v>13</v>
      </c>
      <c r="B178" s="281" t="s">
        <v>220</v>
      </c>
      <c r="C178" s="282"/>
      <c r="D178" s="282"/>
      <c r="E178" s="282"/>
      <c r="F178" s="282"/>
      <c r="G178" s="282"/>
      <c r="H178" s="282"/>
      <c r="I178" s="282"/>
      <c r="J178" s="282"/>
      <c r="K178" s="282"/>
      <c r="L178" s="282"/>
      <c r="M178" s="282"/>
      <c r="N178" s="283"/>
    </row>
    <row r="179" spans="1:14" customFormat="1" x14ac:dyDescent="0.25">
      <c r="A179" s="184"/>
      <c r="B179" s="352" t="s">
        <v>221</v>
      </c>
      <c r="C179" s="352"/>
      <c r="D179" s="352"/>
      <c r="E179" s="352"/>
      <c r="F179" s="352"/>
      <c r="G179" s="352"/>
      <c r="H179" s="352"/>
      <c r="I179" s="341" t="s">
        <v>208</v>
      </c>
      <c r="J179" s="342"/>
      <c r="K179" s="342"/>
      <c r="L179" s="342"/>
      <c r="M179" s="342"/>
      <c r="N179" s="343"/>
    </row>
    <row r="180" spans="1:14" customFormat="1" x14ac:dyDescent="0.25">
      <c r="A180" s="184"/>
      <c r="B180" s="352" t="s">
        <v>222</v>
      </c>
      <c r="C180" s="352"/>
      <c r="D180" s="352"/>
      <c r="E180" s="352"/>
      <c r="F180" s="352"/>
      <c r="G180" s="352"/>
      <c r="H180" s="352"/>
      <c r="I180" s="344"/>
      <c r="J180" s="345"/>
      <c r="K180" s="345"/>
      <c r="L180" s="345"/>
      <c r="M180" s="345"/>
      <c r="N180" s="346"/>
    </row>
    <row r="181" spans="1:14" customFormat="1" x14ac:dyDescent="0.25">
      <c r="A181" s="184"/>
      <c r="B181" s="352" t="s">
        <v>223</v>
      </c>
      <c r="C181" s="352"/>
      <c r="D181" s="352"/>
      <c r="E181" s="352"/>
      <c r="F181" s="352"/>
      <c r="G181" s="352"/>
      <c r="H181" s="352"/>
      <c r="I181" s="344"/>
      <c r="J181" s="345"/>
      <c r="K181" s="345"/>
      <c r="L181" s="345"/>
      <c r="M181" s="345"/>
      <c r="N181" s="346"/>
    </row>
    <row r="182" spans="1:14" customFormat="1" x14ac:dyDescent="0.25">
      <c r="A182" s="184"/>
      <c r="B182" s="352" t="s">
        <v>224</v>
      </c>
      <c r="C182" s="352"/>
      <c r="D182" s="352"/>
      <c r="E182" s="352"/>
      <c r="F182" s="352"/>
      <c r="G182" s="352"/>
      <c r="H182" s="352"/>
      <c r="I182" s="344"/>
      <c r="J182" s="345"/>
      <c r="K182" s="345"/>
      <c r="L182" s="345"/>
      <c r="M182" s="345"/>
      <c r="N182" s="346"/>
    </row>
    <row r="183" spans="1:14" customFormat="1" x14ac:dyDescent="0.25">
      <c r="A183" s="184"/>
      <c r="B183" s="352" t="s">
        <v>225</v>
      </c>
      <c r="C183" s="352"/>
      <c r="D183" s="352"/>
      <c r="E183" s="352"/>
      <c r="F183" s="352"/>
      <c r="G183" s="352"/>
      <c r="H183" s="352"/>
      <c r="I183" s="344"/>
      <c r="J183" s="345"/>
      <c r="K183" s="345"/>
      <c r="L183" s="345"/>
      <c r="M183" s="345"/>
      <c r="N183" s="346"/>
    </row>
    <row r="184" spans="1:14" customFormat="1" x14ac:dyDescent="0.25">
      <c r="A184" s="185"/>
      <c r="B184" s="352" t="s">
        <v>226</v>
      </c>
      <c r="C184" s="352"/>
      <c r="D184" s="352"/>
      <c r="E184" s="352"/>
      <c r="F184" s="352"/>
      <c r="G184" s="352"/>
      <c r="H184" s="352"/>
      <c r="I184" s="347"/>
      <c r="J184" s="348"/>
      <c r="K184" s="348"/>
      <c r="L184" s="348"/>
      <c r="M184" s="348"/>
      <c r="N184" s="349"/>
    </row>
    <row r="185" spans="1:14" s="70" customFormat="1" x14ac:dyDescent="0.25">
      <c r="A185" s="105" t="s">
        <v>410</v>
      </c>
      <c r="B185" s="471" t="s">
        <v>228</v>
      </c>
      <c r="C185" s="472"/>
      <c r="D185" s="472"/>
      <c r="E185" s="472"/>
      <c r="F185" s="472"/>
      <c r="G185" s="472"/>
      <c r="H185" s="472"/>
      <c r="I185" s="472"/>
      <c r="J185" s="472"/>
      <c r="K185" s="472"/>
      <c r="L185" s="472"/>
      <c r="M185" s="472"/>
      <c r="N185" s="473"/>
    </row>
    <row r="186" spans="1:14" s="70" customFormat="1" ht="28.5" customHeight="1" x14ac:dyDescent="0.25">
      <c r="A186" s="105"/>
      <c r="B186" s="309" t="s">
        <v>591</v>
      </c>
      <c r="C186" s="310"/>
      <c r="D186" s="310"/>
      <c r="E186" s="311"/>
      <c r="F186" s="228" t="str">
        <f>I81</f>
        <v>Panvel Municipal Corporation</v>
      </c>
      <c r="G186" s="229"/>
      <c r="H186" s="229"/>
      <c r="I186" s="229"/>
      <c r="J186" s="229"/>
      <c r="K186" s="229"/>
      <c r="L186" s="229"/>
      <c r="M186" s="229"/>
      <c r="N186" s="366"/>
    </row>
    <row r="187" spans="1:14" customFormat="1" x14ac:dyDescent="0.25">
      <c r="A187" s="26">
        <v>1</v>
      </c>
      <c r="B187" s="221" t="s">
        <v>229</v>
      </c>
      <c r="C187" s="221"/>
      <c r="D187" s="221"/>
      <c r="E187" s="221"/>
      <c r="F187" s="195" t="s">
        <v>654</v>
      </c>
      <c r="G187" s="196"/>
      <c r="H187" s="196"/>
      <c r="I187" s="196"/>
      <c r="J187" s="196"/>
      <c r="K187" s="197"/>
      <c r="L187" s="64" t="s">
        <v>232</v>
      </c>
      <c r="M187" s="219" t="s">
        <v>653</v>
      </c>
      <c r="N187" s="220"/>
    </row>
    <row r="188" spans="1:14" customFormat="1" x14ac:dyDescent="0.25">
      <c r="A188" s="26">
        <v>2</v>
      </c>
      <c r="B188" s="222" t="s">
        <v>230</v>
      </c>
      <c r="C188" s="223"/>
      <c r="D188" s="223">
        <f>D187</f>
        <v>0</v>
      </c>
      <c r="E188" s="223"/>
      <c r="F188" s="195" t="str">
        <f>F187</f>
        <v>CARPC/RB/2024/APL/00129</v>
      </c>
      <c r="G188" s="196"/>
      <c r="H188" s="196"/>
      <c r="I188" s="196"/>
      <c r="J188" s="196"/>
      <c r="K188" s="197"/>
      <c r="L188" s="64" t="s">
        <v>232</v>
      </c>
      <c r="M188" s="219" t="str">
        <f>M187</f>
        <v xml:space="preserve"> 25/10/2024</v>
      </c>
      <c r="N188" s="220"/>
    </row>
    <row r="189" spans="1:14" customFormat="1" x14ac:dyDescent="0.25">
      <c r="A189" s="183">
        <v>3</v>
      </c>
      <c r="B189" s="199" t="s">
        <v>686</v>
      </c>
      <c r="C189" s="200"/>
      <c r="D189" s="200"/>
      <c r="E189" s="201"/>
      <c r="F189" s="195" t="s">
        <v>654</v>
      </c>
      <c r="G189" s="196"/>
      <c r="H189" s="196"/>
      <c r="I189" s="196"/>
      <c r="J189" s="196"/>
      <c r="K189" s="197"/>
      <c r="L189" s="64" t="s">
        <v>232</v>
      </c>
      <c r="M189" s="219" t="str">
        <f>M188</f>
        <v xml:space="preserve"> 25/10/2024</v>
      </c>
      <c r="N189" s="220"/>
    </row>
    <row r="190" spans="1:14" customFormat="1" x14ac:dyDescent="0.25">
      <c r="A190" s="185"/>
      <c r="B190" s="202"/>
      <c r="C190" s="203"/>
      <c r="D190" s="203"/>
      <c r="E190" s="204"/>
      <c r="F190" s="198" t="s">
        <v>655</v>
      </c>
      <c r="G190" s="198"/>
      <c r="H190" s="198"/>
      <c r="I190" s="198"/>
      <c r="J190" s="198"/>
      <c r="K190" s="198"/>
      <c r="L190" s="198"/>
      <c r="M190" s="198"/>
      <c r="N190" s="198"/>
    </row>
    <row r="191" spans="1:14" s="70" customFormat="1" x14ac:dyDescent="0.25">
      <c r="A191" s="105">
        <v>4</v>
      </c>
      <c r="B191" s="228" t="s">
        <v>231</v>
      </c>
      <c r="C191" s="229"/>
      <c r="D191" s="229"/>
      <c r="E191" s="229"/>
      <c r="F191" s="227" t="s">
        <v>51</v>
      </c>
      <c r="G191" s="227"/>
      <c r="H191" s="227"/>
      <c r="I191" s="227"/>
      <c r="J191" s="227"/>
      <c r="K191" s="227"/>
      <c r="L191" s="106" t="s">
        <v>232</v>
      </c>
      <c r="M191" s="225" t="s">
        <v>51</v>
      </c>
      <c r="N191" s="226"/>
    </row>
    <row r="192" spans="1:14" customFormat="1" x14ac:dyDescent="0.25">
      <c r="A192" s="183">
        <f>A191+1</f>
        <v>5</v>
      </c>
      <c r="B192" s="199" t="s">
        <v>677</v>
      </c>
      <c r="C192" s="200"/>
      <c r="D192" s="200"/>
      <c r="E192" s="201"/>
      <c r="F192" s="195" t="s">
        <v>678</v>
      </c>
      <c r="G192" s="196"/>
      <c r="H192" s="196"/>
      <c r="I192" s="196"/>
      <c r="J192" s="196"/>
      <c r="K192" s="197"/>
      <c r="L192" s="64" t="s">
        <v>232</v>
      </c>
      <c r="M192" s="219">
        <v>44714</v>
      </c>
      <c r="N192" s="220"/>
    </row>
    <row r="193" spans="1:16" customFormat="1" hidden="1" x14ac:dyDescent="0.25">
      <c r="A193" s="185"/>
      <c r="B193" s="202"/>
      <c r="C193" s="203"/>
      <c r="D193" s="203"/>
      <c r="E193" s="204"/>
      <c r="F193" s="198" t="s">
        <v>655</v>
      </c>
      <c r="G193" s="198"/>
      <c r="H193" s="198"/>
      <c r="I193" s="198"/>
      <c r="J193" s="198"/>
      <c r="K193" s="198"/>
      <c r="L193" s="198"/>
      <c r="M193" s="198"/>
      <c r="N193" s="198"/>
    </row>
    <row r="194" spans="1:16" customFormat="1" x14ac:dyDescent="0.25">
      <c r="A194" s="183">
        <f>A192+1</f>
        <v>6</v>
      </c>
      <c r="B194" s="199" t="s">
        <v>687</v>
      </c>
      <c r="C194" s="200"/>
      <c r="D194" s="200"/>
      <c r="E194" s="201"/>
      <c r="F194" s="195" t="s">
        <v>679</v>
      </c>
      <c r="G194" s="196"/>
      <c r="H194" s="196"/>
      <c r="I194" s="196"/>
      <c r="J194" s="196"/>
      <c r="K194" s="197"/>
      <c r="L194" s="64" t="s">
        <v>232</v>
      </c>
      <c r="M194" s="219">
        <v>45079</v>
      </c>
      <c r="N194" s="220"/>
    </row>
    <row r="195" spans="1:16" customFormat="1" ht="30.75" customHeight="1" x14ac:dyDescent="0.25">
      <c r="A195" s="185"/>
      <c r="B195" s="202"/>
      <c r="C195" s="203"/>
      <c r="D195" s="203"/>
      <c r="E195" s="204"/>
      <c r="F195" s="497" t="s">
        <v>688</v>
      </c>
      <c r="G195" s="196"/>
      <c r="H195" s="196"/>
      <c r="I195" s="196"/>
      <c r="J195" s="196"/>
      <c r="K195" s="197"/>
      <c r="L195" s="143" t="s">
        <v>680</v>
      </c>
      <c r="M195" s="219">
        <v>48000</v>
      </c>
      <c r="N195" s="197"/>
    </row>
    <row r="196" spans="1:16" customFormat="1" x14ac:dyDescent="0.25">
      <c r="A196" s="183">
        <f>A194+1</f>
        <v>7</v>
      </c>
      <c r="B196" s="199" t="s">
        <v>689</v>
      </c>
      <c r="C196" s="200"/>
      <c r="D196" s="200"/>
      <c r="E196" s="201"/>
      <c r="F196" s="195" t="s">
        <v>681</v>
      </c>
      <c r="G196" s="196"/>
      <c r="H196" s="196"/>
      <c r="I196" s="196"/>
      <c r="J196" s="196"/>
      <c r="K196" s="197"/>
      <c r="L196" s="64" t="s">
        <v>232</v>
      </c>
      <c r="M196" s="219">
        <v>45014</v>
      </c>
      <c r="N196" s="220"/>
    </row>
    <row r="197" spans="1:16" customFormat="1" x14ac:dyDescent="0.25">
      <c r="A197" s="185"/>
      <c r="B197" s="202"/>
      <c r="C197" s="203"/>
      <c r="D197" s="203"/>
      <c r="E197" s="204"/>
      <c r="F197" s="198" t="s">
        <v>690</v>
      </c>
      <c r="G197" s="198"/>
      <c r="H197" s="198"/>
      <c r="I197" s="198"/>
      <c r="J197" s="198"/>
      <c r="K197" s="198"/>
      <c r="L197" s="198"/>
      <c r="M197" s="198"/>
      <c r="N197" s="198"/>
    </row>
    <row r="198" spans="1:16" customFormat="1" x14ac:dyDescent="0.25">
      <c r="A198" s="26">
        <f>7+1</f>
        <v>8</v>
      </c>
      <c r="B198" s="221" t="s">
        <v>233</v>
      </c>
      <c r="C198" s="221"/>
      <c r="D198" s="221"/>
      <c r="E198" s="221"/>
      <c r="F198" s="221"/>
      <c r="G198" s="221"/>
      <c r="H198" s="221"/>
      <c r="I198" s="222" t="s">
        <v>674</v>
      </c>
      <c r="J198" s="223"/>
      <c r="K198" s="223"/>
      <c r="L198" s="223"/>
      <c r="M198" s="223"/>
      <c r="N198" s="224"/>
    </row>
    <row r="199" spans="1:16" customFormat="1" x14ac:dyDescent="0.25">
      <c r="A199" s="26">
        <f>A198+1</f>
        <v>9</v>
      </c>
      <c r="B199" s="221" t="s">
        <v>234</v>
      </c>
      <c r="C199" s="221"/>
      <c r="D199" s="221"/>
      <c r="E199" s="221"/>
      <c r="F199" s="221"/>
      <c r="G199" s="221"/>
      <c r="H199" s="221"/>
      <c r="I199" s="195" t="s">
        <v>655</v>
      </c>
      <c r="J199" s="196"/>
      <c r="K199" s="196"/>
      <c r="L199" s="196"/>
      <c r="M199" s="196"/>
      <c r="N199" s="197"/>
    </row>
    <row r="200" spans="1:16" customFormat="1" x14ac:dyDescent="0.25">
      <c r="A200" s="26">
        <f>A199+1</f>
        <v>10</v>
      </c>
      <c r="B200" s="221" t="s">
        <v>235</v>
      </c>
      <c r="C200" s="221"/>
      <c r="D200" s="221"/>
      <c r="E200" s="221"/>
      <c r="F200" s="221"/>
      <c r="G200" s="221"/>
      <c r="H200" s="221"/>
      <c r="I200" s="195" t="s">
        <v>656</v>
      </c>
      <c r="J200" s="196"/>
      <c r="K200" s="196"/>
      <c r="L200" s="196"/>
      <c r="M200" s="196"/>
      <c r="N200" s="197"/>
    </row>
    <row r="201" spans="1:16" ht="16.5" thickBot="1" x14ac:dyDescent="0.3">
      <c r="A201" s="172" t="s">
        <v>514</v>
      </c>
      <c r="B201" s="173"/>
      <c r="C201" s="173"/>
      <c r="D201" s="173"/>
      <c r="E201" s="173"/>
      <c r="F201" s="173"/>
      <c r="G201" s="173"/>
      <c r="H201" s="173"/>
      <c r="I201" s="173"/>
      <c r="J201" s="173"/>
      <c r="K201" s="173"/>
      <c r="L201" s="173"/>
      <c r="M201" s="173"/>
      <c r="N201" s="174"/>
    </row>
    <row r="202" spans="1:16" s="111" customFormat="1" ht="14.25" x14ac:dyDescent="0.25">
      <c r="A202" s="208" t="s">
        <v>592</v>
      </c>
      <c r="B202" s="209"/>
      <c r="C202" s="209"/>
      <c r="D202" s="210"/>
      <c r="E202" s="205" t="s">
        <v>657</v>
      </c>
      <c r="F202" s="206"/>
      <c r="G202" s="206"/>
      <c r="H202" s="206"/>
      <c r="I202" s="206"/>
      <c r="J202" s="206"/>
      <c r="K202" s="206"/>
      <c r="L202" s="206"/>
      <c r="M202" s="206"/>
      <c r="N202" s="207"/>
      <c r="O202" s="260" t="str">
        <f ca="1">(IF(J206&gt;99%,"All work completed. Please provide OC.",IF(J206&gt;89.8%,"Plinth, RCC, Brick, Plaster, Flooring, Painting work Completed. Finishing work is in process.",IF(J206&lt;94%,(IF(E206=0,"Work not yet Started.",IF(G206=25%,"Piling work in process",IF(G206=50%,"Excavation work in process",IF(G206=100%,"Excavation work Completed. ","0")))&amp;(IF(E207=0%,"",IF(E207=P208,"Footing work is process",IF(E207=P209,"Footing work Completed",IF(E207=P210,"1st Basement Completed",IF(E207=P211,"1st &amp; 2nd Basement Completed",IF(E207=P212,"1st to 3rd Basement Completed",IF(E207=P213,"1st to 4th Basement Completed",IF(E207=P214,"Plinth work is process",IF(E207=P215,"Plinth work completed","0")))))))))))&amp;(IF(E208=(G203+K203+N203),", RCC Slab",IF(E208&gt;0,", RCC upto "&amp;E208&amp;" Slab",""))&amp;(IF(E209=N203,", Brickwork",IF(E209&gt;0,", Brickwork upto "&amp;E209&amp;" Floor",""))&amp;(IF(E210=N203,", Internal Plaster",IF(E210&gt;0,", Internal Plaster upto "&amp;E210&amp;" Floor",""))&amp;(IF(E211=N203,", External Plaster",IF(E211&gt;0,", External Plaster upto "&amp;E211&amp;" Floor",""))&amp;(IF(E212=N203,", Flooring",IF(E212&gt;0,", Flooring upto "&amp;E212&amp;" Floor",""))&amp;(IF(E213=N203,", Painting",IF(E213&gt;0,", Painting upto "&amp;E213&amp;" Floor",""))&amp;(IF(E214&gt;0,", Finishing upto "&amp;E214&amp;" Floor","")&amp;(IF(E208&gt;0.5," Completed",""))))))))))))))</f>
        <v>Excavation work Completed. Plinth work completed, RCC upto 15 Slab, Brickwork upto 8 Floor, Internal Plaster upto 4 Floor, External Plaster upto 3 Floor Completed</v>
      </c>
      <c r="P202" s="261"/>
    </row>
    <row r="203" spans="1:16" s="111" customFormat="1" x14ac:dyDescent="0.25">
      <c r="A203" s="264" t="s">
        <v>199</v>
      </c>
      <c r="B203" s="265"/>
      <c r="C203" s="211">
        <v>0</v>
      </c>
      <c r="D203" s="212"/>
      <c r="E203" s="211" t="s">
        <v>484</v>
      </c>
      <c r="F203" s="212"/>
      <c r="G203" s="211">
        <v>1</v>
      </c>
      <c r="H203" s="212"/>
      <c r="I203" s="265" t="s">
        <v>485</v>
      </c>
      <c r="J203" s="265"/>
      <c r="K203" s="108">
        <v>0</v>
      </c>
      <c r="L203" s="265" t="s">
        <v>486</v>
      </c>
      <c r="M203" s="265"/>
      <c r="N203" s="115" cm="1">
        <f t="array" aca="1" ref="N203" ca="1">--TRIM(RIGHT(SUBSTITUTE(LEFT(E202,_xlfn.AGGREGATE(16,6,FIND({0,1,2,3,4,5,6,7,8,9},E202,ROW(INDIRECT("1:"&amp;LEN(E202)))),1))," ",REPT(" ",LEN(E202))),LEN(E202)))</f>
        <v>23</v>
      </c>
      <c r="O203" s="109"/>
      <c r="P203" s="110"/>
    </row>
    <row r="204" spans="1:16" s="107" customFormat="1" ht="32.25" customHeight="1" x14ac:dyDescent="0.25">
      <c r="A204" s="213" t="s">
        <v>487</v>
      </c>
      <c r="B204" s="214"/>
      <c r="C204" s="214"/>
      <c r="D204" s="215"/>
      <c r="E204" s="216" t="str">
        <f ca="1">O202</f>
        <v>Excavation work Completed. Plinth work completed, RCC upto 15 Slab, Brickwork upto 8 Floor, Internal Plaster upto 4 Floor, External Plaster upto 3 Floor Completed</v>
      </c>
      <c r="F204" s="217"/>
      <c r="G204" s="217"/>
      <c r="H204" s="217"/>
      <c r="I204" s="217"/>
      <c r="J204" s="217"/>
      <c r="K204" s="217"/>
      <c r="L204" s="217"/>
      <c r="M204" s="217"/>
      <c r="N204" s="218"/>
      <c r="O204" s="112"/>
      <c r="P204" s="113"/>
    </row>
    <row r="205" spans="1:16" s="107" customFormat="1" ht="15" customHeight="1" x14ac:dyDescent="0.2">
      <c r="A205" s="163" t="s">
        <v>489</v>
      </c>
      <c r="B205" s="164"/>
      <c r="C205" s="164"/>
      <c r="D205" s="165"/>
      <c r="E205" s="243" t="s">
        <v>491</v>
      </c>
      <c r="F205" s="165"/>
      <c r="G205" s="243" t="s">
        <v>492</v>
      </c>
      <c r="H205" s="164"/>
      <c r="I205" s="165"/>
      <c r="J205" s="178" t="s">
        <v>493</v>
      </c>
      <c r="K205" s="178"/>
      <c r="L205" s="178" t="s">
        <v>593</v>
      </c>
      <c r="M205" s="178"/>
      <c r="N205" s="179"/>
      <c r="O205" s="116" t="s">
        <v>494</v>
      </c>
      <c r="P205" s="117">
        <f ca="1">N203*25%</f>
        <v>5.75</v>
      </c>
    </row>
    <row r="206" spans="1:16" s="107" customFormat="1" ht="15" customHeight="1" x14ac:dyDescent="0.2">
      <c r="A206" s="163" t="s">
        <v>495</v>
      </c>
      <c r="B206" s="164"/>
      <c r="C206" s="164"/>
      <c r="D206" s="165"/>
      <c r="E206" s="243">
        <f ca="1">P207</f>
        <v>23</v>
      </c>
      <c r="F206" s="165"/>
      <c r="G206" s="244">
        <f ca="1">((100/N203)*E206)/100</f>
        <v>1</v>
      </c>
      <c r="H206" s="245"/>
      <c r="I206" s="246"/>
      <c r="J206" s="262">
        <f ca="1">(((E207/N203*10)+(40/(G203+K203+N203)*E208)+(15/(N203)*E209)+(5/(N203)*E210)+(5/N203*E211)+(10/N203*E212)+(5/N203*E213)+(5/N203*E214)+(5/N203*E215))/100)</f>
        <v>0.41739130434782612</v>
      </c>
      <c r="K206" s="262"/>
      <c r="L206" s="262">
        <f ca="1">((((E206/N203)*10)+((E207/N203)*20)+(30/(N203+K203+G203)*E208)+(15/N203*E209)+(5/N203*E210)+(5/N203*E211)+(5/N203*E212)+(5/N203*E213)+(2.5/N203*E214)+(2.5/N203*E215))/100)</f>
        <v>0.55489130434782608</v>
      </c>
      <c r="M206" s="262"/>
      <c r="N206" s="270"/>
      <c r="O206" s="116" t="s">
        <v>496</v>
      </c>
      <c r="P206" s="118">
        <f ca="1">N203*50%</f>
        <v>11.5</v>
      </c>
    </row>
    <row r="207" spans="1:16" s="107" customFormat="1" ht="15" customHeight="1" x14ac:dyDescent="0.2">
      <c r="A207" s="163" t="s">
        <v>36</v>
      </c>
      <c r="B207" s="164"/>
      <c r="C207" s="164"/>
      <c r="D207" s="165"/>
      <c r="E207" s="243">
        <f ca="1">P215</f>
        <v>23</v>
      </c>
      <c r="F207" s="165"/>
      <c r="G207" s="244">
        <f ca="1">((100/N203)*E207)/100</f>
        <v>1</v>
      </c>
      <c r="H207" s="245"/>
      <c r="I207" s="246"/>
      <c r="J207" s="262"/>
      <c r="K207" s="262"/>
      <c r="L207" s="262"/>
      <c r="M207" s="262"/>
      <c r="N207" s="270"/>
      <c r="O207" s="116" t="s">
        <v>497</v>
      </c>
      <c r="P207" s="118">
        <f ca="1">N203</f>
        <v>23</v>
      </c>
    </row>
    <row r="208" spans="1:16" s="107" customFormat="1" ht="15" customHeight="1" x14ac:dyDescent="0.2">
      <c r="A208" s="163" t="s">
        <v>498</v>
      </c>
      <c r="B208" s="164"/>
      <c r="C208" s="164"/>
      <c r="D208" s="165"/>
      <c r="E208" s="243">
        <v>15</v>
      </c>
      <c r="F208" s="165"/>
      <c r="G208" s="244">
        <f ca="1">((100/(G203+K203+N203))*E208)/100</f>
        <v>0.62500000000000011</v>
      </c>
      <c r="H208" s="245"/>
      <c r="I208" s="246"/>
      <c r="J208" s="262"/>
      <c r="K208" s="262"/>
      <c r="L208" s="262"/>
      <c r="M208" s="262"/>
      <c r="N208" s="270"/>
      <c r="O208" s="116" t="s">
        <v>499</v>
      </c>
      <c r="P208" s="119">
        <f ca="1">(IF(B203&gt;1,(N203/(B203+2)),N203/4))</f>
        <v>5.75</v>
      </c>
    </row>
    <row r="209" spans="1:16" s="107" customFormat="1" ht="15" customHeight="1" x14ac:dyDescent="0.2">
      <c r="A209" s="163" t="s">
        <v>500</v>
      </c>
      <c r="B209" s="164" t="s">
        <v>594</v>
      </c>
      <c r="C209" s="164"/>
      <c r="D209" s="165"/>
      <c r="E209" s="243">
        <v>8</v>
      </c>
      <c r="F209" s="165"/>
      <c r="G209" s="244">
        <f ca="1">((100/N203)*E209)/100</f>
        <v>0.34782608695652173</v>
      </c>
      <c r="H209" s="245"/>
      <c r="I209" s="246"/>
      <c r="J209" s="262"/>
      <c r="K209" s="262"/>
      <c r="L209" s="262"/>
      <c r="M209" s="262"/>
      <c r="N209" s="270"/>
      <c r="O209" s="116" t="s">
        <v>501</v>
      </c>
      <c r="P209" s="119">
        <f ca="1">(IF(B203&gt;1,(N203/(B203+2)+P208),N203/4+P208))</f>
        <v>11.5</v>
      </c>
    </row>
    <row r="210" spans="1:16" s="107" customFormat="1" ht="15" customHeight="1" x14ac:dyDescent="0.2">
      <c r="A210" s="163" t="s">
        <v>502</v>
      </c>
      <c r="B210" s="164" t="s">
        <v>594</v>
      </c>
      <c r="C210" s="164"/>
      <c r="D210" s="165"/>
      <c r="E210" s="243">
        <v>4</v>
      </c>
      <c r="F210" s="165"/>
      <c r="G210" s="244">
        <f ca="1">((100/N203)*E210)/100</f>
        <v>0.17391304347826086</v>
      </c>
      <c r="H210" s="245"/>
      <c r="I210" s="246"/>
      <c r="J210" s="262"/>
      <c r="K210" s="262"/>
      <c r="L210" s="262"/>
      <c r="M210" s="262"/>
      <c r="N210" s="270"/>
      <c r="O210" s="116" t="s">
        <v>503</v>
      </c>
      <c r="P210" s="119">
        <f>(IF(B203&gt;1,(N203/(B203+2)+P209),0))</f>
        <v>0</v>
      </c>
    </row>
    <row r="211" spans="1:16" s="107" customFormat="1" ht="15" customHeight="1" x14ac:dyDescent="0.2">
      <c r="A211" s="163" t="s">
        <v>504</v>
      </c>
      <c r="B211" s="164" t="s">
        <v>595</v>
      </c>
      <c r="C211" s="164"/>
      <c r="D211" s="165"/>
      <c r="E211" s="243">
        <v>3</v>
      </c>
      <c r="F211" s="165"/>
      <c r="G211" s="244">
        <f ca="1">((100/(N203))*E211)/100</f>
        <v>0.13043478260869565</v>
      </c>
      <c r="H211" s="245"/>
      <c r="I211" s="246"/>
      <c r="J211" s="262"/>
      <c r="K211" s="262"/>
      <c r="L211" s="262"/>
      <c r="M211" s="262"/>
      <c r="N211" s="270"/>
      <c r="O211" s="116" t="s">
        <v>505</v>
      </c>
      <c r="P211" s="119">
        <f>(IF(B203&gt;2,(N203/(B203+2)+P210),0))</f>
        <v>0</v>
      </c>
    </row>
    <row r="212" spans="1:16" s="107" customFormat="1" ht="15" customHeight="1" x14ac:dyDescent="0.2">
      <c r="A212" s="163" t="s">
        <v>506</v>
      </c>
      <c r="B212" s="164" t="s">
        <v>506</v>
      </c>
      <c r="C212" s="164"/>
      <c r="D212" s="165"/>
      <c r="E212" s="243">
        <v>0</v>
      </c>
      <c r="F212" s="165"/>
      <c r="G212" s="244">
        <f ca="1">((100/N203)*E212)/100</f>
        <v>0</v>
      </c>
      <c r="H212" s="245"/>
      <c r="I212" s="246"/>
      <c r="J212" s="262"/>
      <c r="K212" s="262"/>
      <c r="L212" s="262"/>
      <c r="M212" s="262"/>
      <c r="N212" s="270"/>
      <c r="O212" s="116" t="s">
        <v>507</v>
      </c>
      <c r="P212" s="120">
        <f>(IF(B203&gt;3,(N203/(B203+2)+P211),0))</f>
        <v>0</v>
      </c>
    </row>
    <row r="213" spans="1:16" s="107" customFormat="1" ht="15" customHeight="1" x14ac:dyDescent="0.2">
      <c r="A213" s="163" t="s">
        <v>508</v>
      </c>
      <c r="B213" s="164"/>
      <c r="C213" s="164"/>
      <c r="D213" s="165"/>
      <c r="E213" s="243">
        <v>0</v>
      </c>
      <c r="F213" s="165"/>
      <c r="G213" s="244">
        <f ca="1">((100/N203)*E213)/100</f>
        <v>0</v>
      </c>
      <c r="H213" s="245"/>
      <c r="I213" s="246"/>
      <c r="J213" s="262"/>
      <c r="K213" s="262"/>
      <c r="L213" s="262"/>
      <c r="M213" s="262"/>
      <c r="N213" s="270"/>
      <c r="O213" s="116" t="s">
        <v>509</v>
      </c>
      <c r="P213" s="119">
        <f>(IF(B203&gt;4,(N203/(B203+2)+P212),0))</f>
        <v>0</v>
      </c>
    </row>
    <row r="214" spans="1:16" s="114" customFormat="1" ht="15" customHeight="1" x14ac:dyDescent="0.25">
      <c r="A214" s="163" t="s">
        <v>510</v>
      </c>
      <c r="B214" s="164" t="s">
        <v>510</v>
      </c>
      <c r="C214" s="164"/>
      <c r="D214" s="165"/>
      <c r="E214" s="243">
        <v>0</v>
      </c>
      <c r="F214" s="165"/>
      <c r="G214" s="244">
        <f ca="1">((100/(N203))*E214)/100</f>
        <v>0</v>
      </c>
      <c r="H214" s="245"/>
      <c r="I214" s="246"/>
      <c r="J214" s="262"/>
      <c r="K214" s="262"/>
      <c r="L214" s="262"/>
      <c r="M214" s="262"/>
      <c r="N214" s="270"/>
      <c r="O214" s="121" t="s">
        <v>511</v>
      </c>
      <c r="P214" s="122">
        <f ca="1">(IF(B203=1,(N203/(B203+3)+P209),IF(B203=0,(N203/4+P209),IF(B203&gt;1,0))))</f>
        <v>17.25</v>
      </c>
    </row>
    <row r="215" spans="1:16" s="107" customFormat="1" ht="15.75" customHeight="1" thickBot="1" x14ac:dyDescent="0.25">
      <c r="A215" s="166" t="s">
        <v>512</v>
      </c>
      <c r="B215" s="167"/>
      <c r="C215" s="167"/>
      <c r="D215" s="168"/>
      <c r="E215" s="266">
        <v>0</v>
      </c>
      <c r="F215" s="168"/>
      <c r="G215" s="247">
        <f ca="1">((100/(N203))*C215)/100</f>
        <v>0</v>
      </c>
      <c r="H215" s="248"/>
      <c r="I215" s="249"/>
      <c r="J215" s="263"/>
      <c r="K215" s="263"/>
      <c r="L215" s="263"/>
      <c r="M215" s="263"/>
      <c r="N215" s="271"/>
      <c r="O215" s="123" t="s">
        <v>513</v>
      </c>
      <c r="P215" s="124">
        <f ca="1">(IF(B203&gt;1.5,(N203/(B203+2)+P209+MAX(0,P210-P209)+MAX(0,P211-P210)+MAX(0,P212-P211)+MAX(0,P213-P212)+MAX(0,P214-P213)),IF(B203=1,(N203/(B203+3)+P214),IF(B203=0,N203/4+P214))))</f>
        <v>23</v>
      </c>
    </row>
    <row r="216" spans="1:16" customFormat="1" ht="15.75" customHeight="1" x14ac:dyDescent="0.25">
      <c r="A216" s="267" t="s">
        <v>478</v>
      </c>
      <c r="B216" s="268"/>
      <c r="C216" s="268"/>
      <c r="D216" s="268"/>
      <c r="E216" s="268"/>
      <c r="F216" s="268"/>
      <c r="G216" s="268"/>
      <c r="H216" s="268"/>
      <c r="I216" s="268"/>
      <c r="J216" s="268"/>
      <c r="K216" s="268"/>
      <c r="L216" s="268"/>
      <c r="M216" s="268"/>
      <c r="N216" s="269"/>
    </row>
    <row r="217" spans="1:16" customFormat="1" ht="15.75" customHeight="1" x14ac:dyDescent="0.25">
      <c r="A217" s="169" t="s">
        <v>95</v>
      </c>
      <c r="B217" s="170"/>
      <c r="C217" s="170"/>
      <c r="D217" s="171"/>
      <c r="E217" s="275" t="s">
        <v>236</v>
      </c>
      <c r="F217" s="276"/>
      <c r="G217" s="276"/>
      <c r="H217" s="277"/>
      <c r="I217" s="250" t="s">
        <v>237</v>
      </c>
      <c r="J217" s="251"/>
      <c r="K217" s="252"/>
      <c r="L217" s="169" t="s">
        <v>432</v>
      </c>
      <c r="M217" s="170"/>
      <c r="N217" s="171"/>
    </row>
    <row r="218" spans="1:16" customFormat="1" ht="15" customHeight="1" x14ac:dyDescent="0.25">
      <c r="A218" s="194" t="s">
        <v>433</v>
      </c>
      <c r="B218" s="194"/>
      <c r="C218" s="194"/>
      <c r="D218" s="194"/>
      <c r="E218" s="180">
        <f>COUNT(E236:E253)</f>
        <v>18</v>
      </c>
      <c r="F218" s="181"/>
      <c r="G218" s="181"/>
      <c r="H218" s="182"/>
      <c r="I218" s="175">
        <f>SUM(I236:I253)</f>
        <v>5013.4406399999989</v>
      </c>
      <c r="J218" s="176"/>
      <c r="K218" s="177"/>
      <c r="L218" s="175">
        <f>SUM(J236:J253)</f>
        <v>7770.8329920000006</v>
      </c>
      <c r="M218" s="176"/>
      <c r="N218" s="177"/>
    </row>
    <row r="219" spans="1:16" customFormat="1" ht="15" customHeight="1" x14ac:dyDescent="0.25">
      <c r="A219" s="169" t="s">
        <v>238</v>
      </c>
      <c r="B219" s="170"/>
      <c r="C219" s="170"/>
      <c r="D219" s="171"/>
      <c r="E219" s="272">
        <f>SUM(E218:E218)</f>
        <v>18</v>
      </c>
      <c r="F219" s="273"/>
      <c r="G219" s="273"/>
      <c r="H219" s="274"/>
      <c r="I219" s="367">
        <f>SUM(I218:I218)</f>
        <v>5013.4406399999989</v>
      </c>
      <c r="J219" s="368"/>
      <c r="K219" s="369"/>
      <c r="L219" s="169">
        <f>SUM(L218:L218)</f>
        <v>7770.8329920000006</v>
      </c>
      <c r="M219" s="170"/>
      <c r="N219" s="171"/>
    </row>
    <row r="220" spans="1:16" customFormat="1" ht="15.75" customHeight="1" x14ac:dyDescent="0.25">
      <c r="A220" s="267" t="s">
        <v>479</v>
      </c>
      <c r="B220" s="268"/>
      <c r="C220" s="268"/>
      <c r="D220" s="268"/>
      <c r="E220" s="268"/>
      <c r="F220" s="268"/>
      <c r="G220" s="268"/>
      <c r="H220" s="268"/>
      <c r="I220" s="268"/>
      <c r="J220" s="268"/>
      <c r="K220" s="268"/>
      <c r="L220" s="268"/>
      <c r="M220" s="268"/>
      <c r="N220" s="269"/>
    </row>
    <row r="221" spans="1:16" customFormat="1" ht="15.75" customHeight="1" x14ac:dyDescent="0.25">
      <c r="A221" s="169" t="s">
        <v>95</v>
      </c>
      <c r="B221" s="170"/>
      <c r="C221" s="170"/>
      <c r="D221" s="171"/>
      <c r="E221" s="275" t="s">
        <v>236</v>
      </c>
      <c r="F221" s="276"/>
      <c r="G221" s="276"/>
      <c r="H221" s="277"/>
      <c r="I221" s="250" t="s">
        <v>237</v>
      </c>
      <c r="J221" s="251"/>
      <c r="K221" s="252"/>
      <c r="L221" s="169" t="s">
        <v>432</v>
      </c>
      <c r="M221" s="170"/>
      <c r="N221" s="171"/>
    </row>
    <row r="222" spans="1:16" customFormat="1" ht="15" customHeight="1" x14ac:dyDescent="0.25">
      <c r="A222" s="194" t="s">
        <v>434</v>
      </c>
      <c r="B222" s="194"/>
      <c r="C222" s="194"/>
      <c r="D222" s="194"/>
      <c r="E222" s="180">
        <f>COUNT(E292:E303)+COUNT(E305:E316)+COUNT(E317:E328)+COUNT(E329:E340)+COUNT(E341:E352)+COUNT(E353:E364)+COUNT(E366:E377)+COUNT(E378:E389)+COUNT(E390:E401)+COUNT(E402:E413)+COUNT(E414:E425)</f>
        <v>132</v>
      </c>
      <c r="F222" s="181"/>
      <c r="G222" s="181"/>
      <c r="H222" s="182"/>
      <c r="I222" s="175">
        <f>SUM(G292:G303)+SUM(G305:G316)+SUM(G317:G328)+SUM(G329:G340)+SUM(G341:G352)+SUM(G353:G364)+SUM(G366:G377)+SUM(G378:G389)+SUM(G390:G401)+SUM(G402:G413)+SUM(G414:G425)</f>
        <v>55962.466560000015</v>
      </c>
      <c r="J222" s="176"/>
      <c r="K222" s="177"/>
      <c r="L222" s="175">
        <f>SUM(H292:H303)+SUM(H305:H316)+SUM(H317:H328)+SUM(H329:H340)+SUM(H341:H352)+SUM(H353:H364)+SUM(H366:H377)+SUM(H378:H389)+SUM(H390:H401)+SUM(H402:H413)+SUM(H414:H425)</f>
        <v>67154.959871999992</v>
      </c>
      <c r="M222" s="176"/>
      <c r="N222" s="177"/>
    </row>
    <row r="223" spans="1:16" customFormat="1" ht="15" customHeight="1" x14ac:dyDescent="0.25">
      <c r="A223" s="169" t="s">
        <v>238</v>
      </c>
      <c r="B223" s="170"/>
      <c r="C223" s="170"/>
      <c r="D223" s="171"/>
      <c r="E223" s="272">
        <f>SUM(E222:E222)</f>
        <v>132</v>
      </c>
      <c r="F223" s="273"/>
      <c r="G223" s="273"/>
      <c r="H223" s="274"/>
      <c r="I223" s="367">
        <f>SUM(I222:I222)</f>
        <v>55962.466560000015</v>
      </c>
      <c r="J223" s="368"/>
      <c r="K223" s="369"/>
      <c r="L223" s="169">
        <f>SUM(L222:L222)</f>
        <v>67154.959871999992</v>
      </c>
      <c r="M223" s="170"/>
      <c r="N223" s="171"/>
    </row>
    <row r="224" spans="1:16" customFormat="1" ht="15.75" customHeight="1" x14ac:dyDescent="0.25">
      <c r="A224" s="267" t="s">
        <v>480</v>
      </c>
      <c r="B224" s="268"/>
      <c r="C224" s="268"/>
      <c r="D224" s="268"/>
      <c r="E224" s="268"/>
      <c r="F224" s="268"/>
      <c r="G224" s="268"/>
      <c r="H224" s="268"/>
      <c r="I224" s="268"/>
      <c r="J224" s="268"/>
      <c r="K224" s="268"/>
      <c r="L224" s="268"/>
      <c r="M224" s="268"/>
      <c r="N224" s="269"/>
    </row>
    <row r="225" spans="1:16" customFormat="1" ht="15.75" customHeight="1" x14ac:dyDescent="0.25">
      <c r="A225" s="169" t="s">
        <v>95</v>
      </c>
      <c r="B225" s="170"/>
      <c r="C225" s="170"/>
      <c r="D225" s="171"/>
      <c r="E225" s="275" t="s">
        <v>236</v>
      </c>
      <c r="F225" s="276"/>
      <c r="G225" s="276"/>
      <c r="H225" s="277"/>
      <c r="I225" s="250" t="s">
        <v>237</v>
      </c>
      <c r="J225" s="251"/>
      <c r="K225" s="252"/>
      <c r="L225" s="169" t="s">
        <v>432</v>
      </c>
      <c r="M225" s="170"/>
      <c r="N225" s="171"/>
    </row>
    <row r="226" spans="1:16" customFormat="1" ht="15" customHeight="1" x14ac:dyDescent="0.25">
      <c r="A226" s="194" t="s">
        <v>434</v>
      </c>
      <c r="B226" s="194"/>
      <c r="C226" s="194"/>
      <c r="D226" s="194"/>
      <c r="E226" s="180">
        <f>COUNT(E472:E483)+COUNT(E484:E495)+COUNT(E496:E507)+COUNT(E508:E519)+COUNT(E520:E531)+COUNT(E532:E543)+COUNT(E544:E555)</f>
        <v>84</v>
      </c>
      <c r="F226" s="181"/>
      <c r="G226" s="181"/>
      <c r="H226" s="182"/>
      <c r="I226" s="175">
        <f>SUM(G472:G483)+SUM(G484:G495)+SUM(G496:G507)+SUM(G508:G519)+SUM(G520:G531)+SUM(G532:G543)+SUM(G544:G555)</f>
        <v>35612.478719999999</v>
      </c>
      <c r="J226" s="176"/>
      <c r="K226" s="177"/>
      <c r="L226" s="175">
        <f>SUM(H472:H483)+SUM(H484:H495)+SUM(H496:H507)+SUM(H508:H519)+SUM(H520:H531)+SUM(H532:H543)+SUM(H544:H555)</f>
        <v>42734.974463999984</v>
      </c>
      <c r="M226" s="176"/>
      <c r="N226" s="177"/>
    </row>
    <row r="227" spans="1:16" customFormat="1" ht="15" customHeight="1" thickBot="1" x14ac:dyDescent="0.3">
      <c r="A227" s="151" t="s">
        <v>238</v>
      </c>
      <c r="B227" s="152"/>
      <c r="C227" s="152"/>
      <c r="D227" s="153"/>
      <c r="E227" s="157">
        <f>SUM(E226:E226)</f>
        <v>84</v>
      </c>
      <c r="F227" s="158"/>
      <c r="G227" s="158"/>
      <c r="H227" s="159"/>
      <c r="I227" s="370">
        <f>SUM(I226:I226)</f>
        <v>35612.478719999999</v>
      </c>
      <c r="J227" s="371"/>
      <c r="K227" s="372"/>
      <c r="L227" s="151">
        <f>SUM(L226:L226)</f>
        <v>42734.974463999984</v>
      </c>
      <c r="M227" s="152"/>
      <c r="N227" s="153"/>
    </row>
    <row r="228" spans="1:16" customFormat="1" ht="16.5" customHeight="1" thickBot="1" x14ac:dyDescent="0.3">
      <c r="A228" s="154" t="s">
        <v>239</v>
      </c>
      <c r="B228" s="155"/>
      <c r="C228" s="155"/>
      <c r="D228" s="156"/>
      <c r="E228" s="160">
        <f>E219+E223+E227</f>
        <v>234</v>
      </c>
      <c r="F228" s="161"/>
      <c r="G228" s="161"/>
      <c r="H228" s="162"/>
      <c r="I228" s="373">
        <f>I219+I223+I227</f>
        <v>96588.385920000015</v>
      </c>
      <c r="J228" s="374"/>
      <c r="K228" s="375"/>
      <c r="L228" s="373">
        <f>L219+L223+L227</f>
        <v>117660.76732799997</v>
      </c>
      <c r="M228" s="374"/>
      <c r="N228" s="376"/>
    </row>
    <row r="229" spans="1:16" ht="31.5" customHeight="1" x14ac:dyDescent="0.25">
      <c r="A229" s="139" t="s">
        <v>6</v>
      </c>
      <c r="B229" s="259" t="s">
        <v>11</v>
      </c>
      <c r="C229" s="259"/>
      <c r="D229" s="259"/>
      <c r="E229" s="259"/>
      <c r="F229" s="259"/>
      <c r="G229" s="259"/>
      <c r="H229" s="259"/>
      <c r="I229" s="259" t="s">
        <v>12</v>
      </c>
      <c r="J229" s="259"/>
      <c r="K229" s="259"/>
      <c r="L229" s="259"/>
      <c r="M229" s="259"/>
      <c r="N229" s="259"/>
    </row>
    <row r="230" spans="1:16" ht="15.75" x14ac:dyDescent="0.25">
      <c r="A230" s="477" t="s">
        <v>240</v>
      </c>
      <c r="B230" s="478"/>
      <c r="C230" s="478"/>
      <c r="D230" s="478"/>
      <c r="E230" s="478"/>
      <c r="F230" s="478"/>
      <c r="G230" s="478"/>
      <c r="H230" s="478"/>
      <c r="I230" s="478"/>
      <c r="J230" s="478"/>
      <c r="K230" s="478"/>
      <c r="L230" s="478"/>
      <c r="M230" s="478"/>
      <c r="N230" s="479"/>
    </row>
    <row r="231" spans="1:16" ht="15.75" x14ac:dyDescent="0.25">
      <c r="A231" s="450" t="s">
        <v>415</v>
      </c>
      <c r="B231" s="451"/>
      <c r="C231" s="451"/>
      <c r="D231" s="451"/>
      <c r="E231" s="451"/>
      <c r="F231" s="451"/>
      <c r="G231" s="451"/>
      <c r="H231" s="451"/>
      <c r="I231" s="451"/>
      <c r="J231" s="451"/>
      <c r="K231" s="451"/>
      <c r="L231" s="451"/>
      <c r="M231" s="451"/>
      <c r="N231" s="452"/>
    </row>
    <row r="232" spans="1:16" customFormat="1" ht="27" customHeight="1" x14ac:dyDescent="0.25">
      <c r="A232" s="234" t="s">
        <v>67</v>
      </c>
      <c r="B232" s="234" t="s">
        <v>68</v>
      </c>
      <c r="C232" s="234" t="s">
        <v>69</v>
      </c>
      <c r="D232" s="234" t="s">
        <v>70</v>
      </c>
      <c r="E232" s="234" t="s">
        <v>83</v>
      </c>
      <c r="F232" s="234" t="s">
        <v>622</v>
      </c>
      <c r="G232" s="234" t="s">
        <v>629</v>
      </c>
      <c r="H232" s="253" t="s">
        <v>628</v>
      </c>
      <c r="I232" s="234" t="s">
        <v>621</v>
      </c>
      <c r="J232" s="234" t="s">
        <v>244</v>
      </c>
      <c r="K232" s="234" t="s">
        <v>598</v>
      </c>
      <c r="L232" s="253"/>
      <c r="M232" s="474"/>
      <c r="N232" s="234"/>
    </row>
    <row r="233" spans="1:16" customFormat="1" ht="38.25" customHeight="1" x14ac:dyDescent="0.25">
      <c r="A233" s="235"/>
      <c r="B233" s="235"/>
      <c r="C233" s="235"/>
      <c r="D233" s="235"/>
      <c r="E233" s="235"/>
      <c r="F233" s="235"/>
      <c r="G233" s="235"/>
      <c r="H233" s="254"/>
      <c r="I233" s="235"/>
      <c r="J233" s="235"/>
      <c r="K233" s="236"/>
      <c r="L233" s="254"/>
      <c r="M233" s="475"/>
      <c r="N233" s="235"/>
    </row>
    <row r="234" spans="1:16" customFormat="1" x14ac:dyDescent="0.25">
      <c r="A234" s="236"/>
      <c r="B234" s="236"/>
      <c r="C234" s="236"/>
      <c r="D234" s="236"/>
      <c r="E234" s="236"/>
      <c r="F234" s="236"/>
      <c r="G234" s="236"/>
      <c r="H234" s="255"/>
      <c r="I234" s="236"/>
      <c r="J234" s="236"/>
      <c r="K234" s="145">
        <v>2500</v>
      </c>
      <c r="L234" s="255"/>
      <c r="M234" s="476"/>
      <c r="N234" s="236"/>
    </row>
    <row r="235" spans="1:16" customFormat="1" x14ac:dyDescent="0.25">
      <c r="A235" s="256" t="s">
        <v>658</v>
      </c>
      <c r="B235" s="257"/>
      <c r="C235" s="257"/>
      <c r="D235" s="257"/>
      <c r="E235" s="257"/>
      <c r="F235" s="257"/>
      <c r="G235" s="257"/>
      <c r="H235" s="257"/>
      <c r="I235" s="257"/>
      <c r="J235" s="257"/>
      <c r="K235" s="257"/>
      <c r="L235" s="257"/>
      <c r="M235" s="257"/>
      <c r="N235" s="258"/>
    </row>
    <row r="236" spans="1:16" customFormat="1" ht="15" customHeight="1" x14ac:dyDescent="0.25">
      <c r="A236" s="13">
        <v>1</v>
      </c>
      <c r="B236" s="447" t="s">
        <v>614</v>
      </c>
      <c r="C236" s="135">
        <v>1</v>
      </c>
      <c r="D236" s="52" t="s">
        <v>413</v>
      </c>
      <c r="E236" s="60">
        <f>(24.34)*(10.764)</f>
        <v>261.99575999999996</v>
      </c>
      <c r="F236" s="52">
        <v>0</v>
      </c>
      <c r="G236" s="52">
        <v>0</v>
      </c>
      <c r="H236" s="52">
        <v>0</v>
      </c>
      <c r="I236" s="60">
        <f>E236+(IF(F236&lt;201,F236,IF(F236&lt;301,F236/2,F236/3)))+(IF(G236&lt;201,G236,IF(G236&lt;301,G236/2,G236/3)))+(IF(H236&lt;201,H236,IF(H236&lt;301,H236/2,H236/3)))</f>
        <v>261.99575999999996</v>
      </c>
      <c r="J236" s="32">
        <f>I236*1.55</f>
        <v>406.09342799999996</v>
      </c>
      <c r="K236" s="32">
        <f>J236*K$234</f>
        <v>1015233.57</v>
      </c>
      <c r="L236" s="32"/>
      <c r="M236" s="13" t="s">
        <v>171</v>
      </c>
      <c r="N236" s="136" t="s">
        <v>171</v>
      </c>
      <c r="O236" s="144">
        <f>4.98*4.7</f>
        <v>23.406000000000002</v>
      </c>
      <c r="P236" s="60">
        <f>10.764</f>
        <v>10.763999999999999</v>
      </c>
    </row>
    <row r="237" spans="1:16" customFormat="1" x14ac:dyDescent="0.25">
      <c r="A237" s="13">
        <f>A236+1</f>
        <v>2</v>
      </c>
      <c r="B237" s="448"/>
      <c r="C237" s="135">
        <f>C236+1</f>
        <v>2</v>
      </c>
      <c r="D237" s="52" t="s">
        <v>413</v>
      </c>
      <c r="E237" s="60">
        <f>(16.03)*(10.764)</f>
        <v>172.54692</v>
      </c>
      <c r="F237" s="52">
        <v>0</v>
      </c>
      <c r="G237" s="52">
        <v>0</v>
      </c>
      <c r="H237" s="52">
        <v>0</v>
      </c>
      <c r="I237" s="60">
        <f t="shared" ref="I237:I262" si="0">E237+(IF(F237&lt;201,F237,IF(F237&lt;301,F237/2,F237/3)))+(IF(G237&lt;201,G237,IF(G237&lt;301,G237/2,G237/3)))+(IF(H237&lt;201,H237,IF(H237&lt;301,H237/2,H237/3)))</f>
        <v>172.54692</v>
      </c>
      <c r="J237" s="32">
        <f t="shared" ref="J237:J253" si="1">I237*1.55</f>
        <v>267.44772599999999</v>
      </c>
      <c r="K237" s="32">
        <f t="shared" ref="K237:K262" si="2">J237*K$234</f>
        <v>668619.31499999994</v>
      </c>
      <c r="L237" s="32"/>
      <c r="M237" s="13" t="s">
        <v>171</v>
      </c>
      <c r="N237" s="136" t="s">
        <v>171</v>
      </c>
    </row>
    <row r="238" spans="1:16" customFormat="1" x14ac:dyDescent="0.25">
      <c r="A238" s="13">
        <f t="shared" ref="A238:A261" si="3">A237+1</f>
        <v>3</v>
      </c>
      <c r="B238" s="448"/>
      <c r="C238" s="135">
        <f t="shared" ref="C238:C253" si="4">C237+1</f>
        <v>3</v>
      </c>
      <c r="D238" s="52" t="s">
        <v>413</v>
      </c>
      <c r="E238" s="60">
        <f>(23.86)*(10.764)</f>
        <v>256.82903999999996</v>
      </c>
      <c r="F238" s="52">
        <v>0</v>
      </c>
      <c r="G238" s="52">
        <v>0</v>
      </c>
      <c r="H238" s="52">
        <v>0</v>
      </c>
      <c r="I238" s="60">
        <f t="shared" si="0"/>
        <v>256.82903999999996</v>
      </c>
      <c r="J238" s="32">
        <f t="shared" si="1"/>
        <v>398.08501199999995</v>
      </c>
      <c r="K238" s="32">
        <f t="shared" si="2"/>
        <v>995212.52999999991</v>
      </c>
      <c r="L238" s="32"/>
      <c r="M238" s="13" t="s">
        <v>171</v>
      </c>
      <c r="N238" s="136" t="s">
        <v>171</v>
      </c>
    </row>
    <row r="239" spans="1:16" customFormat="1" x14ac:dyDescent="0.25">
      <c r="A239" s="13">
        <f t="shared" si="3"/>
        <v>4</v>
      </c>
      <c r="B239" s="448"/>
      <c r="C239" s="135">
        <f t="shared" si="4"/>
        <v>4</v>
      </c>
      <c r="D239" s="52" t="s">
        <v>413</v>
      </c>
      <c r="E239" s="60">
        <f>(25.78)*(10.764)</f>
        <v>277.49592000000001</v>
      </c>
      <c r="F239" s="52">
        <v>0</v>
      </c>
      <c r="G239" s="52">
        <v>0</v>
      </c>
      <c r="H239" s="52">
        <v>0</v>
      </c>
      <c r="I239" s="60">
        <f t="shared" si="0"/>
        <v>277.49592000000001</v>
      </c>
      <c r="J239" s="32">
        <f t="shared" si="1"/>
        <v>430.11867600000005</v>
      </c>
      <c r="K239" s="32">
        <f t="shared" si="2"/>
        <v>1075296.6900000002</v>
      </c>
      <c r="L239" s="32"/>
      <c r="M239" s="13" t="s">
        <v>171</v>
      </c>
      <c r="N239" s="136" t="s">
        <v>171</v>
      </c>
    </row>
    <row r="240" spans="1:16" customFormat="1" x14ac:dyDescent="0.25">
      <c r="A240" s="13">
        <f t="shared" si="3"/>
        <v>5</v>
      </c>
      <c r="B240" s="448"/>
      <c r="C240" s="135">
        <f t="shared" si="4"/>
        <v>5</v>
      </c>
      <c r="D240" s="52" t="s">
        <v>413</v>
      </c>
      <c r="E240" s="60">
        <f>(34.22)*(10.764)</f>
        <v>368.34407999999996</v>
      </c>
      <c r="F240" s="52">
        <v>0</v>
      </c>
      <c r="G240" s="52">
        <v>0</v>
      </c>
      <c r="H240" s="52">
        <v>0</v>
      </c>
      <c r="I240" s="60">
        <f t="shared" si="0"/>
        <v>368.34407999999996</v>
      </c>
      <c r="J240" s="32">
        <f t="shared" si="1"/>
        <v>570.93332399999997</v>
      </c>
      <c r="K240" s="32">
        <f>J240*K$234</f>
        <v>1427333.3099999998</v>
      </c>
      <c r="L240" s="32"/>
      <c r="M240" s="13" t="s">
        <v>171</v>
      </c>
      <c r="N240" s="136" t="s">
        <v>171</v>
      </c>
      <c r="O240" s="144">
        <f>10.05*3.41</f>
        <v>34.270500000000006</v>
      </c>
    </row>
    <row r="241" spans="1:16" customFormat="1" x14ac:dyDescent="0.25">
      <c r="A241" s="13">
        <f t="shared" si="3"/>
        <v>6</v>
      </c>
      <c r="B241" s="448"/>
      <c r="C241" s="135">
        <f t="shared" si="4"/>
        <v>6</v>
      </c>
      <c r="D241" s="52" t="s">
        <v>413</v>
      </c>
      <c r="E241" s="60">
        <f>(26.77)*(10.764)</f>
        <v>288.15227999999996</v>
      </c>
      <c r="F241" s="52">
        <v>0</v>
      </c>
      <c r="G241" s="52">
        <v>0</v>
      </c>
      <c r="H241" s="52">
        <v>0</v>
      </c>
      <c r="I241" s="60">
        <f t="shared" si="0"/>
        <v>288.15227999999996</v>
      </c>
      <c r="J241" s="32">
        <f t="shared" si="1"/>
        <v>446.63603399999994</v>
      </c>
      <c r="K241" s="32">
        <f t="shared" si="2"/>
        <v>1116590.0849999997</v>
      </c>
      <c r="L241" s="32"/>
      <c r="M241" s="13" t="s">
        <v>171</v>
      </c>
      <c r="N241" s="136" t="s">
        <v>171</v>
      </c>
    </row>
    <row r="242" spans="1:16" customFormat="1" x14ac:dyDescent="0.25">
      <c r="A242" s="13">
        <f t="shared" si="3"/>
        <v>7</v>
      </c>
      <c r="B242" s="448"/>
      <c r="C242" s="135">
        <f t="shared" si="4"/>
        <v>7</v>
      </c>
      <c r="D242" s="52" t="s">
        <v>413</v>
      </c>
      <c r="E242" s="60">
        <f>(32.28)*(10.764)</f>
        <v>347.46191999999996</v>
      </c>
      <c r="F242" s="52">
        <v>0</v>
      </c>
      <c r="G242" s="52">
        <v>0</v>
      </c>
      <c r="H242" s="52">
        <v>0</v>
      </c>
      <c r="I242" s="60">
        <f t="shared" si="0"/>
        <v>347.46191999999996</v>
      </c>
      <c r="J242" s="32">
        <f t="shared" si="1"/>
        <v>538.56597599999998</v>
      </c>
      <c r="K242" s="32">
        <f t="shared" si="2"/>
        <v>1346414.94</v>
      </c>
      <c r="L242" s="32"/>
      <c r="M242" s="13" t="s">
        <v>171</v>
      </c>
      <c r="N242" s="136" t="s">
        <v>171</v>
      </c>
    </row>
    <row r="243" spans="1:16" customFormat="1" x14ac:dyDescent="0.25">
      <c r="A243" s="13">
        <f t="shared" si="3"/>
        <v>8</v>
      </c>
      <c r="B243" s="448"/>
      <c r="C243" s="135">
        <f t="shared" si="4"/>
        <v>8</v>
      </c>
      <c r="D243" s="52" t="s">
        <v>413</v>
      </c>
      <c r="E243" s="60">
        <f>(20.73)*(10.764)</f>
        <v>223.13772</v>
      </c>
      <c r="F243" s="52">
        <v>0</v>
      </c>
      <c r="G243" s="52">
        <v>0</v>
      </c>
      <c r="H243" s="52">
        <v>0</v>
      </c>
      <c r="I243" s="60">
        <f t="shared" si="0"/>
        <v>223.13772</v>
      </c>
      <c r="J243" s="32">
        <f t="shared" si="1"/>
        <v>345.86346600000002</v>
      </c>
      <c r="K243" s="32">
        <f t="shared" si="2"/>
        <v>864658.66500000004</v>
      </c>
      <c r="L243" s="32"/>
      <c r="M243" s="13" t="s">
        <v>171</v>
      </c>
      <c r="N243" s="136" t="s">
        <v>171</v>
      </c>
    </row>
    <row r="244" spans="1:16" customFormat="1" x14ac:dyDescent="0.25">
      <c r="A244" s="13">
        <f t="shared" si="3"/>
        <v>9</v>
      </c>
      <c r="B244" s="448"/>
      <c r="C244" s="135">
        <f t="shared" si="4"/>
        <v>9</v>
      </c>
      <c r="D244" s="52" t="s">
        <v>413</v>
      </c>
      <c r="E244" s="60">
        <f>(21.1)*(10.764)</f>
        <v>227.12039999999999</v>
      </c>
      <c r="F244" s="52">
        <v>0</v>
      </c>
      <c r="G244" s="52">
        <v>0</v>
      </c>
      <c r="H244" s="52">
        <v>0</v>
      </c>
      <c r="I244" s="60">
        <f t="shared" si="0"/>
        <v>227.12039999999999</v>
      </c>
      <c r="J244" s="32">
        <f t="shared" si="1"/>
        <v>352.03661999999997</v>
      </c>
      <c r="K244" s="32">
        <f t="shared" si="2"/>
        <v>880091.54999999993</v>
      </c>
      <c r="L244" s="32"/>
      <c r="M244" s="13" t="s">
        <v>171</v>
      </c>
      <c r="N244" s="136" t="s">
        <v>171</v>
      </c>
    </row>
    <row r="245" spans="1:16" customFormat="1" x14ac:dyDescent="0.25">
      <c r="A245" s="13">
        <f t="shared" si="3"/>
        <v>10</v>
      </c>
      <c r="B245" s="448"/>
      <c r="C245" s="135">
        <f t="shared" si="4"/>
        <v>10</v>
      </c>
      <c r="D245" s="52" t="s">
        <v>413</v>
      </c>
      <c r="E245" s="60">
        <f>(21.2)*(10.764)</f>
        <v>228.19679999999997</v>
      </c>
      <c r="F245" s="52">
        <v>0</v>
      </c>
      <c r="G245" s="52">
        <v>0</v>
      </c>
      <c r="H245" s="52">
        <v>0</v>
      </c>
      <c r="I245" s="60">
        <f t="shared" si="0"/>
        <v>228.19679999999997</v>
      </c>
      <c r="J245" s="32">
        <f t="shared" si="1"/>
        <v>353.70503999999994</v>
      </c>
      <c r="K245" s="32">
        <f t="shared" si="2"/>
        <v>884262.59999999986</v>
      </c>
      <c r="L245" s="32"/>
      <c r="M245" s="13" t="s">
        <v>171</v>
      </c>
      <c r="N245" s="136" t="s">
        <v>171</v>
      </c>
    </row>
    <row r="246" spans="1:16" customFormat="1" x14ac:dyDescent="0.25">
      <c r="A246" s="13">
        <f t="shared" si="3"/>
        <v>11</v>
      </c>
      <c r="B246" s="448"/>
      <c r="C246" s="135">
        <f t="shared" si="4"/>
        <v>11</v>
      </c>
      <c r="D246" s="52" t="s">
        <v>413</v>
      </c>
      <c r="E246" s="60">
        <f>(26.55)*(10.764)</f>
        <v>285.7842</v>
      </c>
      <c r="F246" s="52">
        <v>0</v>
      </c>
      <c r="G246" s="52">
        <v>0</v>
      </c>
      <c r="H246" s="52">
        <v>0</v>
      </c>
      <c r="I246" s="60">
        <f t="shared" si="0"/>
        <v>285.7842</v>
      </c>
      <c r="J246" s="32">
        <f t="shared" si="1"/>
        <v>442.96550999999999</v>
      </c>
      <c r="K246" s="32">
        <f t="shared" si="2"/>
        <v>1107413.7749999999</v>
      </c>
      <c r="L246" s="32"/>
      <c r="M246" s="13" t="s">
        <v>171</v>
      </c>
      <c r="N246" s="136" t="s">
        <v>171</v>
      </c>
    </row>
    <row r="247" spans="1:16" customFormat="1" x14ac:dyDescent="0.25">
      <c r="A247" s="13">
        <f t="shared" si="3"/>
        <v>12</v>
      </c>
      <c r="B247" s="448"/>
      <c r="C247" s="135">
        <f t="shared" si="4"/>
        <v>12</v>
      </c>
      <c r="D247" s="52" t="s">
        <v>413</v>
      </c>
      <c r="E247" s="60">
        <f>(27.81)*(10.764)</f>
        <v>299.34683999999999</v>
      </c>
      <c r="F247" s="52">
        <v>0</v>
      </c>
      <c r="G247" s="52">
        <v>0</v>
      </c>
      <c r="H247" s="52">
        <v>0</v>
      </c>
      <c r="I247" s="60">
        <f t="shared" si="0"/>
        <v>299.34683999999999</v>
      </c>
      <c r="J247" s="32">
        <f t="shared" si="1"/>
        <v>463.98760199999998</v>
      </c>
      <c r="K247" s="32">
        <f t="shared" si="2"/>
        <v>1159969.0049999999</v>
      </c>
      <c r="L247" s="32"/>
      <c r="M247" s="13" t="s">
        <v>171</v>
      </c>
      <c r="N247" s="136" t="s">
        <v>171</v>
      </c>
    </row>
    <row r="248" spans="1:16" customFormat="1" x14ac:dyDescent="0.25">
      <c r="A248" s="13">
        <f t="shared" si="3"/>
        <v>13</v>
      </c>
      <c r="B248" s="448"/>
      <c r="C248" s="135">
        <f t="shared" si="4"/>
        <v>13</v>
      </c>
      <c r="D248" s="52" t="s">
        <v>413</v>
      </c>
      <c r="E248" s="60">
        <f>(29.13)*(10.764)</f>
        <v>313.55531999999999</v>
      </c>
      <c r="F248" s="52">
        <v>0</v>
      </c>
      <c r="G248" s="52">
        <v>0</v>
      </c>
      <c r="H248" s="52">
        <v>0</v>
      </c>
      <c r="I248" s="60">
        <f t="shared" si="0"/>
        <v>313.55531999999999</v>
      </c>
      <c r="J248" s="32">
        <f t="shared" si="1"/>
        <v>486.01074599999998</v>
      </c>
      <c r="K248" s="32">
        <f t="shared" si="2"/>
        <v>1215026.865</v>
      </c>
      <c r="L248" s="32"/>
      <c r="M248" s="13" t="s">
        <v>171</v>
      </c>
      <c r="N248" s="136" t="s">
        <v>171</v>
      </c>
    </row>
    <row r="249" spans="1:16" customFormat="1" x14ac:dyDescent="0.25">
      <c r="A249" s="13">
        <f t="shared" si="3"/>
        <v>14</v>
      </c>
      <c r="B249" s="448"/>
      <c r="C249" s="135">
        <f t="shared" si="4"/>
        <v>14</v>
      </c>
      <c r="D249" s="52" t="s">
        <v>413</v>
      </c>
      <c r="E249" s="60">
        <f>(30.46)*(10.764)</f>
        <v>327.87144000000001</v>
      </c>
      <c r="F249" s="52">
        <v>0</v>
      </c>
      <c r="G249" s="52">
        <v>0</v>
      </c>
      <c r="H249" s="52">
        <v>0</v>
      </c>
      <c r="I249" s="60">
        <f t="shared" si="0"/>
        <v>327.87144000000001</v>
      </c>
      <c r="J249" s="32">
        <f t="shared" si="1"/>
        <v>508.20073200000002</v>
      </c>
      <c r="K249" s="32">
        <f t="shared" si="2"/>
        <v>1270501.83</v>
      </c>
      <c r="L249" s="32"/>
      <c r="M249" s="13" t="s">
        <v>171</v>
      </c>
      <c r="N249" s="136" t="s">
        <v>171</v>
      </c>
    </row>
    <row r="250" spans="1:16" customFormat="1" x14ac:dyDescent="0.25">
      <c r="A250" s="13">
        <f t="shared" si="3"/>
        <v>15</v>
      </c>
      <c r="B250" s="448"/>
      <c r="C250" s="135">
        <f t="shared" si="4"/>
        <v>15</v>
      </c>
      <c r="D250" s="52" t="s">
        <v>413</v>
      </c>
      <c r="E250" s="60">
        <f>(25.44)*(10.764)</f>
        <v>273.83616000000001</v>
      </c>
      <c r="F250" s="52">
        <v>0</v>
      </c>
      <c r="G250" s="52">
        <v>0</v>
      </c>
      <c r="H250" s="52">
        <v>0</v>
      </c>
      <c r="I250" s="60">
        <f t="shared" si="0"/>
        <v>273.83616000000001</v>
      </c>
      <c r="J250" s="32">
        <f t="shared" si="1"/>
        <v>424.44604800000002</v>
      </c>
      <c r="K250" s="32">
        <f t="shared" si="2"/>
        <v>1061115.1200000001</v>
      </c>
      <c r="L250" s="32"/>
      <c r="M250" s="13" t="s">
        <v>171</v>
      </c>
      <c r="N250" s="136" t="s">
        <v>171</v>
      </c>
    </row>
    <row r="251" spans="1:16" customFormat="1" x14ac:dyDescent="0.25">
      <c r="A251" s="13">
        <f t="shared" si="3"/>
        <v>16</v>
      </c>
      <c r="B251" s="448"/>
      <c r="C251" s="135">
        <f t="shared" si="4"/>
        <v>16</v>
      </c>
      <c r="D251" s="52" t="s">
        <v>413</v>
      </c>
      <c r="E251" s="60">
        <f>(26.06)*(10.764)</f>
        <v>280.50984</v>
      </c>
      <c r="F251" s="52">
        <v>0</v>
      </c>
      <c r="G251" s="52">
        <v>0</v>
      </c>
      <c r="H251" s="52">
        <v>0</v>
      </c>
      <c r="I251" s="60">
        <f t="shared" si="0"/>
        <v>280.50984</v>
      </c>
      <c r="J251" s="32">
        <f t="shared" si="1"/>
        <v>434.79025200000001</v>
      </c>
      <c r="K251" s="32">
        <f t="shared" si="2"/>
        <v>1086975.6300000001</v>
      </c>
      <c r="L251" s="32"/>
      <c r="M251" s="13" t="s">
        <v>171</v>
      </c>
      <c r="N251" s="136" t="s">
        <v>171</v>
      </c>
    </row>
    <row r="252" spans="1:16" customFormat="1" x14ac:dyDescent="0.25">
      <c r="A252" s="13">
        <f t="shared" si="3"/>
        <v>17</v>
      </c>
      <c r="B252" s="448"/>
      <c r="C252" s="135">
        <f t="shared" si="4"/>
        <v>17</v>
      </c>
      <c r="D252" s="52" t="s">
        <v>413</v>
      </c>
      <c r="E252" s="60">
        <f>(26.69)*(10.764)</f>
        <v>287.29115999999999</v>
      </c>
      <c r="F252" s="52">
        <v>0</v>
      </c>
      <c r="G252" s="52">
        <v>0</v>
      </c>
      <c r="H252" s="52">
        <v>0</v>
      </c>
      <c r="I252" s="60">
        <f t="shared" si="0"/>
        <v>287.29115999999999</v>
      </c>
      <c r="J252" s="32">
        <f t="shared" si="1"/>
        <v>445.30129799999997</v>
      </c>
      <c r="K252" s="32">
        <f t="shared" si="2"/>
        <v>1113253.2449999999</v>
      </c>
      <c r="L252" s="32"/>
      <c r="M252" s="13" t="s">
        <v>171</v>
      </c>
      <c r="N252" s="136" t="s">
        <v>171</v>
      </c>
      <c r="P252">
        <f>62000/1.5</f>
        <v>41333.333333333336</v>
      </c>
    </row>
    <row r="253" spans="1:16" customFormat="1" x14ac:dyDescent="0.25">
      <c r="A253" s="13">
        <f t="shared" si="3"/>
        <v>18</v>
      </c>
      <c r="B253" s="449"/>
      <c r="C253" s="135">
        <f t="shared" si="4"/>
        <v>18</v>
      </c>
      <c r="D253" s="52" t="s">
        <v>413</v>
      </c>
      <c r="E253" s="60">
        <f>(27.31)*(10.764)</f>
        <v>293.96483999999998</v>
      </c>
      <c r="F253" s="52">
        <v>0</v>
      </c>
      <c r="G253" s="52">
        <v>0</v>
      </c>
      <c r="H253" s="52">
        <v>0</v>
      </c>
      <c r="I253" s="60">
        <f t="shared" si="0"/>
        <v>293.96483999999998</v>
      </c>
      <c r="J253" s="32">
        <f t="shared" si="1"/>
        <v>455.64550199999996</v>
      </c>
      <c r="K253" s="32">
        <f t="shared" si="2"/>
        <v>1139113.7549999999</v>
      </c>
      <c r="L253" s="32"/>
      <c r="M253" s="13" t="s">
        <v>171</v>
      </c>
      <c r="N253" s="136" t="s">
        <v>171</v>
      </c>
      <c r="O253">
        <f>9.93*2.75</f>
        <v>27.307499999999997</v>
      </c>
    </row>
    <row r="254" spans="1:16" customFormat="1" hidden="1" x14ac:dyDescent="0.25">
      <c r="A254" s="13">
        <f t="shared" si="3"/>
        <v>19</v>
      </c>
      <c r="B254" s="447" t="s">
        <v>614</v>
      </c>
      <c r="C254" s="135" t="s">
        <v>111</v>
      </c>
      <c r="D254" s="52" t="s">
        <v>413</v>
      </c>
      <c r="E254" s="52"/>
      <c r="F254" s="52"/>
      <c r="G254" s="52"/>
      <c r="H254" s="52"/>
      <c r="I254" s="60">
        <f t="shared" si="0"/>
        <v>0</v>
      </c>
      <c r="J254" s="32">
        <f t="shared" ref="J254:J262" si="5">I254*1.2</f>
        <v>0</v>
      </c>
      <c r="K254" s="32">
        <f t="shared" si="2"/>
        <v>0</v>
      </c>
      <c r="L254" s="32"/>
      <c r="M254" s="13" t="s">
        <v>171</v>
      </c>
      <c r="N254" s="136" t="s">
        <v>171</v>
      </c>
    </row>
    <row r="255" spans="1:16" customFormat="1" hidden="1" x14ac:dyDescent="0.25">
      <c r="A255" s="13">
        <f t="shared" si="3"/>
        <v>20</v>
      </c>
      <c r="B255" s="448"/>
      <c r="C255" s="135" t="s">
        <v>111</v>
      </c>
      <c r="D255" s="52" t="s">
        <v>413</v>
      </c>
      <c r="E255" s="52"/>
      <c r="F255" s="52"/>
      <c r="G255" s="52"/>
      <c r="H255" s="52"/>
      <c r="I255" s="60">
        <f t="shared" si="0"/>
        <v>0</v>
      </c>
      <c r="J255" s="32">
        <f t="shared" si="5"/>
        <v>0</v>
      </c>
      <c r="K255" s="32">
        <f t="shared" si="2"/>
        <v>0</v>
      </c>
      <c r="L255" s="32"/>
      <c r="M255" s="13" t="s">
        <v>171</v>
      </c>
      <c r="N255" s="136" t="s">
        <v>171</v>
      </c>
    </row>
    <row r="256" spans="1:16" customFormat="1" hidden="1" x14ac:dyDescent="0.25">
      <c r="A256" s="13">
        <f t="shared" si="3"/>
        <v>21</v>
      </c>
      <c r="B256" s="448"/>
      <c r="C256" s="135" t="s">
        <v>111</v>
      </c>
      <c r="D256" s="52" t="s">
        <v>413</v>
      </c>
      <c r="E256" s="52"/>
      <c r="F256" s="52"/>
      <c r="G256" s="52"/>
      <c r="H256" s="52"/>
      <c r="I256" s="60">
        <f t="shared" si="0"/>
        <v>0</v>
      </c>
      <c r="J256" s="32">
        <f t="shared" si="5"/>
        <v>0</v>
      </c>
      <c r="K256" s="32">
        <f t="shared" si="2"/>
        <v>0</v>
      </c>
      <c r="L256" s="32"/>
      <c r="M256" s="13" t="s">
        <v>171</v>
      </c>
      <c r="N256" s="136" t="s">
        <v>171</v>
      </c>
    </row>
    <row r="257" spans="1:14" customFormat="1" hidden="1" x14ac:dyDescent="0.25">
      <c r="A257" s="13">
        <f>A256+1</f>
        <v>22</v>
      </c>
      <c r="B257" s="448"/>
      <c r="C257" s="135" t="s">
        <v>111</v>
      </c>
      <c r="D257" s="52" t="s">
        <v>413</v>
      </c>
      <c r="E257" s="52"/>
      <c r="F257" s="52"/>
      <c r="G257" s="52"/>
      <c r="H257" s="52"/>
      <c r="I257" s="60">
        <f t="shared" si="0"/>
        <v>0</v>
      </c>
      <c r="J257" s="32">
        <f t="shared" si="5"/>
        <v>0</v>
      </c>
      <c r="K257" s="32">
        <f t="shared" si="2"/>
        <v>0</v>
      </c>
      <c r="L257" s="32"/>
      <c r="M257" s="13" t="s">
        <v>171</v>
      </c>
      <c r="N257" s="136" t="s">
        <v>171</v>
      </c>
    </row>
    <row r="258" spans="1:14" customFormat="1" hidden="1" x14ac:dyDescent="0.25">
      <c r="A258" s="13">
        <f t="shared" si="3"/>
        <v>23</v>
      </c>
      <c r="B258" s="448"/>
      <c r="C258" s="135" t="s">
        <v>111</v>
      </c>
      <c r="D258" s="52" t="s">
        <v>413</v>
      </c>
      <c r="E258" s="52"/>
      <c r="F258" s="52"/>
      <c r="G258" s="52"/>
      <c r="H258" s="52"/>
      <c r="I258" s="60">
        <f t="shared" si="0"/>
        <v>0</v>
      </c>
      <c r="J258" s="32">
        <f t="shared" si="5"/>
        <v>0</v>
      </c>
      <c r="K258" s="32">
        <f t="shared" si="2"/>
        <v>0</v>
      </c>
      <c r="L258" s="32"/>
      <c r="M258" s="13" t="s">
        <v>171</v>
      </c>
      <c r="N258" s="136" t="s">
        <v>171</v>
      </c>
    </row>
    <row r="259" spans="1:14" customFormat="1" hidden="1" x14ac:dyDescent="0.25">
      <c r="A259" s="13">
        <f t="shared" si="3"/>
        <v>24</v>
      </c>
      <c r="B259" s="448"/>
      <c r="C259" s="135" t="s">
        <v>111</v>
      </c>
      <c r="D259" s="52" t="s">
        <v>413</v>
      </c>
      <c r="E259" s="52"/>
      <c r="F259" s="52"/>
      <c r="G259" s="52"/>
      <c r="H259" s="52"/>
      <c r="I259" s="60">
        <f t="shared" si="0"/>
        <v>0</v>
      </c>
      <c r="J259" s="32">
        <f t="shared" si="5"/>
        <v>0</v>
      </c>
      <c r="K259" s="32">
        <f t="shared" si="2"/>
        <v>0</v>
      </c>
      <c r="L259" s="32"/>
      <c r="M259" s="13" t="s">
        <v>171</v>
      </c>
      <c r="N259" s="136" t="s">
        <v>171</v>
      </c>
    </row>
    <row r="260" spans="1:14" customFormat="1" hidden="1" x14ac:dyDescent="0.25">
      <c r="A260" s="13">
        <f t="shared" si="3"/>
        <v>25</v>
      </c>
      <c r="B260" s="448"/>
      <c r="C260" s="135" t="s">
        <v>111</v>
      </c>
      <c r="D260" s="52" t="s">
        <v>413</v>
      </c>
      <c r="E260" s="52"/>
      <c r="F260" s="52"/>
      <c r="G260" s="52"/>
      <c r="H260" s="52"/>
      <c r="I260" s="60">
        <f t="shared" si="0"/>
        <v>0</v>
      </c>
      <c r="J260" s="32">
        <f t="shared" si="5"/>
        <v>0</v>
      </c>
      <c r="K260" s="32">
        <f t="shared" si="2"/>
        <v>0</v>
      </c>
      <c r="L260" s="32"/>
      <c r="M260" s="13" t="s">
        <v>171</v>
      </c>
      <c r="N260" s="136" t="s">
        <v>171</v>
      </c>
    </row>
    <row r="261" spans="1:14" customFormat="1" hidden="1" x14ac:dyDescent="0.25">
      <c r="A261" s="13">
        <f t="shared" si="3"/>
        <v>26</v>
      </c>
      <c r="B261" s="448"/>
      <c r="C261" s="135" t="s">
        <v>111</v>
      </c>
      <c r="D261" s="52" t="s">
        <v>413</v>
      </c>
      <c r="E261" s="52"/>
      <c r="F261" s="52"/>
      <c r="G261" s="52"/>
      <c r="H261" s="52"/>
      <c r="I261" s="60">
        <f t="shared" si="0"/>
        <v>0</v>
      </c>
      <c r="J261" s="32">
        <f t="shared" si="5"/>
        <v>0</v>
      </c>
      <c r="K261" s="32">
        <f t="shared" si="2"/>
        <v>0</v>
      </c>
      <c r="L261" s="32"/>
      <c r="M261" s="13" t="s">
        <v>171</v>
      </c>
      <c r="N261" s="136" t="s">
        <v>171</v>
      </c>
    </row>
    <row r="262" spans="1:14" customFormat="1" hidden="1" x14ac:dyDescent="0.25">
      <c r="A262" s="13">
        <f>A261+1</f>
        <v>27</v>
      </c>
      <c r="B262" s="449"/>
      <c r="C262" s="135" t="s">
        <v>111</v>
      </c>
      <c r="D262" s="52" t="s">
        <v>413</v>
      </c>
      <c r="E262" s="52"/>
      <c r="F262" s="52"/>
      <c r="G262" s="52"/>
      <c r="H262" s="52"/>
      <c r="I262" s="60">
        <f t="shared" si="0"/>
        <v>0</v>
      </c>
      <c r="J262" s="32">
        <f t="shared" si="5"/>
        <v>0</v>
      </c>
      <c r="K262" s="32">
        <f t="shared" si="2"/>
        <v>0</v>
      </c>
      <c r="L262" s="32"/>
      <c r="M262" s="13" t="s">
        <v>171</v>
      </c>
      <c r="N262" s="136" t="s">
        <v>171</v>
      </c>
    </row>
    <row r="263" spans="1:14" customFormat="1" hidden="1" x14ac:dyDescent="0.25">
      <c r="A263" s="403" t="s">
        <v>414</v>
      </c>
      <c r="B263" s="403"/>
      <c r="C263" s="403"/>
      <c r="D263" s="403"/>
      <c r="E263" s="403"/>
      <c r="F263" s="403"/>
      <c r="G263" s="403"/>
      <c r="H263" s="403"/>
      <c r="I263" s="403"/>
      <c r="J263" s="403"/>
      <c r="K263" s="403"/>
      <c r="L263" s="403"/>
      <c r="M263" s="403"/>
      <c r="N263" s="403"/>
    </row>
    <row r="264" spans="1:14" customFormat="1" hidden="1" x14ac:dyDescent="0.25">
      <c r="A264" s="359" t="s">
        <v>412</v>
      </c>
      <c r="B264" s="359"/>
      <c r="C264" s="359"/>
      <c r="D264" s="359"/>
      <c r="E264" s="359"/>
      <c r="F264" s="359"/>
      <c r="G264" s="359"/>
      <c r="H264" s="359"/>
      <c r="I264" s="359"/>
      <c r="J264" s="359"/>
      <c r="K264" s="359"/>
      <c r="L264" s="359"/>
      <c r="M264" s="359"/>
      <c r="N264" s="359"/>
    </row>
    <row r="265" spans="1:14" customFormat="1" hidden="1" x14ac:dyDescent="0.25">
      <c r="A265" s="125">
        <f>A262+1</f>
        <v>28</v>
      </c>
      <c r="B265" s="480" t="s">
        <v>614</v>
      </c>
      <c r="C265" s="129" t="s">
        <v>112</v>
      </c>
      <c r="D265" s="126" t="s">
        <v>413</v>
      </c>
      <c r="E265" s="126"/>
      <c r="F265" s="126"/>
      <c r="G265" s="126"/>
      <c r="H265" s="126"/>
      <c r="I265" s="127">
        <f t="shared" ref="I265:I284" si="6">E265+(IF(F265&lt;201,F265,IF(F265&lt;301,F265/2,F265/3)))+(IF(G265&lt;201,G265,IF(G265&lt;301,G265/2,G265/3)))+(IF(H265&lt;201,H265,IF(H265&lt;301,H265/2,H265/3)))</f>
        <v>0</v>
      </c>
      <c r="J265" s="128">
        <f t="shared" ref="J265:J284" si="7">I265*1.2</f>
        <v>0</v>
      </c>
      <c r="K265" s="128">
        <f t="shared" ref="K265:K284" si="8">J265*K$234</f>
        <v>0</v>
      </c>
      <c r="L265" s="128"/>
      <c r="M265" s="125" t="s">
        <v>171</v>
      </c>
      <c r="N265" s="130" t="s">
        <v>171</v>
      </c>
    </row>
    <row r="266" spans="1:14" customFormat="1" hidden="1" x14ac:dyDescent="0.25">
      <c r="A266" s="125">
        <f t="shared" ref="A266:A276" si="9">A265+1</f>
        <v>29</v>
      </c>
      <c r="B266" s="481"/>
      <c r="C266" s="129" t="s">
        <v>112</v>
      </c>
      <c r="D266" s="126" t="s">
        <v>413</v>
      </c>
      <c r="E266" s="126"/>
      <c r="F266" s="126"/>
      <c r="G266" s="126"/>
      <c r="H266" s="126"/>
      <c r="I266" s="127">
        <f t="shared" si="6"/>
        <v>0</v>
      </c>
      <c r="J266" s="128">
        <f t="shared" si="7"/>
        <v>0</v>
      </c>
      <c r="K266" s="128">
        <f t="shared" si="8"/>
        <v>0</v>
      </c>
      <c r="L266" s="128"/>
      <c r="M266" s="125" t="s">
        <v>171</v>
      </c>
      <c r="N266" s="130" t="s">
        <v>171</v>
      </c>
    </row>
    <row r="267" spans="1:14" customFormat="1" hidden="1" x14ac:dyDescent="0.25">
      <c r="A267" s="125">
        <f t="shared" si="9"/>
        <v>30</v>
      </c>
      <c r="B267" s="481"/>
      <c r="C267" s="129" t="s">
        <v>112</v>
      </c>
      <c r="D267" s="126" t="s">
        <v>413</v>
      </c>
      <c r="E267" s="126"/>
      <c r="F267" s="126"/>
      <c r="G267" s="126"/>
      <c r="H267" s="126"/>
      <c r="I267" s="127">
        <f t="shared" si="6"/>
        <v>0</v>
      </c>
      <c r="J267" s="128">
        <f t="shared" si="7"/>
        <v>0</v>
      </c>
      <c r="K267" s="128">
        <f t="shared" si="8"/>
        <v>0</v>
      </c>
      <c r="L267" s="128"/>
      <c r="M267" s="125" t="s">
        <v>171</v>
      </c>
      <c r="N267" s="130" t="s">
        <v>171</v>
      </c>
    </row>
    <row r="268" spans="1:14" customFormat="1" hidden="1" x14ac:dyDescent="0.25">
      <c r="A268" s="125">
        <f t="shared" si="9"/>
        <v>31</v>
      </c>
      <c r="B268" s="481"/>
      <c r="C268" s="129" t="s">
        <v>112</v>
      </c>
      <c r="D268" s="126" t="s">
        <v>413</v>
      </c>
      <c r="E268" s="126"/>
      <c r="F268" s="126"/>
      <c r="G268" s="126"/>
      <c r="H268" s="126"/>
      <c r="I268" s="127">
        <f t="shared" si="6"/>
        <v>0</v>
      </c>
      <c r="J268" s="128">
        <f t="shared" si="7"/>
        <v>0</v>
      </c>
      <c r="K268" s="128">
        <f t="shared" si="8"/>
        <v>0</v>
      </c>
      <c r="L268" s="128"/>
      <c r="M268" s="125" t="s">
        <v>171</v>
      </c>
      <c r="N268" s="130" t="s">
        <v>171</v>
      </c>
    </row>
    <row r="269" spans="1:14" customFormat="1" hidden="1" x14ac:dyDescent="0.25">
      <c r="A269" s="125">
        <f t="shared" si="9"/>
        <v>32</v>
      </c>
      <c r="B269" s="481"/>
      <c r="C269" s="129" t="s">
        <v>112</v>
      </c>
      <c r="D269" s="126" t="s">
        <v>413</v>
      </c>
      <c r="E269" s="126"/>
      <c r="F269" s="126"/>
      <c r="G269" s="126"/>
      <c r="H269" s="126"/>
      <c r="I269" s="127">
        <f t="shared" si="6"/>
        <v>0</v>
      </c>
      <c r="J269" s="128">
        <f t="shared" si="7"/>
        <v>0</v>
      </c>
      <c r="K269" s="128">
        <f t="shared" si="8"/>
        <v>0</v>
      </c>
      <c r="L269" s="128"/>
      <c r="M269" s="125" t="s">
        <v>171</v>
      </c>
      <c r="N269" s="130" t="s">
        <v>171</v>
      </c>
    </row>
    <row r="270" spans="1:14" customFormat="1" hidden="1" x14ac:dyDescent="0.25">
      <c r="A270" s="125">
        <f t="shared" si="9"/>
        <v>33</v>
      </c>
      <c r="B270" s="481"/>
      <c r="C270" s="129" t="s">
        <v>112</v>
      </c>
      <c r="D270" s="126" t="s">
        <v>413</v>
      </c>
      <c r="E270" s="126"/>
      <c r="F270" s="126"/>
      <c r="G270" s="126"/>
      <c r="H270" s="126"/>
      <c r="I270" s="127">
        <f t="shared" si="6"/>
        <v>0</v>
      </c>
      <c r="J270" s="128">
        <f t="shared" si="7"/>
        <v>0</v>
      </c>
      <c r="K270" s="128">
        <f t="shared" si="8"/>
        <v>0</v>
      </c>
      <c r="L270" s="128"/>
      <c r="M270" s="125" t="s">
        <v>171</v>
      </c>
      <c r="N270" s="130" t="s">
        <v>171</v>
      </c>
    </row>
    <row r="271" spans="1:14" customFormat="1" hidden="1" x14ac:dyDescent="0.25">
      <c r="A271" s="125">
        <f t="shared" si="9"/>
        <v>34</v>
      </c>
      <c r="B271" s="481"/>
      <c r="C271" s="129" t="s">
        <v>112</v>
      </c>
      <c r="D271" s="126" t="s">
        <v>413</v>
      </c>
      <c r="E271" s="126"/>
      <c r="F271" s="126"/>
      <c r="G271" s="126"/>
      <c r="H271" s="126"/>
      <c r="I271" s="127">
        <f t="shared" si="6"/>
        <v>0</v>
      </c>
      <c r="J271" s="128">
        <f t="shared" si="7"/>
        <v>0</v>
      </c>
      <c r="K271" s="128">
        <f t="shared" si="8"/>
        <v>0</v>
      </c>
      <c r="L271" s="128"/>
      <c r="M271" s="125" t="s">
        <v>171</v>
      </c>
      <c r="N271" s="130" t="s">
        <v>171</v>
      </c>
    </row>
    <row r="272" spans="1:14" customFormat="1" hidden="1" x14ac:dyDescent="0.25">
      <c r="A272" s="125">
        <f t="shared" si="9"/>
        <v>35</v>
      </c>
      <c r="B272" s="481"/>
      <c r="C272" s="129" t="s">
        <v>112</v>
      </c>
      <c r="D272" s="126" t="s">
        <v>413</v>
      </c>
      <c r="E272" s="126"/>
      <c r="F272" s="126"/>
      <c r="G272" s="126"/>
      <c r="H272" s="126"/>
      <c r="I272" s="127">
        <f t="shared" si="6"/>
        <v>0</v>
      </c>
      <c r="J272" s="128">
        <f t="shared" si="7"/>
        <v>0</v>
      </c>
      <c r="K272" s="128">
        <f t="shared" si="8"/>
        <v>0</v>
      </c>
      <c r="L272" s="128"/>
      <c r="M272" s="125" t="s">
        <v>171</v>
      </c>
      <c r="N272" s="130" t="s">
        <v>171</v>
      </c>
    </row>
    <row r="273" spans="1:15" customFormat="1" hidden="1" x14ac:dyDescent="0.25">
      <c r="A273" s="125">
        <f t="shared" si="9"/>
        <v>36</v>
      </c>
      <c r="B273" s="482"/>
      <c r="C273" s="129" t="s">
        <v>112</v>
      </c>
      <c r="D273" s="126" t="s">
        <v>413</v>
      </c>
      <c r="E273" s="126"/>
      <c r="F273" s="126"/>
      <c r="G273" s="126"/>
      <c r="H273" s="126"/>
      <c r="I273" s="127">
        <f t="shared" si="6"/>
        <v>0</v>
      </c>
      <c r="J273" s="128">
        <f t="shared" si="7"/>
        <v>0</v>
      </c>
      <c r="K273" s="128">
        <f t="shared" si="8"/>
        <v>0</v>
      </c>
      <c r="L273" s="128"/>
      <c r="M273" s="125" t="s">
        <v>171</v>
      </c>
      <c r="N273" s="130" t="s">
        <v>171</v>
      </c>
    </row>
    <row r="274" spans="1:15" customFormat="1" ht="15" hidden="1" customHeight="1" x14ac:dyDescent="0.25">
      <c r="A274" s="125">
        <f t="shared" si="9"/>
        <v>37</v>
      </c>
      <c r="B274" s="480" t="s">
        <v>614</v>
      </c>
      <c r="C274" s="129" t="s">
        <v>112</v>
      </c>
      <c r="D274" s="126" t="s">
        <v>413</v>
      </c>
      <c r="E274" s="126"/>
      <c r="F274" s="126"/>
      <c r="G274" s="126"/>
      <c r="H274" s="126"/>
      <c r="I274" s="127">
        <f t="shared" si="6"/>
        <v>0</v>
      </c>
      <c r="J274" s="128">
        <f t="shared" si="7"/>
        <v>0</v>
      </c>
      <c r="K274" s="128">
        <f t="shared" si="8"/>
        <v>0</v>
      </c>
      <c r="L274" s="128"/>
      <c r="M274" s="125" t="s">
        <v>171</v>
      </c>
      <c r="N274" s="130" t="s">
        <v>171</v>
      </c>
    </row>
    <row r="275" spans="1:15" customFormat="1" hidden="1" x14ac:dyDescent="0.25">
      <c r="A275" s="125">
        <f t="shared" si="9"/>
        <v>38</v>
      </c>
      <c r="B275" s="481"/>
      <c r="C275" s="129" t="s">
        <v>112</v>
      </c>
      <c r="D275" s="126" t="s">
        <v>413</v>
      </c>
      <c r="E275" s="126"/>
      <c r="F275" s="126"/>
      <c r="G275" s="126"/>
      <c r="H275" s="126"/>
      <c r="I275" s="127">
        <f t="shared" si="6"/>
        <v>0</v>
      </c>
      <c r="J275" s="128">
        <f t="shared" si="7"/>
        <v>0</v>
      </c>
      <c r="K275" s="128">
        <f t="shared" si="8"/>
        <v>0</v>
      </c>
      <c r="L275" s="128"/>
      <c r="M275" s="125" t="s">
        <v>171</v>
      </c>
      <c r="N275" s="130" t="s">
        <v>171</v>
      </c>
    </row>
    <row r="276" spans="1:15" customFormat="1" hidden="1" x14ac:dyDescent="0.25">
      <c r="A276" s="125">
        <f t="shared" si="9"/>
        <v>39</v>
      </c>
      <c r="B276" s="481"/>
      <c r="C276" s="129" t="s">
        <v>112</v>
      </c>
      <c r="D276" s="126" t="s">
        <v>413</v>
      </c>
      <c r="E276" s="126"/>
      <c r="F276" s="126"/>
      <c r="G276" s="126"/>
      <c r="H276" s="126"/>
      <c r="I276" s="127">
        <f t="shared" si="6"/>
        <v>0</v>
      </c>
      <c r="J276" s="128">
        <f t="shared" si="7"/>
        <v>0</v>
      </c>
      <c r="K276" s="128">
        <f t="shared" si="8"/>
        <v>0</v>
      </c>
      <c r="L276" s="128"/>
      <c r="M276" s="125" t="s">
        <v>171</v>
      </c>
      <c r="N276" s="130" t="s">
        <v>171</v>
      </c>
    </row>
    <row r="277" spans="1:15" customFormat="1" hidden="1" x14ac:dyDescent="0.25">
      <c r="A277" s="125">
        <f>A276+1</f>
        <v>40</v>
      </c>
      <c r="B277" s="481"/>
      <c r="C277" s="129" t="s">
        <v>112</v>
      </c>
      <c r="D277" s="126" t="s">
        <v>413</v>
      </c>
      <c r="E277" s="126"/>
      <c r="F277" s="126"/>
      <c r="G277" s="126"/>
      <c r="H277" s="126"/>
      <c r="I277" s="127">
        <f t="shared" si="6"/>
        <v>0</v>
      </c>
      <c r="J277" s="128">
        <f t="shared" si="7"/>
        <v>0</v>
      </c>
      <c r="K277" s="128">
        <f t="shared" si="8"/>
        <v>0</v>
      </c>
      <c r="L277" s="128"/>
      <c r="M277" s="125" t="s">
        <v>171</v>
      </c>
      <c r="N277" s="130" t="s">
        <v>171</v>
      </c>
    </row>
    <row r="278" spans="1:15" customFormat="1" hidden="1" x14ac:dyDescent="0.25">
      <c r="A278" s="125">
        <f t="shared" ref="A278:A281" si="10">A277+1</f>
        <v>41</v>
      </c>
      <c r="B278" s="481"/>
      <c r="C278" s="129" t="s">
        <v>112</v>
      </c>
      <c r="D278" s="126" t="s">
        <v>413</v>
      </c>
      <c r="E278" s="126"/>
      <c r="F278" s="126"/>
      <c r="G278" s="126"/>
      <c r="H278" s="126"/>
      <c r="I278" s="127">
        <f t="shared" si="6"/>
        <v>0</v>
      </c>
      <c r="J278" s="128">
        <f t="shared" si="7"/>
        <v>0</v>
      </c>
      <c r="K278" s="128">
        <f t="shared" si="8"/>
        <v>0</v>
      </c>
      <c r="L278" s="128"/>
      <c r="M278" s="125" t="s">
        <v>171</v>
      </c>
      <c r="N278" s="130" t="s">
        <v>171</v>
      </c>
    </row>
    <row r="279" spans="1:15" customFormat="1" hidden="1" x14ac:dyDescent="0.25">
      <c r="A279" s="125">
        <f t="shared" si="10"/>
        <v>42</v>
      </c>
      <c r="B279" s="481"/>
      <c r="C279" s="129" t="s">
        <v>112</v>
      </c>
      <c r="D279" s="126" t="s">
        <v>413</v>
      </c>
      <c r="E279" s="126"/>
      <c r="F279" s="126"/>
      <c r="G279" s="126"/>
      <c r="H279" s="126"/>
      <c r="I279" s="127">
        <f t="shared" si="6"/>
        <v>0</v>
      </c>
      <c r="J279" s="128">
        <f t="shared" si="7"/>
        <v>0</v>
      </c>
      <c r="K279" s="128">
        <f t="shared" si="8"/>
        <v>0</v>
      </c>
      <c r="L279" s="128"/>
      <c r="M279" s="125" t="s">
        <v>171</v>
      </c>
      <c r="N279" s="130" t="s">
        <v>171</v>
      </c>
    </row>
    <row r="280" spans="1:15" customFormat="1" hidden="1" x14ac:dyDescent="0.25">
      <c r="A280" s="125">
        <f t="shared" si="10"/>
        <v>43</v>
      </c>
      <c r="B280" s="481"/>
      <c r="C280" s="129" t="s">
        <v>112</v>
      </c>
      <c r="D280" s="126" t="s">
        <v>413</v>
      </c>
      <c r="E280" s="126"/>
      <c r="F280" s="126"/>
      <c r="G280" s="126"/>
      <c r="H280" s="126"/>
      <c r="I280" s="127">
        <f t="shared" si="6"/>
        <v>0</v>
      </c>
      <c r="J280" s="128">
        <f t="shared" si="7"/>
        <v>0</v>
      </c>
      <c r="K280" s="128">
        <f t="shared" si="8"/>
        <v>0</v>
      </c>
      <c r="L280" s="128"/>
      <c r="M280" s="125" t="s">
        <v>171</v>
      </c>
      <c r="N280" s="130" t="s">
        <v>171</v>
      </c>
    </row>
    <row r="281" spans="1:15" customFormat="1" hidden="1" x14ac:dyDescent="0.25">
      <c r="A281" s="125">
        <f t="shared" si="10"/>
        <v>44</v>
      </c>
      <c r="B281" s="481"/>
      <c r="C281" s="129" t="s">
        <v>112</v>
      </c>
      <c r="D281" s="126" t="s">
        <v>413</v>
      </c>
      <c r="E281" s="126"/>
      <c r="F281" s="126"/>
      <c r="G281" s="126"/>
      <c r="H281" s="126"/>
      <c r="I281" s="127">
        <f t="shared" si="6"/>
        <v>0</v>
      </c>
      <c r="J281" s="128">
        <f t="shared" si="7"/>
        <v>0</v>
      </c>
      <c r="K281" s="128">
        <f t="shared" si="8"/>
        <v>0</v>
      </c>
      <c r="L281" s="128"/>
      <c r="M281" s="125" t="s">
        <v>171</v>
      </c>
      <c r="N281" s="130" t="s">
        <v>171</v>
      </c>
    </row>
    <row r="282" spans="1:15" customFormat="1" hidden="1" x14ac:dyDescent="0.25">
      <c r="A282" s="125">
        <f>A281+1</f>
        <v>45</v>
      </c>
      <c r="B282" s="481"/>
      <c r="C282" s="129" t="s">
        <v>112</v>
      </c>
      <c r="D282" s="126" t="s">
        <v>413</v>
      </c>
      <c r="E282" s="126"/>
      <c r="F282" s="126"/>
      <c r="G282" s="126"/>
      <c r="H282" s="126"/>
      <c r="I282" s="127">
        <f t="shared" si="6"/>
        <v>0</v>
      </c>
      <c r="J282" s="128">
        <f t="shared" si="7"/>
        <v>0</v>
      </c>
      <c r="K282" s="128">
        <f t="shared" si="8"/>
        <v>0</v>
      </c>
      <c r="L282" s="128"/>
      <c r="M282" s="125" t="s">
        <v>171</v>
      </c>
      <c r="N282" s="130" t="s">
        <v>171</v>
      </c>
    </row>
    <row r="283" spans="1:15" customFormat="1" hidden="1" x14ac:dyDescent="0.25">
      <c r="A283" s="125">
        <f t="shared" ref="A283" si="11">A282+1</f>
        <v>46</v>
      </c>
      <c r="B283" s="481"/>
      <c r="C283" s="129" t="s">
        <v>112</v>
      </c>
      <c r="D283" s="126" t="s">
        <v>413</v>
      </c>
      <c r="E283" s="126"/>
      <c r="F283" s="126"/>
      <c r="G283" s="126"/>
      <c r="H283" s="126"/>
      <c r="I283" s="127">
        <f t="shared" si="6"/>
        <v>0</v>
      </c>
      <c r="J283" s="128">
        <f t="shared" si="7"/>
        <v>0</v>
      </c>
      <c r="K283" s="128">
        <f t="shared" si="8"/>
        <v>0</v>
      </c>
      <c r="L283" s="128"/>
      <c r="M283" s="125" t="s">
        <v>171</v>
      </c>
      <c r="N283" s="130" t="s">
        <v>171</v>
      </c>
    </row>
    <row r="284" spans="1:15" customFormat="1" hidden="1" x14ac:dyDescent="0.25">
      <c r="A284" s="125">
        <f>A283+1</f>
        <v>47</v>
      </c>
      <c r="B284" s="482"/>
      <c r="C284" s="129" t="s">
        <v>112</v>
      </c>
      <c r="D284" s="126" t="s">
        <v>413</v>
      </c>
      <c r="E284" s="126"/>
      <c r="F284" s="126"/>
      <c r="G284" s="126"/>
      <c r="H284" s="126"/>
      <c r="I284" s="127">
        <f t="shared" si="6"/>
        <v>0</v>
      </c>
      <c r="J284" s="128">
        <f t="shared" si="7"/>
        <v>0</v>
      </c>
      <c r="K284" s="128">
        <f t="shared" si="8"/>
        <v>0</v>
      </c>
      <c r="L284" s="128"/>
      <c r="M284" s="125" t="s">
        <v>171</v>
      </c>
      <c r="N284" s="130" t="s">
        <v>171</v>
      </c>
    </row>
    <row r="285" spans="1:15" ht="15.75" x14ac:dyDescent="0.25">
      <c r="A285" s="450" t="s">
        <v>474</v>
      </c>
      <c r="B285" s="451"/>
      <c r="C285" s="451"/>
      <c r="D285" s="451"/>
      <c r="E285" s="451"/>
      <c r="F285" s="451"/>
      <c r="G285" s="451"/>
      <c r="H285" s="451"/>
      <c r="I285" s="451"/>
      <c r="J285" s="451"/>
      <c r="K285" s="451"/>
      <c r="L285" s="451"/>
      <c r="M285" s="451"/>
      <c r="N285" s="452"/>
    </row>
    <row r="286" spans="1:15" customFormat="1" ht="38.25" customHeight="1" x14ac:dyDescent="0.25">
      <c r="A286" s="234" t="s">
        <v>67</v>
      </c>
      <c r="B286" s="234" t="s">
        <v>68</v>
      </c>
      <c r="C286" s="234" t="s">
        <v>69</v>
      </c>
      <c r="D286" s="234" t="s">
        <v>70</v>
      </c>
      <c r="E286" s="234" t="s">
        <v>83</v>
      </c>
      <c r="F286" s="234" t="s">
        <v>628</v>
      </c>
      <c r="G286" s="234" t="s">
        <v>621</v>
      </c>
      <c r="H286" s="234" t="s">
        <v>244</v>
      </c>
      <c r="I286" s="24" t="s">
        <v>624</v>
      </c>
      <c r="J286" s="134" t="s">
        <v>625</v>
      </c>
      <c r="K286" s="234" t="s">
        <v>598</v>
      </c>
      <c r="L286" s="234" t="s">
        <v>599</v>
      </c>
      <c r="M286" s="237" t="s">
        <v>623</v>
      </c>
      <c r="N286" s="238"/>
    </row>
    <row r="287" spans="1:15" customFormat="1" ht="31.5" customHeight="1" x14ac:dyDescent="0.25">
      <c r="A287" s="235"/>
      <c r="B287" s="235"/>
      <c r="C287" s="235"/>
      <c r="D287" s="235"/>
      <c r="E287" s="235"/>
      <c r="F287" s="235"/>
      <c r="G287" s="235"/>
      <c r="H287" s="235"/>
      <c r="I287" s="24" t="s">
        <v>626</v>
      </c>
      <c r="J287" s="24" t="s">
        <v>626</v>
      </c>
      <c r="K287" s="236"/>
      <c r="L287" s="235"/>
      <c r="M287" s="239"/>
      <c r="N287" s="240"/>
      <c r="O287">
        <f>8200*1.5</f>
        <v>12300</v>
      </c>
    </row>
    <row r="288" spans="1:15" customFormat="1" x14ac:dyDescent="0.25">
      <c r="A288" s="236"/>
      <c r="B288" s="236"/>
      <c r="C288" s="236"/>
      <c r="D288" s="236"/>
      <c r="E288" s="236"/>
      <c r="F288" s="236"/>
      <c r="G288" s="236"/>
      <c r="H288" s="236"/>
      <c r="I288" s="145">
        <v>700</v>
      </c>
      <c r="J288" s="145">
        <v>15000</v>
      </c>
      <c r="K288" s="145">
        <v>2500</v>
      </c>
      <c r="L288" s="236"/>
      <c r="M288" s="241"/>
      <c r="N288" s="242"/>
    </row>
    <row r="289" spans="1:17" customFormat="1" x14ac:dyDescent="0.25">
      <c r="A289" s="359" t="s">
        <v>659</v>
      </c>
      <c r="B289" s="359"/>
      <c r="C289" s="359"/>
      <c r="D289" s="359"/>
      <c r="E289" s="359"/>
      <c r="F289" s="359"/>
      <c r="G289" s="359"/>
      <c r="H289" s="359"/>
      <c r="I289" s="359"/>
      <c r="J289" s="359"/>
      <c r="K289" s="359"/>
      <c r="L289" s="359"/>
      <c r="M289" s="359"/>
      <c r="N289" s="359"/>
    </row>
    <row r="290" spans="1:17" customFormat="1" ht="30.75" customHeight="1" x14ac:dyDescent="0.25">
      <c r="A290" s="392" t="s">
        <v>691</v>
      </c>
      <c r="B290" s="359"/>
      <c r="C290" s="359"/>
      <c r="D290" s="359"/>
      <c r="E290" s="359"/>
      <c r="F290" s="359"/>
      <c r="G290" s="359"/>
      <c r="H290" s="359"/>
      <c r="I290" s="359"/>
      <c r="J290" s="359"/>
      <c r="K290" s="359"/>
      <c r="L290" s="359"/>
      <c r="M290" s="359"/>
      <c r="N290" s="359"/>
      <c r="O290">
        <f>2.75-0.3</f>
        <v>2.4500000000000002</v>
      </c>
      <c r="Q290">
        <f>8200*1.5</f>
        <v>12300</v>
      </c>
    </row>
    <row r="291" spans="1:17" customFormat="1" x14ac:dyDescent="0.25">
      <c r="A291" s="359" t="s">
        <v>660</v>
      </c>
      <c r="B291" s="359"/>
      <c r="C291" s="359"/>
      <c r="D291" s="359"/>
      <c r="E291" s="359"/>
      <c r="F291" s="359"/>
      <c r="G291" s="359"/>
      <c r="H291" s="359"/>
      <c r="I291" s="359"/>
      <c r="J291" s="359"/>
      <c r="K291" s="359"/>
      <c r="L291" s="359"/>
      <c r="M291" s="359"/>
      <c r="N291" s="359"/>
    </row>
    <row r="292" spans="1:17" customFormat="1" x14ac:dyDescent="0.25">
      <c r="A292" s="13">
        <v>1</v>
      </c>
      <c r="B292" s="183" t="s">
        <v>603</v>
      </c>
      <c r="C292" s="52">
        <f>LEFT(B292,SUM(LEN(B292)-LEN(SUBSTITUTE(B292,{"0","1","2","3","4","5","6","7","8","9"},""))))*100+1</f>
        <v>601</v>
      </c>
      <c r="D292" s="52" t="s">
        <v>100</v>
      </c>
      <c r="E292" s="60">
        <f>(29.49)*(10.764)</f>
        <v>317.43035999999995</v>
      </c>
      <c r="F292" s="60">
        <v>0</v>
      </c>
      <c r="G292" s="60">
        <f>E292+(IF(F292&lt;101,F292,IF(F292&lt;201,F292/2,IF(F292&lt;=301,F292/3,F292/4))))</f>
        <v>317.43035999999995</v>
      </c>
      <c r="H292" s="60">
        <f>G292*1.2</f>
        <v>380.91643199999993</v>
      </c>
      <c r="I292" s="32">
        <f>G292*I$288</f>
        <v>222201.25199999998</v>
      </c>
      <c r="J292" s="32">
        <f>G292*$J$288</f>
        <v>4761455.3999999994</v>
      </c>
      <c r="K292" s="137">
        <f>$K$288*H292</f>
        <v>952291.07999999984</v>
      </c>
      <c r="L292" s="138">
        <v>11000</v>
      </c>
      <c r="M292" s="192">
        <f>J292+I292</f>
        <v>4983656.6519999998</v>
      </c>
      <c r="N292" s="193"/>
      <c r="O292" s="142">
        <f>2.75*4+2.14*2+2.75*3+1.2*(2+1.05)+1.5*0.9</f>
        <v>28.540000000000003</v>
      </c>
    </row>
    <row r="293" spans="1:17" customFormat="1" x14ac:dyDescent="0.25">
      <c r="A293" s="13">
        <f>A292+1</f>
        <v>2</v>
      </c>
      <c r="B293" s="184"/>
      <c r="C293" s="52">
        <f t="shared" ref="C293:C357" si="12">C292+1</f>
        <v>602</v>
      </c>
      <c r="D293" s="52" t="s">
        <v>100</v>
      </c>
      <c r="E293" s="60">
        <f>(29.49)*(10.764)</f>
        <v>317.43035999999995</v>
      </c>
      <c r="F293" s="60">
        <v>0</v>
      </c>
      <c r="G293" s="60">
        <f t="shared" ref="G293:G437" si="13">E293+(IF(F293&lt;101,F293,IF(F293&lt;201,F293/2,IF(F293&lt;=301,F293/3,F293/4))))</f>
        <v>317.43035999999995</v>
      </c>
      <c r="H293" s="60">
        <f t="shared" ref="H293:H303" si="14">G293*1.2</f>
        <v>380.91643199999993</v>
      </c>
      <c r="I293" s="32">
        <f t="shared" ref="I293:I437" si="15">G293*I$288</f>
        <v>222201.25199999998</v>
      </c>
      <c r="J293" s="32">
        <f t="shared" ref="J293:J437" si="16">G293*$J$288</f>
        <v>4761455.3999999994</v>
      </c>
      <c r="K293" s="137">
        <f t="shared" ref="K293:K437" si="17">$K$288*H293</f>
        <v>952291.07999999984</v>
      </c>
      <c r="L293" s="138">
        <v>11000</v>
      </c>
      <c r="M293" s="192">
        <f t="shared" ref="M293:M437" si="18">J293+I293</f>
        <v>4983656.6519999998</v>
      </c>
      <c r="N293" s="193"/>
      <c r="O293">
        <f>3700000/G293</f>
        <v>11656.099939526895</v>
      </c>
    </row>
    <row r="294" spans="1:17" customFormat="1" x14ac:dyDescent="0.25">
      <c r="A294" s="13">
        <f t="shared" ref="A294:A303" si="19">A293+1</f>
        <v>3</v>
      </c>
      <c r="B294" s="184"/>
      <c r="C294" s="52">
        <f t="shared" si="12"/>
        <v>603</v>
      </c>
      <c r="D294" s="52" t="s">
        <v>100</v>
      </c>
      <c r="E294" s="60">
        <f>(29.72)*(10.764)</f>
        <v>319.90607999999997</v>
      </c>
      <c r="F294" s="60">
        <v>0</v>
      </c>
      <c r="G294" s="60">
        <f t="shared" ref="G294:G303" si="20">E294+(IF(F294&lt;101,F294,IF(F294&lt;201,F294/2,IF(F294&lt;=301,F294/3,F294/4))))</f>
        <v>319.90607999999997</v>
      </c>
      <c r="H294" s="60">
        <f t="shared" si="14"/>
        <v>383.88729599999994</v>
      </c>
      <c r="I294" s="32">
        <f t="shared" ref="I294:I303" si="21">G294*I$288</f>
        <v>223934.25599999999</v>
      </c>
      <c r="J294" s="32">
        <f t="shared" ref="J294:J303" si="22">G294*$J$288</f>
        <v>4798591.1999999993</v>
      </c>
      <c r="K294" s="137">
        <f t="shared" ref="K294:K303" si="23">$K$288*H294</f>
        <v>959718.23999999987</v>
      </c>
      <c r="L294" s="138">
        <v>11000</v>
      </c>
      <c r="M294" s="192">
        <f>J294+I294</f>
        <v>5022525.4559999993</v>
      </c>
      <c r="N294" s="193"/>
    </row>
    <row r="295" spans="1:17" customFormat="1" x14ac:dyDescent="0.25">
      <c r="A295" s="13">
        <f t="shared" si="19"/>
        <v>4</v>
      </c>
      <c r="B295" s="184"/>
      <c r="C295" s="52">
        <f t="shared" si="12"/>
        <v>604</v>
      </c>
      <c r="D295" s="52" t="s">
        <v>104</v>
      </c>
      <c r="E295" s="60">
        <f>(48.01)*(10.764)</f>
        <v>516.77963999999997</v>
      </c>
      <c r="F295" s="60">
        <v>0</v>
      </c>
      <c r="G295" s="60">
        <f t="shared" si="20"/>
        <v>516.77963999999997</v>
      </c>
      <c r="H295" s="60">
        <f t="shared" si="14"/>
        <v>620.13556799999992</v>
      </c>
      <c r="I295" s="32">
        <f t="shared" si="21"/>
        <v>361745.74799999996</v>
      </c>
      <c r="J295" s="32">
        <f t="shared" si="22"/>
        <v>7751694.5999999996</v>
      </c>
      <c r="K295" s="137">
        <f t="shared" si="23"/>
        <v>1550338.9199999997</v>
      </c>
      <c r="L295" s="138">
        <v>16000</v>
      </c>
      <c r="M295" s="192">
        <f t="shared" ref="M295:M303" si="24">J295+I295</f>
        <v>8113440.3479999993</v>
      </c>
      <c r="N295" s="193"/>
      <c r="O295" s="142">
        <f>2.75*4.58+2.45*2.14+2.75*(3.05+3.36)+1.22*(2.1+1.83)+1.57*2.22+1.2*0.9+1.7*0.9</f>
        <v>46.355500000000006</v>
      </c>
    </row>
    <row r="296" spans="1:17" customFormat="1" x14ac:dyDescent="0.25">
      <c r="A296" s="13">
        <f t="shared" si="19"/>
        <v>5</v>
      </c>
      <c r="B296" s="184"/>
      <c r="C296" s="52">
        <f t="shared" si="12"/>
        <v>605</v>
      </c>
      <c r="D296" s="52" t="s">
        <v>104</v>
      </c>
      <c r="E296" s="60">
        <f>(49.83)*(10.764)</f>
        <v>536.37011999999993</v>
      </c>
      <c r="F296" s="60">
        <v>0</v>
      </c>
      <c r="G296" s="60">
        <f t="shared" si="20"/>
        <v>536.37011999999993</v>
      </c>
      <c r="H296" s="60">
        <f t="shared" si="14"/>
        <v>643.64414399999987</v>
      </c>
      <c r="I296" s="32">
        <f t="shared" si="21"/>
        <v>375459.08399999997</v>
      </c>
      <c r="J296" s="32">
        <f t="shared" si="22"/>
        <v>8045551.7999999989</v>
      </c>
      <c r="K296" s="137">
        <f t="shared" si="23"/>
        <v>1609110.3599999996</v>
      </c>
      <c r="L296" s="138">
        <v>16000</v>
      </c>
      <c r="M296" s="192">
        <f t="shared" si="24"/>
        <v>8421010.8839999996</v>
      </c>
      <c r="N296" s="193"/>
    </row>
    <row r="297" spans="1:17" customFormat="1" x14ac:dyDescent="0.25">
      <c r="A297" s="13">
        <f t="shared" si="19"/>
        <v>6</v>
      </c>
      <c r="B297" s="184"/>
      <c r="C297" s="52">
        <f t="shared" si="12"/>
        <v>606</v>
      </c>
      <c r="D297" s="52" t="s">
        <v>104</v>
      </c>
      <c r="E297" s="60">
        <f>(49.78)*(10.764)</f>
        <v>535.83191999999997</v>
      </c>
      <c r="F297" s="60">
        <v>0</v>
      </c>
      <c r="G297" s="60">
        <f t="shared" si="20"/>
        <v>535.83191999999997</v>
      </c>
      <c r="H297" s="60">
        <f t="shared" si="14"/>
        <v>642.99830399999996</v>
      </c>
      <c r="I297" s="32">
        <f t="shared" si="21"/>
        <v>375082.34399999998</v>
      </c>
      <c r="J297" s="32">
        <f t="shared" si="22"/>
        <v>8037478.7999999998</v>
      </c>
      <c r="K297" s="137">
        <f t="shared" si="23"/>
        <v>1607495.76</v>
      </c>
      <c r="L297" s="138">
        <v>16000</v>
      </c>
      <c r="M297" s="192">
        <f t="shared" si="24"/>
        <v>8412561.1439999994</v>
      </c>
      <c r="N297" s="193"/>
    </row>
    <row r="298" spans="1:17" customFormat="1" x14ac:dyDescent="0.25">
      <c r="A298" s="13">
        <f t="shared" si="19"/>
        <v>7</v>
      </c>
      <c r="B298" s="184"/>
      <c r="C298" s="52">
        <f t="shared" si="12"/>
        <v>607</v>
      </c>
      <c r="D298" s="52" t="s">
        <v>104</v>
      </c>
      <c r="E298" s="60">
        <f>(49.78)*(10.764)</f>
        <v>535.83191999999997</v>
      </c>
      <c r="F298" s="60">
        <v>0</v>
      </c>
      <c r="G298" s="60">
        <f t="shared" si="20"/>
        <v>535.83191999999997</v>
      </c>
      <c r="H298" s="60">
        <f t="shared" si="14"/>
        <v>642.99830399999996</v>
      </c>
      <c r="I298" s="32">
        <f t="shared" si="21"/>
        <v>375082.34399999998</v>
      </c>
      <c r="J298" s="32">
        <f t="shared" si="22"/>
        <v>8037478.7999999998</v>
      </c>
      <c r="K298" s="137">
        <f t="shared" si="23"/>
        <v>1607495.76</v>
      </c>
      <c r="L298" s="138">
        <v>16000</v>
      </c>
      <c r="M298" s="192">
        <f t="shared" si="24"/>
        <v>8412561.1439999994</v>
      </c>
      <c r="N298" s="193"/>
    </row>
    <row r="299" spans="1:17" customFormat="1" x14ac:dyDescent="0.25">
      <c r="A299" s="13">
        <f t="shared" si="19"/>
        <v>8</v>
      </c>
      <c r="B299" s="184"/>
      <c r="C299" s="52">
        <f t="shared" si="12"/>
        <v>608</v>
      </c>
      <c r="D299" s="52" t="s">
        <v>104</v>
      </c>
      <c r="E299" s="60">
        <f>(49.83)*(10.764)</f>
        <v>536.37011999999993</v>
      </c>
      <c r="F299" s="60">
        <v>0</v>
      </c>
      <c r="G299" s="60">
        <f t="shared" si="20"/>
        <v>536.37011999999993</v>
      </c>
      <c r="H299" s="60">
        <f t="shared" si="14"/>
        <v>643.64414399999987</v>
      </c>
      <c r="I299" s="32">
        <f t="shared" si="21"/>
        <v>375459.08399999997</v>
      </c>
      <c r="J299" s="32">
        <f t="shared" si="22"/>
        <v>8045551.7999999989</v>
      </c>
      <c r="K299" s="137">
        <f t="shared" si="23"/>
        <v>1609110.3599999996</v>
      </c>
      <c r="L299" s="138">
        <v>16000</v>
      </c>
      <c r="M299" s="192">
        <f t="shared" si="24"/>
        <v>8421010.8839999996</v>
      </c>
      <c r="N299" s="193"/>
    </row>
    <row r="300" spans="1:17" customFormat="1" x14ac:dyDescent="0.25">
      <c r="A300" s="13">
        <f t="shared" si="19"/>
        <v>9</v>
      </c>
      <c r="B300" s="184"/>
      <c r="C300" s="52">
        <f t="shared" si="12"/>
        <v>609</v>
      </c>
      <c r="D300" s="52" t="s">
        <v>104</v>
      </c>
      <c r="E300" s="60">
        <f>(48.01)*(10.764)</f>
        <v>516.77963999999997</v>
      </c>
      <c r="F300" s="60">
        <v>0</v>
      </c>
      <c r="G300" s="60">
        <f t="shared" si="20"/>
        <v>516.77963999999997</v>
      </c>
      <c r="H300" s="60">
        <f t="shared" si="14"/>
        <v>620.13556799999992</v>
      </c>
      <c r="I300" s="32">
        <f t="shared" si="21"/>
        <v>361745.74799999996</v>
      </c>
      <c r="J300" s="32">
        <f t="shared" si="22"/>
        <v>7751694.5999999996</v>
      </c>
      <c r="K300" s="137">
        <f t="shared" si="23"/>
        <v>1550338.9199999997</v>
      </c>
      <c r="L300" s="138">
        <v>16000</v>
      </c>
      <c r="M300" s="192">
        <f t="shared" si="24"/>
        <v>8113440.3479999993</v>
      </c>
      <c r="N300" s="193"/>
    </row>
    <row r="301" spans="1:17" customFormat="1" x14ac:dyDescent="0.25">
      <c r="A301" s="13">
        <f t="shared" si="19"/>
        <v>10</v>
      </c>
      <c r="B301" s="184"/>
      <c r="C301" s="52">
        <f t="shared" si="12"/>
        <v>610</v>
      </c>
      <c r="D301" s="52" t="s">
        <v>100</v>
      </c>
      <c r="E301" s="60">
        <f>(29.72)*(10.764)</f>
        <v>319.90607999999997</v>
      </c>
      <c r="F301" s="60">
        <v>0</v>
      </c>
      <c r="G301" s="60">
        <f t="shared" si="20"/>
        <v>319.90607999999997</v>
      </c>
      <c r="H301" s="60">
        <f t="shared" si="14"/>
        <v>383.88729599999994</v>
      </c>
      <c r="I301" s="32">
        <f t="shared" si="21"/>
        <v>223934.25599999999</v>
      </c>
      <c r="J301" s="32">
        <f t="shared" si="22"/>
        <v>4798591.1999999993</v>
      </c>
      <c r="K301" s="137">
        <f t="shared" si="23"/>
        <v>959718.23999999987</v>
      </c>
      <c r="L301" s="138">
        <v>11000</v>
      </c>
      <c r="M301" s="192">
        <f t="shared" si="24"/>
        <v>5022525.4559999993</v>
      </c>
      <c r="N301" s="193"/>
    </row>
    <row r="302" spans="1:17" customFormat="1" x14ac:dyDescent="0.25">
      <c r="A302" s="13">
        <f t="shared" si="19"/>
        <v>11</v>
      </c>
      <c r="B302" s="184"/>
      <c r="C302" s="52">
        <f t="shared" si="12"/>
        <v>611</v>
      </c>
      <c r="D302" s="52" t="s">
        <v>100</v>
      </c>
      <c r="E302" s="60">
        <f>(29.49)*(10.764)</f>
        <v>317.43035999999995</v>
      </c>
      <c r="F302" s="60">
        <v>0</v>
      </c>
      <c r="G302" s="60">
        <f t="shared" si="20"/>
        <v>317.43035999999995</v>
      </c>
      <c r="H302" s="60">
        <f t="shared" si="14"/>
        <v>380.91643199999993</v>
      </c>
      <c r="I302" s="32">
        <f t="shared" si="21"/>
        <v>222201.25199999998</v>
      </c>
      <c r="J302" s="32">
        <f t="shared" si="22"/>
        <v>4761455.3999999994</v>
      </c>
      <c r="K302" s="137">
        <f t="shared" si="23"/>
        <v>952291.07999999984</v>
      </c>
      <c r="L302" s="138">
        <v>11000</v>
      </c>
      <c r="M302" s="192">
        <f t="shared" si="24"/>
        <v>4983656.6519999998</v>
      </c>
      <c r="N302" s="193"/>
    </row>
    <row r="303" spans="1:17" customFormat="1" x14ac:dyDescent="0.25">
      <c r="A303" s="13">
        <f t="shared" si="19"/>
        <v>12</v>
      </c>
      <c r="B303" s="185"/>
      <c r="C303" s="52">
        <f t="shared" si="12"/>
        <v>612</v>
      </c>
      <c r="D303" s="52" t="s">
        <v>100</v>
      </c>
      <c r="E303" s="60">
        <f>(29.49)*(10.764)</f>
        <v>317.43035999999995</v>
      </c>
      <c r="F303" s="60">
        <v>0</v>
      </c>
      <c r="G303" s="60">
        <f t="shared" si="20"/>
        <v>317.43035999999995</v>
      </c>
      <c r="H303" s="60">
        <f t="shared" si="14"/>
        <v>380.91643199999993</v>
      </c>
      <c r="I303" s="32">
        <f t="shared" si="21"/>
        <v>222201.25199999998</v>
      </c>
      <c r="J303" s="32">
        <f t="shared" si="22"/>
        <v>4761455.3999999994</v>
      </c>
      <c r="K303" s="137">
        <f t="shared" si="23"/>
        <v>952291.07999999984</v>
      </c>
      <c r="L303" s="138">
        <v>11000</v>
      </c>
      <c r="M303" s="192">
        <f t="shared" si="24"/>
        <v>4983656.6519999998</v>
      </c>
      <c r="N303" s="193"/>
    </row>
    <row r="304" spans="1:17" customFormat="1" x14ac:dyDescent="0.25">
      <c r="A304" s="359" t="s">
        <v>671</v>
      </c>
      <c r="B304" s="359"/>
      <c r="C304" s="359"/>
      <c r="D304" s="359"/>
      <c r="E304" s="359"/>
      <c r="F304" s="359"/>
      <c r="G304" s="359"/>
      <c r="H304" s="359"/>
      <c r="I304" s="359"/>
      <c r="J304" s="359"/>
      <c r="K304" s="359"/>
      <c r="L304" s="359"/>
      <c r="M304" s="359"/>
      <c r="N304" s="359"/>
    </row>
    <row r="305" spans="1:14" customFormat="1" x14ac:dyDescent="0.25">
      <c r="A305" s="13">
        <f>A303+1</f>
        <v>13</v>
      </c>
      <c r="B305" s="447" t="s">
        <v>604</v>
      </c>
      <c r="C305" s="52">
        <f>LEFT(B305,SUM(LEN(B305)-LEN(SUBSTITUTE(B305,{"0","1","2","3","4","5","6","7","8","9"},""))))*100+1</f>
        <v>701</v>
      </c>
      <c r="D305" s="52" t="s">
        <v>100</v>
      </c>
      <c r="E305" s="60">
        <f>(29.49)*(10.764)</f>
        <v>317.43035999999995</v>
      </c>
      <c r="F305" s="60">
        <v>0</v>
      </c>
      <c r="G305" s="60">
        <f>E305+(IF(F305&lt;101,F305,IF(F305&lt;201,F305/2,IF(F305&lt;=301,F305/3,F305/4))))</f>
        <v>317.43035999999995</v>
      </c>
      <c r="H305" s="60">
        <f t="shared" ref="H305:H368" si="25">G305*1.2</f>
        <v>380.91643199999993</v>
      </c>
      <c r="I305" s="32">
        <f>G305*I$288</f>
        <v>222201.25199999998</v>
      </c>
      <c r="J305" s="32">
        <f>G305*$J$288</f>
        <v>4761455.3999999994</v>
      </c>
      <c r="K305" s="137">
        <f>$K$288*H305</f>
        <v>952291.07999999984</v>
      </c>
      <c r="L305" s="138">
        <v>11000</v>
      </c>
      <c r="M305" s="192">
        <f>J305+I305</f>
        <v>4983656.6519999998</v>
      </c>
      <c r="N305" s="193"/>
    </row>
    <row r="306" spans="1:14" customFormat="1" x14ac:dyDescent="0.25">
      <c r="A306" s="13">
        <f>A305+1</f>
        <v>14</v>
      </c>
      <c r="B306" s="448"/>
      <c r="C306" s="52">
        <f t="shared" si="12"/>
        <v>702</v>
      </c>
      <c r="D306" s="52" t="s">
        <v>100</v>
      </c>
      <c r="E306" s="60">
        <f>(29.49)*(10.764)</f>
        <v>317.43035999999995</v>
      </c>
      <c r="F306" s="60">
        <v>0</v>
      </c>
      <c r="G306" s="60">
        <f t="shared" ref="G306:G316" si="26">E306+(IF(F306&lt;101,F306,IF(F306&lt;201,F306/2,IF(F306&lt;=301,F306/3,F306/4))))</f>
        <v>317.43035999999995</v>
      </c>
      <c r="H306" s="60">
        <f t="shared" si="25"/>
        <v>380.91643199999993</v>
      </c>
      <c r="I306" s="32">
        <f t="shared" ref="I306:I316" si="27">G306*I$288</f>
        <v>222201.25199999998</v>
      </c>
      <c r="J306" s="32">
        <f t="shared" ref="J306:J316" si="28">G306*$J$288</f>
        <v>4761455.3999999994</v>
      </c>
      <c r="K306" s="137">
        <f t="shared" ref="K306:K316" si="29">$K$288*H306</f>
        <v>952291.07999999984</v>
      </c>
      <c r="L306" s="138">
        <v>11000</v>
      </c>
      <c r="M306" s="192">
        <f t="shared" ref="M306:M316" si="30">J306+I306</f>
        <v>4983656.6519999998</v>
      </c>
      <c r="N306" s="193"/>
    </row>
    <row r="307" spans="1:14" customFormat="1" x14ac:dyDescent="0.25">
      <c r="A307" s="13">
        <f t="shared" ref="A307:A364" si="31">A306+1</f>
        <v>15</v>
      </c>
      <c r="B307" s="448"/>
      <c r="C307" s="52">
        <f t="shared" si="12"/>
        <v>703</v>
      </c>
      <c r="D307" s="52" t="s">
        <v>100</v>
      </c>
      <c r="E307" s="60">
        <f>(29.72)*(10.764)</f>
        <v>319.90607999999997</v>
      </c>
      <c r="F307" s="60">
        <v>0</v>
      </c>
      <c r="G307" s="60">
        <f t="shared" si="26"/>
        <v>319.90607999999997</v>
      </c>
      <c r="H307" s="60">
        <f t="shared" si="25"/>
        <v>383.88729599999994</v>
      </c>
      <c r="I307" s="32">
        <f t="shared" si="27"/>
        <v>223934.25599999999</v>
      </c>
      <c r="J307" s="32">
        <f t="shared" si="28"/>
        <v>4798591.1999999993</v>
      </c>
      <c r="K307" s="137">
        <f t="shared" si="29"/>
        <v>959718.23999999987</v>
      </c>
      <c r="L307" s="138">
        <v>11000</v>
      </c>
      <c r="M307" s="192">
        <f t="shared" si="30"/>
        <v>5022525.4559999993</v>
      </c>
      <c r="N307" s="193"/>
    </row>
    <row r="308" spans="1:14" customFormat="1" x14ac:dyDescent="0.25">
      <c r="A308" s="13">
        <f t="shared" si="31"/>
        <v>16</v>
      </c>
      <c r="B308" s="448"/>
      <c r="C308" s="52">
        <f t="shared" si="12"/>
        <v>704</v>
      </c>
      <c r="D308" s="52" t="s">
        <v>104</v>
      </c>
      <c r="E308" s="60">
        <f>(48.01)*(10.764)</f>
        <v>516.77963999999997</v>
      </c>
      <c r="F308" s="60">
        <v>0</v>
      </c>
      <c r="G308" s="60">
        <f t="shared" si="26"/>
        <v>516.77963999999997</v>
      </c>
      <c r="H308" s="60">
        <f t="shared" si="25"/>
        <v>620.13556799999992</v>
      </c>
      <c r="I308" s="32">
        <f t="shared" si="27"/>
        <v>361745.74799999996</v>
      </c>
      <c r="J308" s="32">
        <f t="shared" si="28"/>
        <v>7751694.5999999996</v>
      </c>
      <c r="K308" s="137">
        <f t="shared" si="29"/>
        <v>1550338.9199999997</v>
      </c>
      <c r="L308" s="138">
        <v>16000</v>
      </c>
      <c r="M308" s="192">
        <f t="shared" si="30"/>
        <v>8113440.3479999993</v>
      </c>
      <c r="N308" s="193"/>
    </row>
    <row r="309" spans="1:14" customFormat="1" x14ac:dyDescent="0.25">
      <c r="A309" s="13">
        <f t="shared" si="31"/>
        <v>17</v>
      </c>
      <c r="B309" s="448"/>
      <c r="C309" s="52">
        <f t="shared" si="12"/>
        <v>705</v>
      </c>
      <c r="D309" s="52" t="s">
        <v>104</v>
      </c>
      <c r="E309" s="60">
        <f>(49.83)*(10.764)</f>
        <v>536.37011999999993</v>
      </c>
      <c r="F309" s="60">
        <v>0</v>
      </c>
      <c r="G309" s="60">
        <f t="shared" si="26"/>
        <v>536.37011999999993</v>
      </c>
      <c r="H309" s="60">
        <f t="shared" si="25"/>
        <v>643.64414399999987</v>
      </c>
      <c r="I309" s="32">
        <f t="shared" si="27"/>
        <v>375459.08399999997</v>
      </c>
      <c r="J309" s="32">
        <f t="shared" si="28"/>
        <v>8045551.7999999989</v>
      </c>
      <c r="K309" s="137">
        <f t="shared" si="29"/>
        <v>1609110.3599999996</v>
      </c>
      <c r="L309" s="138">
        <v>16000</v>
      </c>
      <c r="M309" s="192">
        <f t="shared" si="30"/>
        <v>8421010.8839999996</v>
      </c>
      <c r="N309" s="193"/>
    </row>
    <row r="310" spans="1:14" customFormat="1" x14ac:dyDescent="0.25">
      <c r="A310" s="13">
        <f t="shared" si="31"/>
        <v>18</v>
      </c>
      <c r="B310" s="448"/>
      <c r="C310" s="52">
        <f t="shared" si="12"/>
        <v>706</v>
      </c>
      <c r="D310" s="52" t="s">
        <v>104</v>
      </c>
      <c r="E310" s="60">
        <f>(49.78)*(10.764)</f>
        <v>535.83191999999997</v>
      </c>
      <c r="F310" s="60">
        <v>0</v>
      </c>
      <c r="G310" s="60">
        <f t="shared" si="26"/>
        <v>535.83191999999997</v>
      </c>
      <c r="H310" s="60">
        <f t="shared" si="25"/>
        <v>642.99830399999996</v>
      </c>
      <c r="I310" s="32">
        <f t="shared" si="27"/>
        <v>375082.34399999998</v>
      </c>
      <c r="J310" s="32">
        <f t="shared" si="28"/>
        <v>8037478.7999999998</v>
      </c>
      <c r="K310" s="137">
        <f t="shared" si="29"/>
        <v>1607495.76</v>
      </c>
      <c r="L310" s="138">
        <v>16000</v>
      </c>
      <c r="M310" s="192">
        <f t="shared" si="30"/>
        <v>8412561.1439999994</v>
      </c>
      <c r="N310" s="193"/>
    </row>
    <row r="311" spans="1:14" customFormat="1" x14ac:dyDescent="0.25">
      <c r="A311" s="13">
        <f t="shared" si="31"/>
        <v>19</v>
      </c>
      <c r="B311" s="448"/>
      <c r="C311" s="52">
        <f t="shared" si="12"/>
        <v>707</v>
      </c>
      <c r="D311" s="52" t="s">
        <v>104</v>
      </c>
      <c r="E311" s="60">
        <f>(49.78)*(10.764)</f>
        <v>535.83191999999997</v>
      </c>
      <c r="F311" s="60">
        <v>0</v>
      </c>
      <c r="G311" s="60">
        <f t="shared" si="26"/>
        <v>535.83191999999997</v>
      </c>
      <c r="H311" s="60">
        <f t="shared" si="25"/>
        <v>642.99830399999996</v>
      </c>
      <c r="I311" s="32">
        <f t="shared" si="27"/>
        <v>375082.34399999998</v>
      </c>
      <c r="J311" s="32">
        <f t="shared" si="28"/>
        <v>8037478.7999999998</v>
      </c>
      <c r="K311" s="137">
        <f t="shared" si="29"/>
        <v>1607495.76</v>
      </c>
      <c r="L311" s="138">
        <v>16000</v>
      </c>
      <c r="M311" s="192">
        <f t="shared" si="30"/>
        <v>8412561.1439999994</v>
      </c>
      <c r="N311" s="193"/>
    </row>
    <row r="312" spans="1:14" customFormat="1" x14ac:dyDescent="0.25">
      <c r="A312" s="13">
        <f t="shared" si="31"/>
        <v>20</v>
      </c>
      <c r="B312" s="448"/>
      <c r="C312" s="52">
        <f t="shared" si="12"/>
        <v>708</v>
      </c>
      <c r="D312" s="52" t="s">
        <v>104</v>
      </c>
      <c r="E312" s="60">
        <f>(49.83)*(10.764)</f>
        <v>536.37011999999993</v>
      </c>
      <c r="F312" s="60">
        <v>0</v>
      </c>
      <c r="G312" s="60">
        <f t="shared" si="26"/>
        <v>536.37011999999993</v>
      </c>
      <c r="H312" s="60">
        <f t="shared" si="25"/>
        <v>643.64414399999987</v>
      </c>
      <c r="I312" s="32">
        <f t="shared" si="27"/>
        <v>375459.08399999997</v>
      </c>
      <c r="J312" s="32">
        <f t="shared" si="28"/>
        <v>8045551.7999999989</v>
      </c>
      <c r="K312" s="137">
        <f t="shared" si="29"/>
        <v>1609110.3599999996</v>
      </c>
      <c r="L312" s="138">
        <v>16000</v>
      </c>
      <c r="M312" s="192">
        <f t="shared" si="30"/>
        <v>8421010.8839999996</v>
      </c>
      <c r="N312" s="193"/>
    </row>
    <row r="313" spans="1:14" customFormat="1" x14ac:dyDescent="0.25">
      <c r="A313" s="13">
        <f t="shared" si="31"/>
        <v>21</v>
      </c>
      <c r="B313" s="448"/>
      <c r="C313" s="52">
        <f t="shared" si="12"/>
        <v>709</v>
      </c>
      <c r="D313" s="52" t="s">
        <v>104</v>
      </c>
      <c r="E313" s="60">
        <f>(48.01)*(10.764)</f>
        <v>516.77963999999997</v>
      </c>
      <c r="F313" s="60">
        <v>0</v>
      </c>
      <c r="G313" s="60">
        <f t="shared" si="26"/>
        <v>516.77963999999997</v>
      </c>
      <c r="H313" s="60">
        <f t="shared" si="25"/>
        <v>620.13556799999992</v>
      </c>
      <c r="I313" s="32">
        <f t="shared" si="27"/>
        <v>361745.74799999996</v>
      </c>
      <c r="J313" s="32">
        <f t="shared" si="28"/>
        <v>7751694.5999999996</v>
      </c>
      <c r="K313" s="137">
        <f t="shared" si="29"/>
        <v>1550338.9199999997</v>
      </c>
      <c r="L313" s="138">
        <v>16000</v>
      </c>
      <c r="M313" s="192">
        <f t="shared" si="30"/>
        <v>8113440.3479999993</v>
      </c>
      <c r="N313" s="193"/>
    </row>
    <row r="314" spans="1:14" customFormat="1" x14ac:dyDescent="0.25">
      <c r="A314" s="13">
        <f t="shared" si="31"/>
        <v>22</v>
      </c>
      <c r="B314" s="448"/>
      <c r="C314" s="52">
        <f t="shared" si="12"/>
        <v>710</v>
      </c>
      <c r="D314" s="52" t="s">
        <v>100</v>
      </c>
      <c r="E314" s="60">
        <f>(29.72)*(10.764)</f>
        <v>319.90607999999997</v>
      </c>
      <c r="F314" s="60">
        <v>0</v>
      </c>
      <c r="G314" s="60">
        <f t="shared" si="26"/>
        <v>319.90607999999997</v>
      </c>
      <c r="H314" s="60">
        <f t="shared" si="25"/>
        <v>383.88729599999994</v>
      </c>
      <c r="I314" s="32">
        <f t="shared" si="27"/>
        <v>223934.25599999999</v>
      </c>
      <c r="J314" s="32">
        <f t="shared" si="28"/>
        <v>4798591.1999999993</v>
      </c>
      <c r="K314" s="137">
        <f t="shared" si="29"/>
        <v>959718.23999999987</v>
      </c>
      <c r="L314" s="138">
        <v>11000</v>
      </c>
      <c r="M314" s="192">
        <f t="shared" si="30"/>
        <v>5022525.4559999993</v>
      </c>
      <c r="N314" s="193"/>
    </row>
    <row r="315" spans="1:14" customFormat="1" x14ac:dyDescent="0.25">
      <c r="A315" s="13">
        <f t="shared" si="31"/>
        <v>23</v>
      </c>
      <c r="B315" s="448"/>
      <c r="C315" s="52">
        <f t="shared" si="12"/>
        <v>711</v>
      </c>
      <c r="D315" s="52" t="s">
        <v>100</v>
      </c>
      <c r="E315" s="60">
        <f>(29.49)*(10.764)</f>
        <v>317.43035999999995</v>
      </c>
      <c r="F315" s="60">
        <v>0</v>
      </c>
      <c r="G315" s="60">
        <f t="shared" si="26"/>
        <v>317.43035999999995</v>
      </c>
      <c r="H315" s="60">
        <f t="shared" si="25"/>
        <v>380.91643199999993</v>
      </c>
      <c r="I315" s="32">
        <f t="shared" si="27"/>
        <v>222201.25199999998</v>
      </c>
      <c r="J315" s="32">
        <f t="shared" si="28"/>
        <v>4761455.3999999994</v>
      </c>
      <c r="K315" s="137">
        <f t="shared" si="29"/>
        <v>952291.07999999984</v>
      </c>
      <c r="L315" s="138">
        <v>11000</v>
      </c>
      <c r="M315" s="192">
        <f t="shared" si="30"/>
        <v>4983656.6519999998</v>
      </c>
      <c r="N315" s="193"/>
    </row>
    <row r="316" spans="1:14" customFormat="1" x14ac:dyDescent="0.25">
      <c r="A316" s="13">
        <f t="shared" si="31"/>
        <v>24</v>
      </c>
      <c r="B316" s="449"/>
      <c r="C316" s="52">
        <f t="shared" si="12"/>
        <v>712</v>
      </c>
      <c r="D316" s="52" t="s">
        <v>100</v>
      </c>
      <c r="E316" s="60">
        <f>(29.49)*(10.764)</f>
        <v>317.43035999999995</v>
      </c>
      <c r="F316" s="60">
        <v>0</v>
      </c>
      <c r="G316" s="60">
        <f t="shared" si="26"/>
        <v>317.43035999999995</v>
      </c>
      <c r="H316" s="60">
        <f t="shared" si="25"/>
        <v>380.91643199999993</v>
      </c>
      <c r="I316" s="32">
        <f t="shared" si="27"/>
        <v>222201.25199999998</v>
      </c>
      <c r="J316" s="32">
        <f t="shared" si="28"/>
        <v>4761455.3999999994</v>
      </c>
      <c r="K316" s="137">
        <f t="shared" si="29"/>
        <v>952291.07999999984</v>
      </c>
      <c r="L316" s="138">
        <v>11000</v>
      </c>
      <c r="M316" s="192">
        <f t="shared" si="30"/>
        <v>4983656.6519999998</v>
      </c>
      <c r="N316" s="193"/>
    </row>
    <row r="317" spans="1:14" customFormat="1" x14ac:dyDescent="0.25">
      <c r="A317" s="13">
        <f t="shared" si="31"/>
        <v>25</v>
      </c>
      <c r="B317" s="183" t="s">
        <v>661</v>
      </c>
      <c r="C317" s="52">
        <f>LEFT(B317,SUM(LEN(B317)-LEN(SUBSTITUTE(B317,{"0","1","2","3","4","5","6","7","8","9"},""))))*100+1</f>
        <v>801</v>
      </c>
      <c r="D317" s="52" t="s">
        <v>100</v>
      </c>
      <c r="E317" s="60">
        <f>(29.49)*(10.764)</f>
        <v>317.43035999999995</v>
      </c>
      <c r="F317" s="60">
        <v>0</v>
      </c>
      <c r="G317" s="60">
        <f>E317+(IF(F317&lt;101,F317,IF(F317&lt;201,F317/2,IF(F317&lt;=301,F317/3,F317/4))))</f>
        <v>317.43035999999995</v>
      </c>
      <c r="H317" s="60">
        <f t="shared" si="25"/>
        <v>380.91643199999993</v>
      </c>
      <c r="I317" s="32">
        <f>G317*I$288</f>
        <v>222201.25199999998</v>
      </c>
      <c r="J317" s="32">
        <f>G317*$J$288</f>
        <v>4761455.3999999994</v>
      </c>
      <c r="K317" s="137">
        <f>$K$288*H317</f>
        <v>952291.07999999984</v>
      </c>
      <c r="L317" s="138">
        <v>11000</v>
      </c>
      <c r="M317" s="192">
        <f>J317+I317</f>
        <v>4983656.6519999998</v>
      </c>
      <c r="N317" s="193"/>
    </row>
    <row r="318" spans="1:14" customFormat="1" x14ac:dyDescent="0.25">
      <c r="A318" s="13">
        <f t="shared" si="31"/>
        <v>26</v>
      </c>
      <c r="B318" s="184"/>
      <c r="C318" s="52">
        <f t="shared" si="12"/>
        <v>802</v>
      </c>
      <c r="D318" s="52" t="s">
        <v>100</v>
      </c>
      <c r="E318" s="60">
        <f>(29.49)*(10.764)</f>
        <v>317.43035999999995</v>
      </c>
      <c r="F318" s="60">
        <v>0</v>
      </c>
      <c r="G318" s="60">
        <f t="shared" ref="G318:G328" si="32">E318+(IF(F318&lt;101,F318,IF(F318&lt;201,F318/2,IF(F318&lt;=301,F318/3,F318/4))))</f>
        <v>317.43035999999995</v>
      </c>
      <c r="H318" s="60">
        <f t="shared" si="25"/>
        <v>380.91643199999993</v>
      </c>
      <c r="I318" s="32">
        <f t="shared" ref="I318:I328" si="33">G318*I$288</f>
        <v>222201.25199999998</v>
      </c>
      <c r="J318" s="32">
        <f t="shared" ref="J318:J328" si="34">G318*$J$288</f>
        <v>4761455.3999999994</v>
      </c>
      <c r="K318" s="137">
        <f t="shared" ref="K318:K328" si="35">$K$288*H318</f>
        <v>952291.07999999984</v>
      </c>
      <c r="L318" s="138">
        <v>11000</v>
      </c>
      <c r="M318" s="192">
        <f t="shared" ref="M318:M328" si="36">J318+I318</f>
        <v>4983656.6519999998</v>
      </c>
      <c r="N318" s="193"/>
    </row>
    <row r="319" spans="1:14" customFormat="1" x14ac:dyDescent="0.25">
      <c r="A319" s="13">
        <f t="shared" si="31"/>
        <v>27</v>
      </c>
      <c r="B319" s="184"/>
      <c r="C319" s="52">
        <f t="shared" si="12"/>
        <v>803</v>
      </c>
      <c r="D319" s="52" t="s">
        <v>100</v>
      </c>
      <c r="E319" s="60">
        <f>(29.72)*(10.764)</f>
        <v>319.90607999999997</v>
      </c>
      <c r="F319" s="60">
        <v>0</v>
      </c>
      <c r="G319" s="60">
        <f t="shared" si="32"/>
        <v>319.90607999999997</v>
      </c>
      <c r="H319" s="60">
        <f t="shared" si="25"/>
        <v>383.88729599999994</v>
      </c>
      <c r="I319" s="32">
        <f t="shared" si="33"/>
        <v>223934.25599999999</v>
      </c>
      <c r="J319" s="32">
        <f t="shared" si="34"/>
        <v>4798591.1999999993</v>
      </c>
      <c r="K319" s="137">
        <f t="shared" si="35"/>
        <v>959718.23999999987</v>
      </c>
      <c r="L319" s="138">
        <v>11000</v>
      </c>
      <c r="M319" s="192">
        <f t="shared" si="36"/>
        <v>5022525.4559999993</v>
      </c>
      <c r="N319" s="193"/>
    </row>
    <row r="320" spans="1:14" customFormat="1" x14ac:dyDescent="0.25">
      <c r="A320" s="13">
        <f t="shared" si="31"/>
        <v>28</v>
      </c>
      <c r="B320" s="184"/>
      <c r="C320" s="52">
        <f t="shared" si="12"/>
        <v>804</v>
      </c>
      <c r="D320" s="52" t="s">
        <v>104</v>
      </c>
      <c r="E320" s="60">
        <f>(48.01)*(10.764)</f>
        <v>516.77963999999997</v>
      </c>
      <c r="F320" s="60">
        <v>0</v>
      </c>
      <c r="G320" s="60">
        <f t="shared" si="32"/>
        <v>516.77963999999997</v>
      </c>
      <c r="H320" s="60">
        <f t="shared" si="25"/>
        <v>620.13556799999992</v>
      </c>
      <c r="I320" s="32">
        <f t="shared" si="33"/>
        <v>361745.74799999996</v>
      </c>
      <c r="J320" s="32">
        <f t="shared" si="34"/>
        <v>7751694.5999999996</v>
      </c>
      <c r="K320" s="137">
        <f t="shared" si="35"/>
        <v>1550338.9199999997</v>
      </c>
      <c r="L320" s="138">
        <v>16000</v>
      </c>
      <c r="M320" s="192">
        <f t="shared" si="36"/>
        <v>8113440.3479999993</v>
      </c>
      <c r="N320" s="193"/>
    </row>
    <row r="321" spans="1:14" customFormat="1" x14ac:dyDescent="0.25">
      <c r="A321" s="13">
        <f t="shared" si="31"/>
        <v>29</v>
      </c>
      <c r="B321" s="184"/>
      <c r="C321" s="52">
        <f t="shared" si="12"/>
        <v>805</v>
      </c>
      <c r="D321" s="52" t="s">
        <v>104</v>
      </c>
      <c r="E321" s="60">
        <f>(49.83)*(10.764)</f>
        <v>536.37011999999993</v>
      </c>
      <c r="F321" s="60">
        <v>0</v>
      </c>
      <c r="G321" s="60">
        <f t="shared" si="32"/>
        <v>536.37011999999993</v>
      </c>
      <c r="H321" s="60">
        <f t="shared" si="25"/>
        <v>643.64414399999987</v>
      </c>
      <c r="I321" s="32">
        <f t="shared" si="33"/>
        <v>375459.08399999997</v>
      </c>
      <c r="J321" s="32">
        <f t="shared" si="34"/>
        <v>8045551.7999999989</v>
      </c>
      <c r="K321" s="137">
        <f t="shared" si="35"/>
        <v>1609110.3599999996</v>
      </c>
      <c r="L321" s="138">
        <v>16000</v>
      </c>
      <c r="M321" s="192">
        <f t="shared" si="36"/>
        <v>8421010.8839999996</v>
      </c>
      <c r="N321" s="193"/>
    </row>
    <row r="322" spans="1:14" customFormat="1" x14ac:dyDescent="0.25">
      <c r="A322" s="13">
        <f t="shared" si="31"/>
        <v>30</v>
      </c>
      <c r="B322" s="184"/>
      <c r="C322" s="52">
        <f t="shared" si="12"/>
        <v>806</v>
      </c>
      <c r="D322" s="52" t="s">
        <v>104</v>
      </c>
      <c r="E322" s="60">
        <f>(49.78)*(10.764)</f>
        <v>535.83191999999997</v>
      </c>
      <c r="F322" s="60">
        <v>0</v>
      </c>
      <c r="G322" s="60">
        <f t="shared" si="32"/>
        <v>535.83191999999997</v>
      </c>
      <c r="H322" s="60">
        <f t="shared" si="25"/>
        <v>642.99830399999996</v>
      </c>
      <c r="I322" s="32">
        <f t="shared" si="33"/>
        <v>375082.34399999998</v>
      </c>
      <c r="J322" s="32">
        <f t="shared" si="34"/>
        <v>8037478.7999999998</v>
      </c>
      <c r="K322" s="137">
        <f t="shared" si="35"/>
        <v>1607495.76</v>
      </c>
      <c r="L322" s="138">
        <v>16000</v>
      </c>
      <c r="M322" s="192">
        <f t="shared" si="36"/>
        <v>8412561.1439999994</v>
      </c>
      <c r="N322" s="193"/>
    </row>
    <row r="323" spans="1:14" customFormat="1" x14ac:dyDescent="0.25">
      <c r="A323" s="13">
        <f t="shared" si="31"/>
        <v>31</v>
      </c>
      <c r="B323" s="184"/>
      <c r="C323" s="52">
        <f t="shared" si="12"/>
        <v>807</v>
      </c>
      <c r="D323" s="52" t="s">
        <v>104</v>
      </c>
      <c r="E323" s="60">
        <f>(49.78)*(10.764)</f>
        <v>535.83191999999997</v>
      </c>
      <c r="F323" s="60">
        <v>0</v>
      </c>
      <c r="G323" s="60">
        <f t="shared" si="32"/>
        <v>535.83191999999997</v>
      </c>
      <c r="H323" s="60">
        <f t="shared" si="25"/>
        <v>642.99830399999996</v>
      </c>
      <c r="I323" s="32">
        <f t="shared" si="33"/>
        <v>375082.34399999998</v>
      </c>
      <c r="J323" s="32">
        <f t="shared" si="34"/>
        <v>8037478.7999999998</v>
      </c>
      <c r="K323" s="137">
        <f t="shared" si="35"/>
        <v>1607495.76</v>
      </c>
      <c r="L323" s="138">
        <v>16000</v>
      </c>
      <c r="M323" s="192">
        <f t="shared" si="36"/>
        <v>8412561.1439999994</v>
      </c>
      <c r="N323" s="193"/>
    </row>
    <row r="324" spans="1:14" customFormat="1" x14ac:dyDescent="0.25">
      <c r="A324" s="13">
        <f t="shared" si="31"/>
        <v>32</v>
      </c>
      <c r="B324" s="184"/>
      <c r="C324" s="52">
        <f t="shared" si="12"/>
        <v>808</v>
      </c>
      <c r="D324" s="52" t="s">
        <v>104</v>
      </c>
      <c r="E324" s="60">
        <f>(49.83)*(10.764)</f>
        <v>536.37011999999993</v>
      </c>
      <c r="F324" s="60">
        <v>0</v>
      </c>
      <c r="G324" s="60">
        <f t="shared" si="32"/>
        <v>536.37011999999993</v>
      </c>
      <c r="H324" s="60">
        <f t="shared" si="25"/>
        <v>643.64414399999987</v>
      </c>
      <c r="I324" s="32">
        <f t="shared" si="33"/>
        <v>375459.08399999997</v>
      </c>
      <c r="J324" s="32">
        <f t="shared" si="34"/>
        <v>8045551.7999999989</v>
      </c>
      <c r="K324" s="137">
        <f t="shared" si="35"/>
        <v>1609110.3599999996</v>
      </c>
      <c r="L324" s="138">
        <v>16000</v>
      </c>
      <c r="M324" s="192">
        <f t="shared" si="36"/>
        <v>8421010.8839999996</v>
      </c>
      <c r="N324" s="193"/>
    </row>
    <row r="325" spans="1:14" customFormat="1" x14ac:dyDescent="0.25">
      <c r="A325" s="13">
        <f t="shared" si="31"/>
        <v>33</v>
      </c>
      <c r="B325" s="184"/>
      <c r="C325" s="52">
        <f t="shared" si="12"/>
        <v>809</v>
      </c>
      <c r="D325" s="52" t="s">
        <v>104</v>
      </c>
      <c r="E325" s="60">
        <f>(48.01)*(10.764)</f>
        <v>516.77963999999997</v>
      </c>
      <c r="F325" s="60">
        <v>0</v>
      </c>
      <c r="G325" s="60">
        <f t="shared" si="32"/>
        <v>516.77963999999997</v>
      </c>
      <c r="H325" s="60">
        <f t="shared" si="25"/>
        <v>620.13556799999992</v>
      </c>
      <c r="I325" s="32">
        <f t="shared" si="33"/>
        <v>361745.74799999996</v>
      </c>
      <c r="J325" s="32">
        <f t="shared" si="34"/>
        <v>7751694.5999999996</v>
      </c>
      <c r="K325" s="137">
        <f t="shared" si="35"/>
        <v>1550338.9199999997</v>
      </c>
      <c r="L325" s="138">
        <v>16000</v>
      </c>
      <c r="M325" s="192">
        <f t="shared" si="36"/>
        <v>8113440.3479999993</v>
      </c>
      <c r="N325" s="193"/>
    </row>
    <row r="326" spans="1:14" customFormat="1" x14ac:dyDescent="0.25">
      <c r="A326" s="13">
        <f t="shared" si="31"/>
        <v>34</v>
      </c>
      <c r="B326" s="184"/>
      <c r="C326" s="52">
        <f t="shared" si="12"/>
        <v>810</v>
      </c>
      <c r="D326" s="52" t="s">
        <v>100</v>
      </c>
      <c r="E326" s="60">
        <f>(29.72)*(10.764)</f>
        <v>319.90607999999997</v>
      </c>
      <c r="F326" s="60">
        <v>0</v>
      </c>
      <c r="G326" s="60">
        <f t="shared" si="32"/>
        <v>319.90607999999997</v>
      </c>
      <c r="H326" s="60">
        <f t="shared" si="25"/>
        <v>383.88729599999994</v>
      </c>
      <c r="I326" s="32">
        <f t="shared" si="33"/>
        <v>223934.25599999999</v>
      </c>
      <c r="J326" s="32">
        <f t="shared" si="34"/>
        <v>4798591.1999999993</v>
      </c>
      <c r="K326" s="137">
        <f t="shared" si="35"/>
        <v>959718.23999999987</v>
      </c>
      <c r="L326" s="138">
        <v>11000</v>
      </c>
      <c r="M326" s="192">
        <f t="shared" si="36"/>
        <v>5022525.4559999993</v>
      </c>
      <c r="N326" s="193"/>
    </row>
    <row r="327" spans="1:14" customFormat="1" x14ac:dyDescent="0.25">
      <c r="A327" s="13">
        <f t="shared" si="31"/>
        <v>35</v>
      </c>
      <c r="B327" s="184"/>
      <c r="C327" s="52">
        <f t="shared" si="12"/>
        <v>811</v>
      </c>
      <c r="D327" s="52" t="s">
        <v>100</v>
      </c>
      <c r="E327" s="60">
        <f>(29.49)*(10.764)</f>
        <v>317.43035999999995</v>
      </c>
      <c r="F327" s="60">
        <v>0</v>
      </c>
      <c r="G327" s="60">
        <f t="shared" si="32"/>
        <v>317.43035999999995</v>
      </c>
      <c r="H327" s="60">
        <f t="shared" si="25"/>
        <v>380.91643199999993</v>
      </c>
      <c r="I327" s="32">
        <f t="shared" si="33"/>
        <v>222201.25199999998</v>
      </c>
      <c r="J327" s="32">
        <f t="shared" si="34"/>
        <v>4761455.3999999994</v>
      </c>
      <c r="K327" s="137">
        <f t="shared" si="35"/>
        <v>952291.07999999984</v>
      </c>
      <c r="L327" s="138">
        <v>11000</v>
      </c>
      <c r="M327" s="192">
        <f t="shared" si="36"/>
        <v>4983656.6519999998</v>
      </c>
      <c r="N327" s="193"/>
    </row>
    <row r="328" spans="1:14" customFormat="1" x14ac:dyDescent="0.25">
      <c r="A328" s="13">
        <f t="shared" si="31"/>
        <v>36</v>
      </c>
      <c r="B328" s="185"/>
      <c r="C328" s="52">
        <f t="shared" si="12"/>
        <v>812</v>
      </c>
      <c r="D328" s="52" t="s">
        <v>100</v>
      </c>
      <c r="E328" s="60">
        <f>(29.49)*(10.764)</f>
        <v>317.43035999999995</v>
      </c>
      <c r="F328" s="60">
        <v>0</v>
      </c>
      <c r="G328" s="60">
        <f t="shared" si="32"/>
        <v>317.43035999999995</v>
      </c>
      <c r="H328" s="60">
        <f t="shared" si="25"/>
        <v>380.91643199999993</v>
      </c>
      <c r="I328" s="32">
        <f t="shared" si="33"/>
        <v>222201.25199999998</v>
      </c>
      <c r="J328" s="32">
        <f t="shared" si="34"/>
        <v>4761455.3999999994</v>
      </c>
      <c r="K328" s="137">
        <f t="shared" si="35"/>
        <v>952291.07999999984</v>
      </c>
      <c r="L328" s="138">
        <v>11000</v>
      </c>
      <c r="M328" s="192">
        <f t="shared" si="36"/>
        <v>4983656.6519999998</v>
      </c>
      <c r="N328" s="193"/>
    </row>
    <row r="329" spans="1:14" customFormat="1" x14ac:dyDescent="0.25">
      <c r="A329" s="13">
        <f t="shared" si="31"/>
        <v>37</v>
      </c>
      <c r="B329" s="183" t="s">
        <v>662</v>
      </c>
      <c r="C329" s="52">
        <f>LEFT(B329,SUM(LEN(B329)-LEN(SUBSTITUTE(B329,{"0","1","2","3","4","5","6","7","8","9"},""))))*100+1</f>
        <v>901</v>
      </c>
      <c r="D329" s="52" t="s">
        <v>100</v>
      </c>
      <c r="E329" s="60">
        <f>(29.49)*(10.764)</f>
        <v>317.43035999999995</v>
      </c>
      <c r="F329" s="60">
        <v>0</v>
      </c>
      <c r="G329" s="60">
        <f>E329+(IF(F329&lt;101,F329,IF(F329&lt;201,F329/2,IF(F329&lt;=301,F329/3,F329/4))))</f>
        <v>317.43035999999995</v>
      </c>
      <c r="H329" s="60">
        <f t="shared" si="25"/>
        <v>380.91643199999993</v>
      </c>
      <c r="I329" s="32">
        <f>G329*I$288</f>
        <v>222201.25199999998</v>
      </c>
      <c r="J329" s="32">
        <f>G329*$J$288</f>
        <v>4761455.3999999994</v>
      </c>
      <c r="K329" s="137">
        <f>$K$288*H329</f>
        <v>952291.07999999984</v>
      </c>
      <c r="L329" s="138">
        <v>11000</v>
      </c>
      <c r="M329" s="192">
        <f>J329+I329</f>
        <v>4983656.6519999998</v>
      </c>
      <c r="N329" s="193"/>
    </row>
    <row r="330" spans="1:14" customFormat="1" x14ac:dyDescent="0.25">
      <c r="A330" s="13">
        <f t="shared" si="31"/>
        <v>38</v>
      </c>
      <c r="B330" s="184"/>
      <c r="C330" s="52">
        <f t="shared" si="12"/>
        <v>902</v>
      </c>
      <c r="D330" s="52" t="s">
        <v>100</v>
      </c>
      <c r="E330" s="60">
        <f>(29.49)*(10.764)</f>
        <v>317.43035999999995</v>
      </c>
      <c r="F330" s="60">
        <v>0</v>
      </c>
      <c r="G330" s="60">
        <f t="shared" ref="G330:G340" si="37">E330+(IF(F330&lt;101,F330,IF(F330&lt;201,F330/2,IF(F330&lt;=301,F330/3,F330/4))))</f>
        <v>317.43035999999995</v>
      </c>
      <c r="H330" s="60">
        <f t="shared" si="25"/>
        <v>380.91643199999993</v>
      </c>
      <c r="I330" s="32">
        <f t="shared" ref="I330:I340" si="38">G330*I$288</f>
        <v>222201.25199999998</v>
      </c>
      <c r="J330" s="32">
        <f t="shared" ref="J330:J340" si="39">G330*$J$288</f>
        <v>4761455.3999999994</v>
      </c>
      <c r="K330" s="137">
        <f t="shared" ref="K330:K340" si="40">$K$288*H330</f>
        <v>952291.07999999984</v>
      </c>
      <c r="L330" s="138">
        <v>11000</v>
      </c>
      <c r="M330" s="192">
        <f t="shared" ref="M330:M340" si="41">J330+I330</f>
        <v>4983656.6519999998</v>
      </c>
      <c r="N330" s="193"/>
    </row>
    <row r="331" spans="1:14" customFormat="1" x14ac:dyDescent="0.25">
      <c r="A331" s="13">
        <f t="shared" si="31"/>
        <v>39</v>
      </c>
      <c r="B331" s="184"/>
      <c r="C331" s="52">
        <f t="shared" si="12"/>
        <v>903</v>
      </c>
      <c r="D331" s="52" t="s">
        <v>100</v>
      </c>
      <c r="E331" s="60">
        <f>(29.72)*(10.764)</f>
        <v>319.90607999999997</v>
      </c>
      <c r="F331" s="60">
        <v>0</v>
      </c>
      <c r="G331" s="60">
        <f t="shared" si="37"/>
        <v>319.90607999999997</v>
      </c>
      <c r="H331" s="60">
        <f t="shared" si="25"/>
        <v>383.88729599999994</v>
      </c>
      <c r="I331" s="32">
        <f t="shared" si="38"/>
        <v>223934.25599999999</v>
      </c>
      <c r="J331" s="32">
        <f t="shared" si="39"/>
        <v>4798591.1999999993</v>
      </c>
      <c r="K331" s="137">
        <f t="shared" si="40"/>
        <v>959718.23999999987</v>
      </c>
      <c r="L331" s="138">
        <v>11000</v>
      </c>
      <c r="M331" s="192">
        <f t="shared" si="41"/>
        <v>5022525.4559999993</v>
      </c>
      <c r="N331" s="193"/>
    </row>
    <row r="332" spans="1:14" customFormat="1" x14ac:dyDescent="0.25">
      <c r="A332" s="13">
        <f t="shared" si="31"/>
        <v>40</v>
      </c>
      <c r="B332" s="184"/>
      <c r="C332" s="52">
        <f t="shared" si="12"/>
        <v>904</v>
      </c>
      <c r="D332" s="52" t="s">
        <v>104</v>
      </c>
      <c r="E332" s="60">
        <f>(48.01)*(10.764)</f>
        <v>516.77963999999997</v>
      </c>
      <c r="F332" s="60">
        <v>0</v>
      </c>
      <c r="G332" s="60">
        <f t="shared" si="37"/>
        <v>516.77963999999997</v>
      </c>
      <c r="H332" s="60">
        <f t="shared" si="25"/>
        <v>620.13556799999992</v>
      </c>
      <c r="I332" s="32">
        <f t="shared" si="38"/>
        <v>361745.74799999996</v>
      </c>
      <c r="J332" s="32">
        <f t="shared" si="39"/>
        <v>7751694.5999999996</v>
      </c>
      <c r="K332" s="137">
        <f t="shared" si="40"/>
        <v>1550338.9199999997</v>
      </c>
      <c r="L332" s="138">
        <v>16000</v>
      </c>
      <c r="M332" s="192">
        <f t="shared" si="41"/>
        <v>8113440.3479999993</v>
      </c>
      <c r="N332" s="193"/>
    </row>
    <row r="333" spans="1:14" customFormat="1" x14ac:dyDescent="0.25">
      <c r="A333" s="13">
        <f t="shared" si="31"/>
        <v>41</v>
      </c>
      <c r="B333" s="184"/>
      <c r="C333" s="52">
        <f t="shared" si="12"/>
        <v>905</v>
      </c>
      <c r="D333" s="52" t="s">
        <v>104</v>
      </c>
      <c r="E333" s="60">
        <f>(49.83)*(10.764)</f>
        <v>536.37011999999993</v>
      </c>
      <c r="F333" s="60">
        <v>0</v>
      </c>
      <c r="G333" s="60">
        <f t="shared" si="37"/>
        <v>536.37011999999993</v>
      </c>
      <c r="H333" s="60">
        <f t="shared" si="25"/>
        <v>643.64414399999987</v>
      </c>
      <c r="I333" s="32">
        <f t="shared" si="38"/>
        <v>375459.08399999997</v>
      </c>
      <c r="J333" s="32">
        <f t="shared" si="39"/>
        <v>8045551.7999999989</v>
      </c>
      <c r="K333" s="137">
        <f t="shared" si="40"/>
        <v>1609110.3599999996</v>
      </c>
      <c r="L333" s="138">
        <v>16000</v>
      </c>
      <c r="M333" s="192">
        <f t="shared" si="41"/>
        <v>8421010.8839999996</v>
      </c>
      <c r="N333" s="193"/>
    </row>
    <row r="334" spans="1:14" customFormat="1" x14ac:dyDescent="0.25">
      <c r="A334" s="13">
        <f t="shared" si="31"/>
        <v>42</v>
      </c>
      <c r="B334" s="184"/>
      <c r="C334" s="52">
        <f t="shared" si="12"/>
        <v>906</v>
      </c>
      <c r="D334" s="52" t="s">
        <v>104</v>
      </c>
      <c r="E334" s="60">
        <f>(49.78)*(10.764)</f>
        <v>535.83191999999997</v>
      </c>
      <c r="F334" s="60">
        <v>0</v>
      </c>
      <c r="G334" s="60">
        <f t="shared" si="37"/>
        <v>535.83191999999997</v>
      </c>
      <c r="H334" s="60">
        <f t="shared" si="25"/>
        <v>642.99830399999996</v>
      </c>
      <c r="I334" s="32">
        <f t="shared" si="38"/>
        <v>375082.34399999998</v>
      </c>
      <c r="J334" s="32">
        <f t="shared" si="39"/>
        <v>8037478.7999999998</v>
      </c>
      <c r="K334" s="137">
        <f t="shared" si="40"/>
        <v>1607495.76</v>
      </c>
      <c r="L334" s="138">
        <v>16000</v>
      </c>
      <c r="M334" s="192">
        <f t="shared" si="41"/>
        <v>8412561.1439999994</v>
      </c>
      <c r="N334" s="193"/>
    </row>
    <row r="335" spans="1:14" customFormat="1" x14ac:dyDescent="0.25">
      <c r="A335" s="13">
        <f t="shared" si="31"/>
        <v>43</v>
      </c>
      <c r="B335" s="184"/>
      <c r="C335" s="52">
        <f t="shared" si="12"/>
        <v>907</v>
      </c>
      <c r="D335" s="52" t="s">
        <v>104</v>
      </c>
      <c r="E335" s="60">
        <f>(49.78)*(10.764)</f>
        <v>535.83191999999997</v>
      </c>
      <c r="F335" s="60">
        <v>0</v>
      </c>
      <c r="G335" s="60">
        <f t="shared" si="37"/>
        <v>535.83191999999997</v>
      </c>
      <c r="H335" s="60">
        <f t="shared" si="25"/>
        <v>642.99830399999996</v>
      </c>
      <c r="I335" s="32">
        <f t="shared" si="38"/>
        <v>375082.34399999998</v>
      </c>
      <c r="J335" s="32">
        <f t="shared" si="39"/>
        <v>8037478.7999999998</v>
      </c>
      <c r="K335" s="137">
        <f t="shared" si="40"/>
        <v>1607495.76</v>
      </c>
      <c r="L335" s="138">
        <v>16000</v>
      </c>
      <c r="M335" s="192">
        <f t="shared" si="41"/>
        <v>8412561.1439999994</v>
      </c>
      <c r="N335" s="193"/>
    </row>
    <row r="336" spans="1:14" customFormat="1" x14ac:dyDescent="0.25">
      <c r="A336" s="13">
        <f t="shared" si="31"/>
        <v>44</v>
      </c>
      <c r="B336" s="184"/>
      <c r="C336" s="52">
        <f t="shared" si="12"/>
        <v>908</v>
      </c>
      <c r="D336" s="52" t="s">
        <v>104</v>
      </c>
      <c r="E336" s="60">
        <f>(49.83)*(10.764)</f>
        <v>536.37011999999993</v>
      </c>
      <c r="F336" s="60">
        <v>0</v>
      </c>
      <c r="G336" s="60">
        <f t="shared" si="37"/>
        <v>536.37011999999993</v>
      </c>
      <c r="H336" s="60">
        <f t="shared" si="25"/>
        <v>643.64414399999987</v>
      </c>
      <c r="I336" s="32">
        <f t="shared" si="38"/>
        <v>375459.08399999997</v>
      </c>
      <c r="J336" s="32">
        <f t="shared" si="39"/>
        <v>8045551.7999999989</v>
      </c>
      <c r="K336" s="137">
        <f t="shared" si="40"/>
        <v>1609110.3599999996</v>
      </c>
      <c r="L336" s="138">
        <v>16000</v>
      </c>
      <c r="M336" s="192">
        <f t="shared" si="41"/>
        <v>8421010.8839999996</v>
      </c>
      <c r="N336" s="193"/>
    </row>
    <row r="337" spans="1:14" customFormat="1" x14ac:dyDescent="0.25">
      <c r="A337" s="13">
        <f t="shared" si="31"/>
        <v>45</v>
      </c>
      <c r="B337" s="184"/>
      <c r="C337" s="52">
        <f t="shared" si="12"/>
        <v>909</v>
      </c>
      <c r="D337" s="52" t="s">
        <v>104</v>
      </c>
      <c r="E337" s="60">
        <f>(48.01)*(10.764)</f>
        <v>516.77963999999997</v>
      </c>
      <c r="F337" s="60">
        <v>0</v>
      </c>
      <c r="G337" s="60">
        <f t="shared" si="37"/>
        <v>516.77963999999997</v>
      </c>
      <c r="H337" s="60">
        <f t="shared" si="25"/>
        <v>620.13556799999992</v>
      </c>
      <c r="I337" s="32">
        <f t="shared" si="38"/>
        <v>361745.74799999996</v>
      </c>
      <c r="J337" s="32">
        <f t="shared" si="39"/>
        <v>7751694.5999999996</v>
      </c>
      <c r="K337" s="137">
        <f t="shared" si="40"/>
        <v>1550338.9199999997</v>
      </c>
      <c r="L337" s="138">
        <v>16000</v>
      </c>
      <c r="M337" s="192">
        <f t="shared" si="41"/>
        <v>8113440.3479999993</v>
      </c>
      <c r="N337" s="193"/>
    </row>
    <row r="338" spans="1:14" customFormat="1" x14ac:dyDescent="0.25">
      <c r="A338" s="13">
        <f t="shared" si="31"/>
        <v>46</v>
      </c>
      <c r="B338" s="184"/>
      <c r="C338" s="52">
        <f t="shared" si="12"/>
        <v>910</v>
      </c>
      <c r="D338" s="52" t="s">
        <v>100</v>
      </c>
      <c r="E338" s="60">
        <f>(29.72)*(10.764)</f>
        <v>319.90607999999997</v>
      </c>
      <c r="F338" s="60">
        <v>0</v>
      </c>
      <c r="G338" s="60">
        <f t="shared" si="37"/>
        <v>319.90607999999997</v>
      </c>
      <c r="H338" s="60">
        <f t="shared" si="25"/>
        <v>383.88729599999994</v>
      </c>
      <c r="I338" s="32">
        <f t="shared" si="38"/>
        <v>223934.25599999999</v>
      </c>
      <c r="J338" s="32">
        <f t="shared" si="39"/>
        <v>4798591.1999999993</v>
      </c>
      <c r="K338" s="137">
        <f t="shared" si="40"/>
        <v>959718.23999999987</v>
      </c>
      <c r="L338" s="138">
        <v>11000</v>
      </c>
      <c r="M338" s="192">
        <f t="shared" si="41"/>
        <v>5022525.4559999993</v>
      </c>
      <c r="N338" s="193"/>
    </row>
    <row r="339" spans="1:14" customFormat="1" x14ac:dyDescent="0.25">
      <c r="A339" s="13">
        <f t="shared" si="31"/>
        <v>47</v>
      </c>
      <c r="B339" s="184"/>
      <c r="C339" s="52">
        <f t="shared" si="12"/>
        <v>911</v>
      </c>
      <c r="D339" s="52" t="s">
        <v>100</v>
      </c>
      <c r="E339" s="60">
        <f>(29.49)*(10.764)</f>
        <v>317.43035999999995</v>
      </c>
      <c r="F339" s="60">
        <v>0</v>
      </c>
      <c r="G339" s="60">
        <f t="shared" si="37"/>
        <v>317.43035999999995</v>
      </c>
      <c r="H339" s="60">
        <f t="shared" si="25"/>
        <v>380.91643199999993</v>
      </c>
      <c r="I339" s="32">
        <f t="shared" si="38"/>
        <v>222201.25199999998</v>
      </c>
      <c r="J339" s="32">
        <f t="shared" si="39"/>
        <v>4761455.3999999994</v>
      </c>
      <c r="K339" s="137">
        <f t="shared" si="40"/>
        <v>952291.07999999984</v>
      </c>
      <c r="L339" s="138">
        <v>11000</v>
      </c>
      <c r="M339" s="192">
        <f t="shared" si="41"/>
        <v>4983656.6519999998</v>
      </c>
      <c r="N339" s="193"/>
    </row>
    <row r="340" spans="1:14" customFormat="1" x14ac:dyDescent="0.25">
      <c r="A340" s="13">
        <f t="shared" si="31"/>
        <v>48</v>
      </c>
      <c r="B340" s="185"/>
      <c r="C340" s="52">
        <f t="shared" si="12"/>
        <v>912</v>
      </c>
      <c r="D340" s="52" t="s">
        <v>100</v>
      </c>
      <c r="E340" s="60">
        <f>(29.49)*(10.764)</f>
        <v>317.43035999999995</v>
      </c>
      <c r="F340" s="60">
        <v>0</v>
      </c>
      <c r="G340" s="60">
        <f t="shared" si="37"/>
        <v>317.43035999999995</v>
      </c>
      <c r="H340" s="60">
        <f t="shared" si="25"/>
        <v>380.91643199999993</v>
      </c>
      <c r="I340" s="32">
        <f t="shared" si="38"/>
        <v>222201.25199999998</v>
      </c>
      <c r="J340" s="32">
        <f t="shared" si="39"/>
        <v>4761455.3999999994</v>
      </c>
      <c r="K340" s="137">
        <f t="shared" si="40"/>
        <v>952291.07999999984</v>
      </c>
      <c r="L340" s="138">
        <v>11000</v>
      </c>
      <c r="M340" s="192">
        <f t="shared" si="41"/>
        <v>4983656.6519999998</v>
      </c>
      <c r="N340" s="193"/>
    </row>
    <row r="341" spans="1:14" customFormat="1" x14ac:dyDescent="0.25">
      <c r="A341" s="13">
        <f t="shared" si="31"/>
        <v>49</v>
      </c>
      <c r="B341" s="183" t="s">
        <v>663</v>
      </c>
      <c r="C341" s="52">
        <f>LEFT(B341,SUM(LEN(B341)-LEN(SUBSTITUTE(B341,{"0","1","2","3","4","5","6","7","8","9"},""))))*100+1</f>
        <v>1001</v>
      </c>
      <c r="D341" s="52" t="s">
        <v>100</v>
      </c>
      <c r="E341" s="60">
        <f>(29.49)*(10.764)</f>
        <v>317.43035999999995</v>
      </c>
      <c r="F341" s="60">
        <v>0</v>
      </c>
      <c r="G341" s="60">
        <f>E341+(IF(F341&lt;101,F341,IF(F341&lt;201,F341/2,IF(F341&lt;=301,F341/3,F341/4))))</f>
        <v>317.43035999999995</v>
      </c>
      <c r="H341" s="60">
        <f t="shared" si="25"/>
        <v>380.91643199999993</v>
      </c>
      <c r="I341" s="32">
        <f>G341*I$288</f>
        <v>222201.25199999998</v>
      </c>
      <c r="J341" s="32">
        <f>G341*$J$288</f>
        <v>4761455.3999999994</v>
      </c>
      <c r="K341" s="137">
        <f>$K$288*H341</f>
        <v>952291.07999999984</v>
      </c>
      <c r="L341" s="138">
        <v>11000</v>
      </c>
      <c r="M341" s="192">
        <f>J341+I341</f>
        <v>4983656.6519999998</v>
      </c>
      <c r="N341" s="193"/>
    </row>
    <row r="342" spans="1:14" customFormat="1" x14ac:dyDescent="0.25">
      <c r="A342" s="13">
        <f t="shared" si="31"/>
        <v>50</v>
      </c>
      <c r="B342" s="184"/>
      <c r="C342" s="52">
        <f t="shared" si="12"/>
        <v>1002</v>
      </c>
      <c r="D342" s="52" t="s">
        <v>100</v>
      </c>
      <c r="E342" s="60">
        <f>(29.49)*(10.764)</f>
        <v>317.43035999999995</v>
      </c>
      <c r="F342" s="60">
        <v>0</v>
      </c>
      <c r="G342" s="60">
        <f t="shared" ref="G342:G352" si="42">E342+(IF(F342&lt;101,F342,IF(F342&lt;201,F342/2,IF(F342&lt;=301,F342/3,F342/4))))</f>
        <v>317.43035999999995</v>
      </c>
      <c r="H342" s="60">
        <f t="shared" si="25"/>
        <v>380.91643199999993</v>
      </c>
      <c r="I342" s="32">
        <f t="shared" ref="I342:I352" si="43">G342*I$288</f>
        <v>222201.25199999998</v>
      </c>
      <c r="J342" s="32">
        <f t="shared" ref="J342:J352" si="44">G342*$J$288</f>
        <v>4761455.3999999994</v>
      </c>
      <c r="K342" s="137">
        <f t="shared" ref="K342:K352" si="45">$K$288*H342</f>
        <v>952291.07999999984</v>
      </c>
      <c r="L342" s="138">
        <v>11000</v>
      </c>
      <c r="M342" s="192">
        <f t="shared" ref="M342:M352" si="46">J342+I342</f>
        <v>4983656.6519999998</v>
      </c>
      <c r="N342" s="193"/>
    </row>
    <row r="343" spans="1:14" customFormat="1" x14ac:dyDescent="0.25">
      <c r="A343" s="13">
        <f t="shared" si="31"/>
        <v>51</v>
      </c>
      <c r="B343" s="184"/>
      <c r="C343" s="52">
        <f t="shared" si="12"/>
        <v>1003</v>
      </c>
      <c r="D343" s="52" t="s">
        <v>100</v>
      </c>
      <c r="E343" s="60">
        <f>(29.72)*(10.764)</f>
        <v>319.90607999999997</v>
      </c>
      <c r="F343" s="60">
        <v>0</v>
      </c>
      <c r="G343" s="60">
        <f t="shared" si="42"/>
        <v>319.90607999999997</v>
      </c>
      <c r="H343" s="60">
        <f t="shared" si="25"/>
        <v>383.88729599999994</v>
      </c>
      <c r="I343" s="32">
        <f t="shared" si="43"/>
        <v>223934.25599999999</v>
      </c>
      <c r="J343" s="32">
        <f t="shared" si="44"/>
        <v>4798591.1999999993</v>
      </c>
      <c r="K343" s="137">
        <f t="shared" si="45"/>
        <v>959718.23999999987</v>
      </c>
      <c r="L343" s="138">
        <v>11000</v>
      </c>
      <c r="M343" s="192">
        <f t="shared" si="46"/>
        <v>5022525.4559999993</v>
      </c>
      <c r="N343" s="193"/>
    </row>
    <row r="344" spans="1:14" customFormat="1" x14ac:dyDescent="0.25">
      <c r="A344" s="13">
        <f t="shared" si="31"/>
        <v>52</v>
      </c>
      <c r="B344" s="184"/>
      <c r="C344" s="52">
        <f t="shared" si="12"/>
        <v>1004</v>
      </c>
      <c r="D344" s="52" t="s">
        <v>104</v>
      </c>
      <c r="E344" s="60">
        <f>(48.01)*(10.764)</f>
        <v>516.77963999999997</v>
      </c>
      <c r="F344" s="60">
        <v>0</v>
      </c>
      <c r="G344" s="60">
        <f t="shared" si="42"/>
        <v>516.77963999999997</v>
      </c>
      <c r="H344" s="60">
        <f t="shared" si="25"/>
        <v>620.13556799999992</v>
      </c>
      <c r="I344" s="32">
        <f t="shared" si="43"/>
        <v>361745.74799999996</v>
      </c>
      <c r="J344" s="32">
        <f t="shared" si="44"/>
        <v>7751694.5999999996</v>
      </c>
      <c r="K344" s="137">
        <f t="shared" si="45"/>
        <v>1550338.9199999997</v>
      </c>
      <c r="L344" s="138">
        <v>16000</v>
      </c>
      <c r="M344" s="192">
        <f t="shared" si="46"/>
        <v>8113440.3479999993</v>
      </c>
      <c r="N344" s="193"/>
    </row>
    <row r="345" spans="1:14" customFormat="1" x14ac:dyDescent="0.25">
      <c r="A345" s="13">
        <f t="shared" si="31"/>
        <v>53</v>
      </c>
      <c r="B345" s="184"/>
      <c r="C345" s="52">
        <f t="shared" si="12"/>
        <v>1005</v>
      </c>
      <c r="D345" s="52" t="s">
        <v>104</v>
      </c>
      <c r="E345" s="60">
        <f>(49.83)*(10.764)</f>
        <v>536.37011999999993</v>
      </c>
      <c r="F345" s="60">
        <v>0</v>
      </c>
      <c r="G345" s="60">
        <f t="shared" si="42"/>
        <v>536.37011999999993</v>
      </c>
      <c r="H345" s="60">
        <f t="shared" si="25"/>
        <v>643.64414399999987</v>
      </c>
      <c r="I345" s="32">
        <f t="shared" si="43"/>
        <v>375459.08399999997</v>
      </c>
      <c r="J345" s="32">
        <f t="shared" si="44"/>
        <v>8045551.7999999989</v>
      </c>
      <c r="K345" s="137">
        <f t="shared" si="45"/>
        <v>1609110.3599999996</v>
      </c>
      <c r="L345" s="138">
        <v>16000</v>
      </c>
      <c r="M345" s="192">
        <f t="shared" si="46"/>
        <v>8421010.8839999996</v>
      </c>
      <c r="N345" s="193"/>
    </row>
    <row r="346" spans="1:14" customFormat="1" x14ac:dyDescent="0.25">
      <c r="A346" s="13">
        <f t="shared" si="31"/>
        <v>54</v>
      </c>
      <c r="B346" s="184"/>
      <c r="C346" s="52">
        <f t="shared" si="12"/>
        <v>1006</v>
      </c>
      <c r="D346" s="52" t="s">
        <v>104</v>
      </c>
      <c r="E346" s="60">
        <f>(49.78)*(10.764)</f>
        <v>535.83191999999997</v>
      </c>
      <c r="F346" s="60">
        <v>0</v>
      </c>
      <c r="G346" s="60">
        <f t="shared" si="42"/>
        <v>535.83191999999997</v>
      </c>
      <c r="H346" s="60">
        <f t="shared" si="25"/>
        <v>642.99830399999996</v>
      </c>
      <c r="I346" s="32">
        <f t="shared" si="43"/>
        <v>375082.34399999998</v>
      </c>
      <c r="J346" s="32">
        <f t="shared" si="44"/>
        <v>8037478.7999999998</v>
      </c>
      <c r="K346" s="137">
        <f t="shared" si="45"/>
        <v>1607495.76</v>
      </c>
      <c r="L346" s="138">
        <v>16000</v>
      </c>
      <c r="M346" s="192">
        <f t="shared" si="46"/>
        <v>8412561.1439999994</v>
      </c>
      <c r="N346" s="193"/>
    </row>
    <row r="347" spans="1:14" customFormat="1" x14ac:dyDescent="0.25">
      <c r="A347" s="13">
        <f t="shared" si="31"/>
        <v>55</v>
      </c>
      <c r="B347" s="184"/>
      <c r="C347" s="52">
        <f t="shared" si="12"/>
        <v>1007</v>
      </c>
      <c r="D347" s="52" t="s">
        <v>104</v>
      </c>
      <c r="E347" s="60">
        <f>(49.78)*(10.764)</f>
        <v>535.83191999999997</v>
      </c>
      <c r="F347" s="60">
        <v>0</v>
      </c>
      <c r="G347" s="60">
        <f t="shared" si="42"/>
        <v>535.83191999999997</v>
      </c>
      <c r="H347" s="60">
        <f t="shared" si="25"/>
        <v>642.99830399999996</v>
      </c>
      <c r="I347" s="32">
        <f t="shared" si="43"/>
        <v>375082.34399999998</v>
      </c>
      <c r="J347" s="32">
        <f t="shared" si="44"/>
        <v>8037478.7999999998</v>
      </c>
      <c r="K347" s="137">
        <f t="shared" si="45"/>
        <v>1607495.76</v>
      </c>
      <c r="L347" s="138">
        <v>16000</v>
      </c>
      <c r="M347" s="192">
        <f t="shared" si="46"/>
        <v>8412561.1439999994</v>
      </c>
      <c r="N347" s="193"/>
    </row>
    <row r="348" spans="1:14" customFormat="1" x14ac:dyDescent="0.25">
      <c r="A348" s="13">
        <f t="shared" si="31"/>
        <v>56</v>
      </c>
      <c r="B348" s="184"/>
      <c r="C348" s="52">
        <f t="shared" si="12"/>
        <v>1008</v>
      </c>
      <c r="D348" s="52" t="s">
        <v>104</v>
      </c>
      <c r="E348" s="60">
        <f>(49.83)*(10.764)</f>
        <v>536.37011999999993</v>
      </c>
      <c r="F348" s="60">
        <v>0</v>
      </c>
      <c r="G348" s="60">
        <f t="shared" si="42"/>
        <v>536.37011999999993</v>
      </c>
      <c r="H348" s="60">
        <f t="shared" si="25"/>
        <v>643.64414399999987</v>
      </c>
      <c r="I348" s="32">
        <f t="shared" si="43"/>
        <v>375459.08399999997</v>
      </c>
      <c r="J348" s="32">
        <f t="shared" si="44"/>
        <v>8045551.7999999989</v>
      </c>
      <c r="K348" s="137">
        <f t="shared" si="45"/>
        <v>1609110.3599999996</v>
      </c>
      <c r="L348" s="138">
        <v>16000</v>
      </c>
      <c r="M348" s="192">
        <f t="shared" si="46"/>
        <v>8421010.8839999996</v>
      </c>
      <c r="N348" s="193"/>
    </row>
    <row r="349" spans="1:14" customFormat="1" x14ac:dyDescent="0.25">
      <c r="A349" s="13">
        <f t="shared" si="31"/>
        <v>57</v>
      </c>
      <c r="B349" s="184"/>
      <c r="C349" s="52">
        <f t="shared" si="12"/>
        <v>1009</v>
      </c>
      <c r="D349" s="52" t="s">
        <v>104</v>
      </c>
      <c r="E349" s="60">
        <f>(48.01)*(10.764)</f>
        <v>516.77963999999997</v>
      </c>
      <c r="F349" s="60">
        <v>0</v>
      </c>
      <c r="G349" s="60">
        <f t="shared" si="42"/>
        <v>516.77963999999997</v>
      </c>
      <c r="H349" s="60">
        <f t="shared" si="25"/>
        <v>620.13556799999992</v>
      </c>
      <c r="I349" s="32">
        <f t="shared" si="43"/>
        <v>361745.74799999996</v>
      </c>
      <c r="J349" s="32">
        <f t="shared" si="44"/>
        <v>7751694.5999999996</v>
      </c>
      <c r="K349" s="137">
        <f t="shared" si="45"/>
        <v>1550338.9199999997</v>
      </c>
      <c r="L349" s="138">
        <v>16000</v>
      </c>
      <c r="M349" s="192">
        <f t="shared" si="46"/>
        <v>8113440.3479999993</v>
      </c>
      <c r="N349" s="193"/>
    </row>
    <row r="350" spans="1:14" customFormat="1" x14ac:dyDescent="0.25">
      <c r="A350" s="13">
        <f t="shared" si="31"/>
        <v>58</v>
      </c>
      <c r="B350" s="184"/>
      <c r="C350" s="52">
        <f t="shared" si="12"/>
        <v>1010</v>
      </c>
      <c r="D350" s="52" t="s">
        <v>100</v>
      </c>
      <c r="E350" s="60">
        <f>(29.72)*(10.764)</f>
        <v>319.90607999999997</v>
      </c>
      <c r="F350" s="60">
        <v>0</v>
      </c>
      <c r="G350" s="60">
        <f t="shared" si="42"/>
        <v>319.90607999999997</v>
      </c>
      <c r="H350" s="60">
        <f t="shared" si="25"/>
        <v>383.88729599999994</v>
      </c>
      <c r="I350" s="32">
        <f t="shared" si="43"/>
        <v>223934.25599999999</v>
      </c>
      <c r="J350" s="32">
        <f t="shared" si="44"/>
        <v>4798591.1999999993</v>
      </c>
      <c r="K350" s="137">
        <f t="shared" si="45"/>
        <v>959718.23999999987</v>
      </c>
      <c r="L350" s="138">
        <v>11000</v>
      </c>
      <c r="M350" s="192">
        <f t="shared" si="46"/>
        <v>5022525.4559999993</v>
      </c>
      <c r="N350" s="193"/>
    </row>
    <row r="351" spans="1:14" customFormat="1" x14ac:dyDescent="0.25">
      <c r="A351" s="13">
        <f t="shared" si="31"/>
        <v>59</v>
      </c>
      <c r="B351" s="184"/>
      <c r="C351" s="52">
        <f t="shared" si="12"/>
        <v>1011</v>
      </c>
      <c r="D351" s="52" t="s">
        <v>100</v>
      </c>
      <c r="E351" s="60">
        <f>(29.49)*(10.764)</f>
        <v>317.43035999999995</v>
      </c>
      <c r="F351" s="60">
        <v>0</v>
      </c>
      <c r="G351" s="60">
        <f t="shared" si="42"/>
        <v>317.43035999999995</v>
      </c>
      <c r="H351" s="60">
        <f t="shared" si="25"/>
        <v>380.91643199999993</v>
      </c>
      <c r="I351" s="32">
        <f t="shared" si="43"/>
        <v>222201.25199999998</v>
      </c>
      <c r="J351" s="32">
        <f t="shared" si="44"/>
        <v>4761455.3999999994</v>
      </c>
      <c r="K351" s="137">
        <f t="shared" si="45"/>
        <v>952291.07999999984</v>
      </c>
      <c r="L351" s="138">
        <v>11000</v>
      </c>
      <c r="M351" s="192">
        <f t="shared" si="46"/>
        <v>4983656.6519999998</v>
      </c>
      <c r="N351" s="193"/>
    </row>
    <row r="352" spans="1:14" customFormat="1" x14ac:dyDescent="0.25">
      <c r="A352" s="13">
        <f t="shared" si="31"/>
        <v>60</v>
      </c>
      <c r="B352" s="185"/>
      <c r="C352" s="52">
        <f t="shared" si="12"/>
        <v>1012</v>
      </c>
      <c r="D352" s="52" t="s">
        <v>100</v>
      </c>
      <c r="E352" s="60">
        <f>(29.49)*(10.764)</f>
        <v>317.43035999999995</v>
      </c>
      <c r="F352" s="60">
        <v>0</v>
      </c>
      <c r="G352" s="60">
        <f t="shared" si="42"/>
        <v>317.43035999999995</v>
      </c>
      <c r="H352" s="60">
        <f t="shared" si="25"/>
        <v>380.91643199999993</v>
      </c>
      <c r="I352" s="32">
        <f t="shared" si="43"/>
        <v>222201.25199999998</v>
      </c>
      <c r="J352" s="32">
        <f t="shared" si="44"/>
        <v>4761455.3999999994</v>
      </c>
      <c r="K352" s="137">
        <f t="shared" si="45"/>
        <v>952291.07999999984</v>
      </c>
      <c r="L352" s="138">
        <v>11000</v>
      </c>
      <c r="M352" s="192">
        <f t="shared" si="46"/>
        <v>4983656.6519999998</v>
      </c>
      <c r="N352" s="193"/>
    </row>
    <row r="353" spans="1:14" customFormat="1" x14ac:dyDescent="0.25">
      <c r="A353" s="13">
        <f t="shared" si="31"/>
        <v>61</v>
      </c>
      <c r="B353" s="183" t="s">
        <v>664</v>
      </c>
      <c r="C353" s="52">
        <f>LEFT(B353,SUM(LEN(B353)-LEN(SUBSTITUTE(B353,{"0","1","2","3","4","5","6","7","8","9"},""))))*100+1</f>
        <v>1101</v>
      </c>
      <c r="D353" s="52" t="s">
        <v>100</v>
      </c>
      <c r="E353" s="60">
        <f>(29.49)*(10.764)</f>
        <v>317.43035999999995</v>
      </c>
      <c r="F353" s="60">
        <v>0</v>
      </c>
      <c r="G353" s="60">
        <f>E353+(IF(F353&lt;101,F353,IF(F353&lt;201,F353/2,IF(F353&lt;=301,F353/3,F353/4))))</f>
        <v>317.43035999999995</v>
      </c>
      <c r="H353" s="60">
        <f t="shared" si="25"/>
        <v>380.91643199999993</v>
      </c>
      <c r="I353" s="32">
        <f>G353*I$288</f>
        <v>222201.25199999998</v>
      </c>
      <c r="J353" s="32">
        <f>G353*$J$288</f>
        <v>4761455.3999999994</v>
      </c>
      <c r="K353" s="137">
        <f>$K$288*H353</f>
        <v>952291.07999999984</v>
      </c>
      <c r="L353" s="138">
        <v>11000</v>
      </c>
      <c r="M353" s="192">
        <f>J353+I353</f>
        <v>4983656.6519999998</v>
      </c>
      <c r="N353" s="193"/>
    </row>
    <row r="354" spans="1:14" customFormat="1" x14ac:dyDescent="0.25">
      <c r="A354" s="13">
        <f t="shared" si="31"/>
        <v>62</v>
      </c>
      <c r="B354" s="184"/>
      <c r="C354" s="52">
        <f t="shared" si="12"/>
        <v>1102</v>
      </c>
      <c r="D354" s="52" t="s">
        <v>100</v>
      </c>
      <c r="E354" s="60">
        <f>(29.49)*(10.764)</f>
        <v>317.43035999999995</v>
      </c>
      <c r="F354" s="60">
        <v>0</v>
      </c>
      <c r="G354" s="60">
        <f t="shared" ref="G354:G364" si="47">E354+(IF(F354&lt;101,F354,IF(F354&lt;201,F354/2,IF(F354&lt;=301,F354/3,F354/4))))</f>
        <v>317.43035999999995</v>
      </c>
      <c r="H354" s="60">
        <f t="shared" si="25"/>
        <v>380.91643199999993</v>
      </c>
      <c r="I354" s="32">
        <f t="shared" ref="I354:I364" si="48">G354*I$288</f>
        <v>222201.25199999998</v>
      </c>
      <c r="J354" s="32">
        <f t="shared" ref="J354:J364" si="49">G354*$J$288</f>
        <v>4761455.3999999994</v>
      </c>
      <c r="K354" s="137">
        <f t="shared" ref="K354:K364" si="50">$K$288*H354</f>
        <v>952291.07999999984</v>
      </c>
      <c r="L354" s="138">
        <v>11000</v>
      </c>
      <c r="M354" s="192">
        <f t="shared" ref="M354:M364" si="51">J354+I354</f>
        <v>4983656.6519999998</v>
      </c>
      <c r="N354" s="193"/>
    </row>
    <row r="355" spans="1:14" customFormat="1" x14ac:dyDescent="0.25">
      <c r="A355" s="13">
        <f t="shared" si="31"/>
        <v>63</v>
      </c>
      <c r="B355" s="184"/>
      <c r="C355" s="52">
        <f t="shared" si="12"/>
        <v>1103</v>
      </c>
      <c r="D355" s="52" t="s">
        <v>100</v>
      </c>
      <c r="E355" s="60">
        <f>(29.72)*(10.764)</f>
        <v>319.90607999999997</v>
      </c>
      <c r="F355" s="60">
        <v>0</v>
      </c>
      <c r="G355" s="60">
        <f t="shared" si="47"/>
        <v>319.90607999999997</v>
      </c>
      <c r="H355" s="60">
        <f t="shared" si="25"/>
        <v>383.88729599999994</v>
      </c>
      <c r="I355" s="32">
        <f t="shared" si="48"/>
        <v>223934.25599999999</v>
      </c>
      <c r="J355" s="32">
        <f t="shared" si="49"/>
        <v>4798591.1999999993</v>
      </c>
      <c r="K355" s="137">
        <f t="shared" si="50"/>
        <v>959718.23999999987</v>
      </c>
      <c r="L355" s="138">
        <v>11000</v>
      </c>
      <c r="M355" s="192">
        <f t="shared" si="51"/>
        <v>5022525.4559999993</v>
      </c>
      <c r="N355" s="193"/>
    </row>
    <row r="356" spans="1:14" customFormat="1" x14ac:dyDescent="0.25">
      <c r="A356" s="13">
        <f t="shared" si="31"/>
        <v>64</v>
      </c>
      <c r="B356" s="184"/>
      <c r="C356" s="52">
        <f t="shared" si="12"/>
        <v>1104</v>
      </c>
      <c r="D356" s="52" t="s">
        <v>104</v>
      </c>
      <c r="E356" s="60">
        <f>(48.01)*(10.764)</f>
        <v>516.77963999999997</v>
      </c>
      <c r="F356" s="60">
        <v>0</v>
      </c>
      <c r="G356" s="60">
        <f t="shared" si="47"/>
        <v>516.77963999999997</v>
      </c>
      <c r="H356" s="60">
        <f t="shared" si="25"/>
        <v>620.13556799999992</v>
      </c>
      <c r="I356" s="32">
        <f t="shared" si="48"/>
        <v>361745.74799999996</v>
      </c>
      <c r="J356" s="32">
        <f t="shared" si="49"/>
        <v>7751694.5999999996</v>
      </c>
      <c r="K356" s="137">
        <f t="shared" si="50"/>
        <v>1550338.9199999997</v>
      </c>
      <c r="L356" s="138">
        <v>16000</v>
      </c>
      <c r="M356" s="192">
        <f t="shared" si="51"/>
        <v>8113440.3479999993</v>
      </c>
      <c r="N356" s="193"/>
    </row>
    <row r="357" spans="1:14" customFormat="1" x14ac:dyDescent="0.25">
      <c r="A357" s="13">
        <f t="shared" si="31"/>
        <v>65</v>
      </c>
      <c r="B357" s="184"/>
      <c r="C357" s="52">
        <f t="shared" si="12"/>
        <v>1105</v>
      </c>
      <c r="D357" s="52" t="s">
        <v>104</v>
      </c>
      <c r="E357" s="60">
        <f>(49.83)*(10.764)</f>
        <v>536.37011999999993</v>
      </c>
      <c r="F357" s="60">
        <v>0</v>
      </c>
      <c r="G357" s="60">
        <f t="shared" si="47"/>
        <v>536.37011999999993</v>
      </c>
      <c r="H357" s="60">
        <f t="shared" si="25"/>
        <v>643.64414399999987</v>
      </c>
      <c r="I357" s="32">
        <f t="shared" si="48"/>
        <v>375459.08399999997</v>
      </c>
      <c r="J357" s="32">
        <f t="shared" si="49"/>
        <v>8045551.7999999989</v>
      </c>
      <c r="K357" s="137">
        <f t="shared" si="50"/>
        <v>1609110.3599999996</v>
      </c>
      <c r="L357" s="138">
        <v>16000</v>
      </c>
      <c r="M357" s="192">
        <f t="shared" si="51"/>
        <v>8421010.8839999996</v>
      </c>
      <c r="N357" s="193"/>
    </row>
    <row r="358" spans="1:14" customFormat="1" x14ac:dyDescent="0.25">
      <c r="A358" s="13">
        <f t="shared" si="31"/>
        <v>66</v>
      </c>
      <c r="B358" s="184"/>
      <c r="C358" s="52">
        <f t="shared" ref="C358:C364" si="52">C357+1</f>
        <v>1106</v>
      </c>
      <c r="D358" s="52" t="s">
        <v>104</v>
      </c>
      <c r="E358" s="60">
        <f>(49.78)*(10.764)</f>
        <v>535.83191999999997</v>
      </c>
      <c r="F358" s="60">
        <v>0</v>
      </c>
      <c r="G358" s="60">
        <f t="shared" si="47"/>
        <v>535.83191999999997</v>
      </c>
      <c r="H358" s="60">
        <f t="shared" si="25"/>
        <v>642.99830399999996</v>
      </c>
      <c r="I358" s="32">
        <f t="shared" si="48"/>
        <v>375082.34399999998</v>
      </c>
      <c r="J358" s="32">
        <f t="shared" si="49"/>
        <v>8037478.7999999998</v>
      </c>
      <c r="K358" s="137">
        <f t="shared" si="50"/>
        <v>1607495.76</v>
      </c>
      <c r="L358" s="138">
        <v>16000</v>
      </c>
      <c r="M358" s="192">
        <f t="shared" si="51"/>
        <v>8412561.1439999994</v>
      </c>
      <c r="N358" s="193"/>
    </row>
    <row r="359" spans="1:14" customFormat="1" x14ac:dyDescent="0.25">
      <c r="A359" s="13">
        <f t="shared" si="31"/>
        <v>67</v>
      </c>
      <c r="B359" s="184"/>
      <c r="C359" s="52">
        <f t="shared" si="52"/>
        <v>1107</v>
      </c>
      <c r="D359" s="52" t="s">
        <v>104</v>
      </c>
      <c r="E359" s="60">
        <f>(49.78)*(10.764)</f>
        <v>535.83191999999997</v>
      </c>
      <c r="F359" s="60">
        <v>0</v>
      </c>
      <c r="G359" s="60">
        <f t="shared" si="47"/>
        <v>535.83191999999997</v>
      </c>
      <c r="H359" s="60">
        <f t="shared" si="25"/>
        <v>642.99830399999996</v>
      </c>
      <c r="I359" s="32">
        <f t="shared" si="48"/>
        <v>375082.34399999998</v>
      </c>
      <c r="J359" s="32">
        <f t="shared" si="49"/>
        <v>8037478.7999999998</v>
      </c>
      <c r="K359" s="137">
        <f t="shared" si="50"/>
        <v>1607495.76</v>
      </c>
      <c r="L359" s="138">
        <v>16000</v>
      </c>
      <c r="M359" s="192">
        <f t="shared" si="51"/>
        <v>8412561.1439999994</v>
      </c>
      <c r="N359" s="193"/>
    </row>
    <row r="360" spans="1:14" customFormat="1" x14ac:dyDescent="0.25">
      <c r="A360" s="13">
        <f t="shared" si="31"/>
        <v>68</v>
      </c>
      <c r="B360" s="184"/>
      <c r="C360" s="52">
        <f t="shared" si="52"/>
        <v>1108</v>
      </c>
      <c r="D360" s="52" t="s">
        <v>104</v>
      </c>
      <c r="E360" s="60">
        <f>(49.83)*(10.764)</f>
        <v>536.37011999999993</v>
      </c>
      <c r="F360" s="60">
        <v>0</v>
      </c>
      <c r="G360" s="60">
        <f t="shared" si="47"/>
        <v>536.37011999999993</v>
      </c>
      <c r="H360" s="60">
        <f t="shared" si="25"/>
        <v>643.64414399999987</v>
      </c>
      <c r="I360" s="32">
        <f t="shared" si="48"/>
        <v>375459.08399999997</v>
      </c>
      <c r="J360" s="32">
        <f t="shared" si="49"/>
        <v>8045551.7999999989</v>
      </c>
      <c r="K360" s="137">
        <f t="shared" si="50"/>
        <v>1609110.3599999996</v>
      </c>
      <c r="L360" s="138">
        <v>16000</v>
      </c>
      <c r="M360" s="192">
        <f t="shared" si="51"/>
        <v>8421010.8839999996</v>
      </c>
      <c r="N360" s="193"/>
    </row>
    <row r="361" spans="1:14" customFormat="1" x14ac:dyDescent="0.25">
      <c r="A361" s="13">
        <f t="shared" si="31"/>
        <v>69</v>
      </c>
      <c r="B361" s="184"/>
      <c r="C361" s="52">
        <f t="shared" si="52"/>
        <v>1109</v>
      </c>
      <c r="D361" s="52" t="s">
        <v>104</v>
      </c>
      <c r="E361" s="60">
        <f>(48.01)*(10.764)</f>
        <v>516.77963999999997</v>
      </c>
      <c r="F361" s="60">
        <v>0</v>
      </c>
      <c r="G361" s="60">
        <f t="shared" si="47"/>
        <v>516.77963999999997</v>
      </c>
      <c r="H361" s="60">
        <f t="shared" si="25"/>
        <v>620.13556799999992</v>
      </c>
      <c r="I361" s="32">
        <f t="shared" si="48"/>
        <v>361745.74799999996</v>
      </c>
      <c r="J361" s="32">
        <f t="shared" si="49"/>
        <v>7751694.5999999996</v>
      </c>
      <c r="K361" s="137">
        <f t="shared" si="50"/>
        <v>1550338.9199999997</v>
      </c>
      <c r="L361" s="138">
        <v>16000</v>
      </c>
      <c r="M361" s="192">
        <f t="shared" si="51"/>
        <v>8113440.3479999993</v>
      </c>
      <c r="N361" s="193"/>
    </row>
    <row r="362" spans="1:14" customFormat="1" x14ac:dyDescent="0.25">
      <c r="A362" s="13">
        <f t="shared" si="31"/>
        <v>70</v>
      </c>
      <c r="B362" s="184"/>
      <c r="C362" s="52">
        <f t="shared" si="52"/>
        <v>1110</v>
      </c>
      <c r="D362" s="52" t="s">
        <v>100</v>
      </c>
      <c r="E362" s="60">
        <f>(29.72)*(10.764)</f>
        <v>319.90607999999997</v>
      </c>
      <c r="F362" s="60">
        <v>0</v>
      </c>
      <c r="G362" s="60">
        <f t="shared" si="47"/>
        <v>319.90607999999997</v>
      </c>
      <c r="H362" s="60">
        <f t="shared" si="25"/>
        <v>383.88729599999994</v>
      </c>
      <c r="I362" s="32">
        <f t="shared" si="48"/>
        <v>223934.25599999999</v>
      </c>
      <c r="J362" s="32">
        <f t="shared" si="49"/>
        <v>4798591.1999999993</v>
      </c>
      <c r="K362" s="137">
        <f t="shared" si="50"/>
        <v>959718.23999999987</v>
      </c>
      <c r="L362" s="138">
        <v>11000</v>
      </c>
      <c r="M362" s="192">
        <f t="shared" si="51"/>
        <v>5022525.4559999993</v>
      </c>
      <c r="N362" s="193"/>
    </row>
    <row r="363" spans="1:14" customFormat="1" x14ac:dyDescent="0.25">
      <c r="A363" s="13">
        <f t="shared" si="31"/>
        <v>71</v>
      </c>
      <c r="B363" s="184"/>
      <c r="C363" s="52">
        <f t="shared" si="52"/>
        <v>1111</v>
      </c>
      <c r="D363" s="52" t="s">
        <v>100</v>
      </c>
      <c r="E363" s="60">
        <f>(29.49)*(10.764)</f>
        <v>317.43035999999995</v>
      </c>
      <c r="F363" s="60">
        <v>0</v>
      </c>
      <c r="G363" s="60">
        <f t="shared" si="47"/>
        <v>317.43035999999995</v>
      </c>
      <c r="H363" s="60">
        <f t="shared" si="25"/>
        <v>380.91643199999993</v>
      </c>
      <c r="I363" s="32">
        <f t="shared" si="48"/>
        <v>222201.25199999998</v>
      </c>
      <c r="J363" s="32">
        <f t="shared" si="49"/>
        <v>4761455.3999999994</v>
      </c>
      <c r="K363" s="137">
        <f t="shared" si="50"/>
        <v>952291.07999999984</v>
      </c>
      <c r="L363" s="138">
        <v>11000</v>
      </c>
      <c r="M363" s="192">
        <f t="shared" si="51"/>
        <v>4983656.6519999998</v>
      </c>
      <c r="N363" s="193"/>
    </row>
    <row r="364" spans="1:14" customFormat="1" x14ac:dyDescent="0.25">
      <c r="A364" s="13">
        <f t="shared" si="31"/>
        <v>72</v>
      </c>
      <c r="B364" s="185"/>
      <c r="C364" s="52">
        <f t="shared" si="52"/>
        <v>1112</v>
      </c>
      <c r="D364" s="52" t="s">
        <v>100</v>
      </c>
      <c r="E364" s="60">
        <f>(29.49)*(10.764)</f>
        <v>317.43035999999995</v>
      </c>
      <c r="F364" s="60">
        <v>0</v>
      </c>
      <c r="G364" s="60">
        <f t="shared" si="47"/>
        <v>317.43035999999995</v>
      </c>
      <c r="H364" s="60">
        <f t="shared" si="25"/>
        <v>380.91643199999993</v>
      </c>
      <c r="I364" s="32">
        <f t="shared" si="48"/>
        <v>222201.25199999998</v>
      </c>
      <c r="J364" s="32">
        <f t="shared" si="49"/>
        <v>4761455.3999999994</v>
      </c>
      <c r="K364" s="137">
        <f t="shared" si="50"/>
        <v>952291.07999999984</v>
      </c>
      <c r="L364" s="138">
        <v>11000</v>
      </c>
      <c r="M364" s="192">
        <f t="shared" si="51"/>
        <v>4983656.6519999998</v>
      </c>
      <c r="N364" s="193"/>
    </row>
    <row r="365" spans="1:14" customFormat="1" x14ac:dyDescent="0.25">
      <c r="A365" s="359" t="s">
        <v>672</v>
      </c>
      <c r="B365" s="359"/>
      <c r="C365" s="359"/>
      <c r="D365" s="359"/>
      <c r="E365" s="359"/>
      <c r="F365" s="359"/>
      <c r="G365" s="359"/>
      <c r="H365" s="359"/>
      <c r="I365" s="359"/>
      <c r="J365" s="359"/>
      <c r="K365" s="359"/>
      <c r="L365" s="359"/>
      <c r="M365" s="359"/>
      <c r="N365" s="359"/>
    </row>
    <row r="366" spans="1:14" customFormat="1" x14ac:dyDescent="0.25">
      <c r="A366" s="13">
        <f>A364+1</f>
        <v>73</v>
      </c>
      <c r="B366" s="447" t="s">
        <v>673</v>
      </c>
      <c r="C366" s="52">
        <f>LEFT(B366,SUM(LEN(B366)-LEN(SUBSTITUTE(B366,{"0","1","2","3","4","5","6","7","8","9"},""))))*100+1</f>
        <v>1201</v>
      </c>
      <c r="D366" s="52" t="s">
        <v>100</v>
      </c>
      <c r="E366" s="60">
        <f>(29.49)*(10.764)</f>
        <v>317.43035999999995</v>
      </c>
      <c r="F366" s="60">
        <v>0</v>
      </c>
      <c r="G366" s="60">
        <f>E366+(IF(F366&lt;101,F366,IF(F366&lt;201,F366/2,IF(F366&lt;=301,F366/3,F366/4))))</f>
        <v>317.43035999999995</v>
      </c>
      <c r="H366" s="60">
        <f t="shared" si="25"/>
        <v>380.91643199999993</v>
      </c>
      <c r="I366" s="32">
        <f>G366*I$288</f>
        <v>222201.25199999998</v>
      </c>
      <c r="J366" s="32">
        <f>G366*$J$288</f>
        <v>4761455.3999999994</v>
      </c>
      <c r="K366" s="137">
        <f>$K$288*H366</f>
        <v>952291.07999999984</v>
      </c>
      <c r="L366" s="138">
        <v>11000</v>
      </c>
      <c r="M366" s="192">
        <f>J366+I366</f>
        <v>4983656.6519999998</v>
      </c>
      <c r="N366" s="193"/>
    </row>
    <row r="367" spans="1:14" customFormat="1" x14ac:dyDescent="0.25">
      <c r="A367" s="13">
        <f>A366+1</f>
        <v>74</v>
      </c>
      <c r="B367" s="448"/>
      <c r="C367" s="52">
        <f t="shared" ref="C367:C377" si="53">C366+1</f>
        <v>1202</v>
      </c>
      <c r="D367" s="52" t="s">
        <v>100</v>
      </c>
      <c r="E367" s="60">
        <f>(29.49)*(10.764)</f>
        <v>317.43035999999995</v>
      </c>
      <c r="F367" s="60">
        <v>0</v>
      </c>
      <c r="G367" s="60">
        <f t="shared" ref="G367:G377" si="54">E367+(IF(F367&lt;101,F367,IF(F367&lt;201,F367/2,IF(F367&lt;=301,F367/3,F367/4))))</f>
        <v>317.43035999999995</v>
      </c>
      <c r="H367" s="60">
        <f t="shared" si="25"/>
        <v>380.91643199999993</v>
      </c>
      <c r="I367" s="32">
        <f t="shared" ref="I367:I377" si="55">G367*I$288</f>
        <v>222201.25199999998</v>
      </c>
      <c r="J367" s="32">
        <f t="shared" ref="J367:J377" si="56">G367*$J$288</f>
        <v>4761455.3999999994</v>
      </c>
      <c r="K367" s="137">
        <f t="shared" ref="K367:K377" si="57">$K$288*H367</f>
        <v>952291.07999999984</v>
      </c>
      <c r="L367" s="138">
        <v>11000</v>
      </c>
      <c r="M367" s="192">
        <f t="shared" ref="M367:M377" si="58">J367+I367</f>
        <v>4983656.6519999998</v>
      </c>
      <c r="N367" s="193"/>
    </row>
    <row r="368" spans="1:14" customFormat="1" x14ac:dyDescent="0.25">
      <c r="A368" s="13">
        <f t="shared" ref="A368:A425" si="59">A367+1</f>
        <v>75</v>
      </c>
      <c r="B368" s="448"/>
      <c r="C368" s="52">
        <f t="shared" si="53"/>
        <v>1203</v>
      </c>
      <c r="D368" s="52" t="s">
        <v>100</v>
      </c>
      <c r="E368" s="60">
        <f>(29.72)*(10.764)</f>
        <v>319.90607999999997</v>
      </c>
      <c r="F368" s="60">
        <v>0</v>
      </c>
      <c r="G368" s="60">
        <f t="shared" si="54"/>
        <v>319.90607999999997</v>
      </c>
      <c r="H368" s="60">
        <f t="shared" si="25"/>
        <v>383.88729599999994</v>
      </c>
      <c r="I368" s="32">
        <f t="shared" si="55"/>
        <v>223934.25599999999</v>
      </c>
      <c r="J368" s="32">
        <f t="shared" si="56"/>
        <v>4798591.1999999993</v>
      </c>
      <c r="K368" s="137">
        <f t="shared" si="57"/>
        <v>959718.23999999987</v>
      </c>
      <c r="L368" s="138">
        <v>11000</v>
      </c>
      <c r="M368" s="192">
        <f t="shared" si="58"/>
        <v>5022525.4559999993</v>
      </c>
      <c r="N368" s="193"/>
    </row>
    <row r="369" spans="1:14" customFormat="1" x14ac:dyDescent="0.25">
      <c r="A369" s="13">
        <f t="shared" si="59"/>
        <v>76</v>
      </c>
      <c r="B369" s="448"/>
      <c r="C369" s="52">
        <f t="shared" si="53"/>
        <v>1204</v>
      </c>
      <c r="D369" s="52" t="s">
        <v>104</v>
      </c>
      <c r="E369" s="60">
        <f>(48.01)*(10.764)</f>
        <v>516.77963999999997</v>
      </c>
      <c r="F369" s="60">
        <v>0</v>
      </c>
      <c r="G369" s="60">
        <f t="shared" si="54"/>
        <v>516.77963999999997</v>
      </c>
      <c r="H369" s="60">
        <f t="shared" ref="H369:H425" si="60">G369*1.2</f>
        <v>620.13556799999992</v>
      </c>
      <c r="I369" s="32">
        <f t="shared" si="55"/>
        <v>361745.74799999996</v>
      </c>
      <c r="J369" s="32">
        <f t="shared" si="56"/>
        <v>7751694.5999999996</v>
      </c>
      <c r="K369" s="137">
        <f t="shared" si="57"/>
        <v>1550338.9199999997</v>
      </c>
      <c r="L369" s="138">
        <v>16000</v>
      </c>
      <c r="M369" s="192">
        <f t="shared" si="58"/>
        <v>8113440.3479999993</v>
      </c>
      <c r="N369" s="193"/>
    </row>
    <row r="370" spans="1:14" customFormat="1" x14ac:dyDescent="0.25">
      <c r="A370" s="13">
        <f t="shared" si="59"/>
        <v>77</v>
      </c>
      <c r="B370" s="448"/>
      <c r="C370" s="52">
        <f t="shared" si="53"/>
        <v>1205</v>
      </c>
      <c r="D370" s="52" t="s">
        <v>104</v>
      </c>
      <c r="E370" s="60">
        <f>(49.83)*(10.764)</f>
        <v>536.37011999999993</v>
      </c>
      <c r="F370" s="60">
        <v>0</v>
      </c>
      <c r="G370" s="60">
        <f t="shared" si="54"/>
        <v>536.37011999999993</v>
      </c>
      <c r="H370" s="60">
        <f t="shared" si="60"/>
        <v>643.64414399999987</v>
      </c>
      <c r="I370" s="32">
        <f t="shared" si="55"/>
        <v>375459.08399999997</v>
      </c>
      <c r="J370" s="32">
        <f t="shared" si="56"/>
        <v>8045551.7999999989</v>
      </c>
      <c r="K370" s="137">
        <f t="shared" si="57"/>
        <v>1609110.3599999996</v>
      </c>
      <c r="L370" s="138">
        <v>16000</v>
      </c>
      <c r="M370" s="192">
        <f t="shared" si="58"/>
        <v>8421010.8839999996</v>
      </c>
      <c r="N370" s="193"/>
    </row>
    <row r="371" spans="1:14" customFormat="1" x14ac:dyDescent="0.25">
      <c r="A371" s="13">
        <f t="shared" si="59"/>
        <v>78</v>
      </c>
      <c r="B371" s="448"/>
      <c r="C371" s="52">
        <f t="shared" si="53"/>
        <v>1206</v>
      </c>
      <c r="D371" s="52" t="s">
        <v>104</v>
      </c>
      <c r="E371" s="60">
        <f>(49.78)*(10.764)</f>
        <v>535.83191999999997</v>
      </c>
      <c r="F371" s="60">
        <v>0</v>
      </c>
      <c r="G371" s="60">
        <f t="shared" si="54"/>
        <v>535.83191999999997</v>
      </c>
      <c r="H371" s="60">
        <f t="shared" si="60"/>
        <v>642.99830399999996</v>
      </c>
      <c r="I371" s="32">
        <f t="shared" si="55"/>
        <v>375082.34399999998</v>
      </c>
      <c r="J371" s="32">
        <f t="shared" si="56"/>
        <v>8037478.7999999998</v>
      </c>
      <c r="K371" s="137">
        <f t="shared" si="57"/>
        <v>1607495.76</v>
      </c>
      <c r="L371" s="138">
        <v>16000</v>
      </c>
      <c r="M371" s="192">
        <f t="shared" si="58"/>
        <v>8412561.1439999994</v>
      </c>
      <c r="N371" s="193"/>
    </row>
    <row r="372" spans="1:14" customFormat="1" x14ac:dyDescent="0.25">
      <c r="A372" s="13">
        <f t="shared" si="59"/>
        <v>79</v>
      </c>
      <c r="B372" s="448"/>
      <c r="C372" s="52">
        <f t="shared" si="53"/>
        <v>1207</v>
      </c>
      <c r="D372" s="52" t="s">
        <v>104</v>
      </c>
      <c r="E372" s="60">
        <f>(49.78)*(10.764)</f>
        <v>535.83191999999997</v>
      </c>
      <c r="F372" s="60">
        <v>0</v>
      </c>
      <c r="G372" s="60">
        <f t="shared" si="54"/>
        <v>535.83191999999997</v>
      </c>
      <c r="H372" s="60">
        <f t="shared" si="60"/>
        <v>642.99830399999996</v>
      </c>
      <c r="I372" s="32">
        <f t="shared" si="55"/>
        <v>375082.34399999998</v>
      </c>
      <c r="J372" s="32">
        <f t="shared" si="56"/>
        <v>8037478.7999999998</v>
      </c>
      <c r="K372" s="137">
        <f t="shared" si="57"/>
        <v>1607495.76</v>
      </c>
      <c r="L372" s="138">
        <v>16000</v>
      </c>
      <c r="M372" s="192">
        <f t="shared" si="58"/>
        <v>8412561.1439999994</v>
      </c>
      <c r="N372" s="193"/>
    </row>
    <row r="373" spans="1:14" customFormat="1" x14ac:dyDescent="0.25">
      <c r="A373" s="13">
        <f t="shared" si="59"/>
        <v>80</v>
      </c>
      <c r="B373" s="448"/>
      <c r="C373" s="52">
        <f t="shared" si="53"/>
        <v>1208</v>
      </c>
      <c r="D373" s="52" t="s">
        <v>104</v>
      </c>
      <c r="E373" s="60">
        <f>(49.83)*(10.764)</f>
        <v>536.37011999999993</v>
      </c>
      <c r="F373" s="60">
        <v>0</v>
      </c>
      <c r="G373" s="60">
        <f t="shared" si="54"/>
        <v>536.37011999999993</v>
      </c>
      <c r="H373" s="60">
        <f t="shared" si="60"/>
        <v>643.64414399999987</v>
      </c>
      <c r="I373" s="32">
        <f t="shared" si="55"/>
        <v>375459.08399999997</v>
      </c>
      <c r="J373" s="32">
        <f t="shared" si="56"/>
        <v>8045551.7999999989</v>
      </c>
      <c r="K373" s="137">
        <f t="shared" si="57"/>
        <v>1609110.3599999996</v>
      </c>
      <c r="L373" s="138">
        <v>16000</v>
      </c>
      <c r="M373" s="192">
        <f t="shared" si="58"/>
        <v>8421010.8839999996</v>
      </c>
      <c r="N373" s="193"/>
    </row>
    <row r="374" spans="1:14" customFormat="1" x14ac:dyDescent="0.25">
      <c r="A374" s="13">
        <f t="shared" si="59"/>
        <v>81</v>
      </c>
      <c r="B374" s="448"/>
      <c r="C374" s="52">
        <f t="shared" si="53"/>
        <v>1209</v>
      </c>
      <c r="D374" s="52" t="s">
        <v>104</v>
      </c>
      <c r="E374" s="60">
        <f>(48.01)*(10.764)</f>
        <v>516.77963999999997</v>
      </c>
      <c r="F374" s="60">
        <v>0</v>
      </c>
      <c r="G374" s="60">
        <f t="shared" si="54"/>
        <v>516.77963999999997</v>
      </c>
      <c r="H374" s="60">
        <f t="shared" si="60"/>
        <v>620.13556799999992</v>
      </c>
      <c r="I374" s="32">
        <f t="shared" si="55"/>
        <v>361745.74799999996</v>
      </c>
      <c r="J374" s="32">
        <f t="shared" si="56"/>
        <v>7751694.5999999996</v>
      </c>
      <c r="K374" s="137">
        <f t="shared" si="57"/>
        <v>1550338.9199999997</v>
      </c>
      <c r="L374" s="138">
        <v>16000</v>
      </c>
      <c r="M374" s="192">
        <f t="shared" si="58"/>
        <v>8113440.3479999993</v>
      </c>
      <c r="N374" s="193"/>
    </row>
    <row r="375" spans="1:14" customFormat="1" x14ac:dyDescent="0.25">
      <c r="A375" s="13">
        <f t="shared" si="59"/>
        <v>82</v>
      </c>
      <c r="B375" s="448"/>
      <c r="C375" s="52">
        <f t="shared" si="53"/>
        <v>1210</v>
      </c>
      <c r="D375" s="52" t="s">
        <v>100</v>
      </c>
      <c r="E375" s="60">
        <f>(29.72)*(10.764)</f>
        <v>319.90607999999997</v>
      </c>
      <c r="F375" s="60">
        <v>0</v>
      </c>
      <c r="G375" s="60">
        <f t="shared" si="54"/>
        <v>319.90607999999997</v>
      </c>
      <c r="H375" s="60">
        <f t="shared" si="60"/>
        <v>383.88729599999994</v>
      </c>
      <c r="I375" s="32">
        <f t="shared" si="55"/>
        <v>223934.25599999999</v>
      </c>
      <c r="J375" s="32">
        <f t="shared" si="56"/>
        <v>4798591.1999999993</v>
      </c>
      <c r="K375" s="137">
        <f t="shared" si="57"/>
        <v>959718.23999999987</v>
      </c>
      <c r="L375" s="138">
        <v>11000</v>
      </c>
      <c r="M375" s="192">
        <f t="shared" si="58"/>
        <v>5022525.4559999993</v>
      </c>
      <c r="N375" s="193"/>
    </row>
    <row r="376" spans="1:14" customFormat="1" x14ac:dyDescent="0.25">
      <c r="A376" s="13">
        <f t="shared" si="59"/>
        <v>83</v>
      </c>
      <c r="B376" s="448"/>
      <c r="C376" s="52">
        <f t="shared" si="53"/>
        <v>1211</v>
      </c>
      <c r="D376" s="52" t="s">
        <v>100</v>
      </c>
      <c r="E376" s="60">
        <f>(29.49)*(10.764)</f>
        <v>317.43035999999995</v>
      </c>
      <c r="F376" s="60">
        <v>0</v>
      </c>
      <c r="G376" s="60">
        <f t="shared" si="54"/>
        <v>317.43035999999995</v>
      </c>
      <c r="H376" s="60">
        <f t="shared" si="60"/>
        <v>380.91643199999993</v>
      </c>
      <c r="I376" s="32">
        <f t="shared" si="55"/>
        <v>222201.25199999998</v>
      </c>
      <c r="J376" s="32">
        <f t="shared" si="56"/>
        <v>4761455.3999999994</v>
      </c>
      <c r="K376" s="137">
        <f t="shared" si="57"/>
        <v>952291.07999999984</v>
      </c>
      <c r="L376" s="138">
        <v>11000</v>
      </c>
      <c r="M376" s="192">
        <f t="shared" si="58"/>
        <v>4983656.6519999998</v>
      </c>
      <c r="N376" s="193"/>
    </row>
    <row r="377" spans="1:14" customFormat="1" x14ac:dyDescent="0.25">
      <c r="A377" s="13">
        <f t="shared" si="59"/>
        <v>84</v>
      </c>
      <c r="B377" s="449"/>
      <c r="C377" s="52">
        <f t="shared" si="53"/>
        <v>1212</v>
      </c>
      <c r="D377" s="52" t="s">
        <v>100</v>
      </c>
      <c r="E377" s="60">
        <f>(29.49)*(10.764)</f>
        <v>317.43035999999995</v>
      </c>
      <c r="F377" s="60">
        <v>0</v>
      </c>
      <c r="G377" s="60">
        <f t="shared" si="54"/>
        <v>317.43035999999995</v>
      </c>
      <c r="H377" s="60">
        <f t="shared" si="60"/>
        <v>380.91643199999993</v>
      </c>
      <c r="I377" s="32">
        <f t="shared" si="55"/>
        <v>222201.25199999998</v>
      </c>
      <c r="J377" s="32">
        <f t="shared" si="56"/>
        <v>4761455.3999999994</v>
      </c>
      <c r="K377" s="137">
        <f t="shared" si="57"/>
        <v>952291.07999999984</v>
      </c>
      <c r="L377" s="138">
        <v>11000</v>
      </c>
      <c r="M377" s="192">
        <f t="shared" si="58"/>
        <v>4983656.6519999998</v>
      </c>
      <c r="N377" s="193"/>
    </row>
    <row r="378" spans="1:14" customFormat="1" x14ac:dyDescent="0.25">
      <c r="A378" s="13">
        <f t="shared" si="59"/>
        <v>85</v>
      </c>
      <c r="B378" s="183" t="s">
        <v>665</v>
      </c>
      <c r="C378" s="52">
        <f>LEFT(B378,SUM(LEN(B378)-LEN(SUBSTITUTE(B378,{"0","1","2","3","4","5","6","7","8","9"},""))))*100+1</f>
        <v>1301</v>
      </c>
      <c r="D378" s="52" t="s">
        <v>100</v>
      </c>
      <c r="E378" s="60">
        <f>(29.49)*(10.764)</f>
        <v>317.43035999999995</v>
      </c>
      <c r="F378" s="60">
        <v>0</v>
      </c>
      <c r="G378" s="60">
        <f>E378+(IF(F378&lt;101,F378,IF(F378&lt;201,F378/2,IF(F378&lt;=301,F378/3,F378/4))))</f>
        <v>317.43035999999995</v>
      </c>
      <c r="H378" s="60">
        <f t="shared" si="60"/>
        <v>380.91643199999993</v>
      </c>
      <c r="I378" s="32">
        <f>G378*I$288</f>
        <v>222201.25199999998</v>
      </c>
      <c r="J378" s="32">
        <f>G378*$J$288</f>
        <v>4761455.3999999994</v>
      </c>
      <c r="K378" s="137">
        <f>$K$288*H378</f>
        <v>952291.07999999984</v>
      </c>
      <c r="L378" s="138">
        <v>11000</v>
      </c>
      <c r="M378" s="192">
        <f>J378+I378</f>
        <v>4983656.6519999998</v>
      </c>
      <c r="N378" s="193"/>
    </row>
    <row r="379" spans="1:14" customFormat="1" x14ac:dyDescent="0.25">
      <c r="A379" s="13">
        <f t="shared" si="59"/>
        <v>86</v>
      </c>
      <c r="B379" s="184"/>
      <c r="C379" s="52">
        <f t="shared" ref="C379:C425" si="61">C378+1</f>
        <v>1302</v>
      </c>
      <c r="D379" s="52" t="s">
        <v>100</v>
      </c>
      <c r="E379" s="60">
        <f>(29.49)*(10.764)</f>
        <v>317.43035999999995</v>
      </c>
      <c r="F379" s="60">
        <v>0</v>
      </c>
      <c r="G379" s="60">
        <f t="shared" ref="G379:G389" si="62">E379+(IF(F379&lt;101,F379,IF(F379&lt;201,F379/2,IF(F379&lt;=301,F379/3,F379/4))))</f>
        <v>317.43035999999995</v>
      </c>
      <c r="H379" s="60">
        <f t="shared" si="60"/>
        <v>380.91643199999993</v>
      </c>
      <c r="I379" s="32">
        <f t="shared" ref="I379:I389" si="63">G379*I$288</f>
        <v>222201.25199999998</v>
      </c>
      <c r="J379" s="32">
        <f t="shared" ref="J379:J389" si="64">G379*$J$288</f>
        <v>4761455.3999999994</v>
      </c>
      <c r="K379" s="137">
        <f t="shared" ref="K379:K389" si="65">$K$288*H379</f>
        <v>952291.07999999984</v>
      </c>
      <c r="L379" s="138">
        <v>11000</v>
      </c>
      <c r="M379" s="192">
        <f t="shared" ref="M379:M389" si="66">J379+I379</f>
        <v>4983656.6519999998</v>
      </c>
      <c r="N379" s="193"/>
    </row>
    <row r="380" spans="1:14" customFormat="1" x14ac:dyDescent="0.25">
      <c r="A380" s="13">
        <f t="shared" si="59"/>
        <v>87</v>
      </c>
      <c r="B380" s="184"/>
      <c r="C380" s="52">
        <f t="shared" si="61"/>
        <v>1303</v>
      </c>
      <c r="D380" s="52" t="s">
        <v>100</v>
      </c>
      <c r="E380" s="60">
        <f>(29.72)*(10.764)</f>
        <v>319.90607999999997</v>
      </c>
      <c r="F380" s="60">
        <v>0</v>
      </c>
      <c r="G380" s="60">
        <f t="shared" si="62"/>
        <v>319.90607999999997</v>
      </c>
      <c r="H380" s="60">
        <f t="shared" si="60"/>
        <v>383.88729599999994</v>
      </c>
      <c r="I380" s="32">
        <f t="shared" si="63"/>
        <v>223934.25599999999</v>
      </c>
      <c r="J380" s="32">
        <f t="shared" si="64"/>
        <v>4798591.1999999993</v>
      </c>
      <c r="K380" s="137">
        <f t="shared" si="65"/>
        <v>959718.23999999987</v>
      </c>
      <c r="L380" s="138">
        <v>11000</v>
      </c>
      <c r="M380" s="192">
        <f t="shared" si="66"/>
        <v>5022525.4559999993</v>
      </c>
      <c r="N380" s="193"/>
    </row>
    <row r="381" spans="1:14" customFormat="1" x14ac:dyDescent="0.25">
      <c r="A381" s="13">
        <f t="shared" si="59"/>
        <v>88</v>
      </c>
      <c r="B381" s="184"/>
      <c r="C381" s="52">
        <f t="shared" si="61"/>
        <v>1304</v>
      </c>
      <c r="D381" s="52" t="s">
        <v>104</v>
      </c>
      <c r="E381" s="60">
        <f>(48.01)*(10.764)</f>
        <v>516.77963999999997</v>
      </c>
      <c r="F381" s="60">
        <v>0</v>
      </c>
      <c r="G381" s="60">
        <f t="shared" si="62"/>
        <v>516.77963999999997</v>
      </c>
      <c r="H381" s="60">
        <f t="shared" si="60"/>
        <v>620.13556799999992</v>
      </c>
      <c r="I381" s="32">
        <f t="shared" si="63"/>
        <v>361745.74799999996</v>
      </c>
      <c r="J381" s="32">
        <f t="shared" si="64"/>
        <v>7751694.5999999996</v>
      </c>
      <c r="K381" s="137">
        <f t="shared" si="65"/>
        <v>1550338.9199999997</v>
      </c>
      <c r="L381" s="138">
        <v>16000</v>
      </c>
      <c r="M381" s="192">
        <f t="shared" si="66"/>
        <v>8113440.3479999993</v>
      </c>
      <c r="N381" s="193"/>
    </row>
    <row r="382" spans="1:14" customFormat="1" x14ac:dyDescent="0.25">
      <c r="A382" s="13">
        <f t="shared" si="59"/>
        <v>89</v>
      </c>
      <c r="B382" s="184"/>
      <c r="C382" s="52">
        <f t="shared" si="61"/>
        <v>1305</v>
      </c>
      <c r="D382" s="52" t="s">
        <v>104</v>
      </c>
      <c r="E382" s="60">
        <f>(49.83)*(10.764)</f>
        <v>536.37011999999993</v>
      </c>
      <c r="F382" s="60">
        <v>0</v>
      </c>
      <c r="G382" s="60">
        <f t="shared" si="62"/>
        <v>536.37011999999993</v>
      </c>
      <c r="H382" s="60">
        <f t="shared" si="60"/>
        <v>643.64414399999987</v>
      </c>
      <c r="I382" s="32">
        <f t="shared" si="63"/>
        <v>375459.08399999997</v>
      </c>
      <c r="J382" s="32">
        <f t="shared" si="64"/>
        <v>8045551.7999999989</v>
      </c>
      <c r="K382" s="137">
        <f t="shared" si="65"/>
        <v>1609110.3599999996</v>
      </c>
      <c r="L382" s="138">
        <v>16000</v>
      </c>
      <c r="M382" s="192">
        <f t="shared" si="66"/>
        <v>8421010.8839999996</v>
      </c>
      <c r="N382" s="193"/>
    </row>
    <row r="383" spans="1:14" customFormat="1" x14ac:dyDescent="0.25">
      <c r="A383" s="13">
        <f t="shared" si="59"/>
        <v>90</v>
      </c>
      <c r="B383" s="184"/>
      <c r="C383" s="52">
        <f t="shared" si="61"/>
        <v>1306</v>
      </c>
      <c r="D383" s="52" t="s">
        <v>104</v>
      </c>
      <c r="E383" s="60">
        <f>(49.78)*(10.764)</f>
        <v>535.83191999999997</v>
      </c>
      <c r="F383" s="60">
        <v>0</v>
      </c>
      <c r="G383" s="60">
        <f t="shared" si="62"/>
        <v>535.83191999999997</v>
      </c>
      <c r="H383" s="60">
        <f t="shared" si="60"/>
        <v>642.99830399999996</v>
      </c>
      <c r="I383" s="32">
        <f t="shared" si="63"/>
        <v>375082.34399999998</v>
      </c>
      <c r="J383" s="32">
        <f t="shared" si="64"/>
        <v>8037478.7999999998</v>
      </c>
      <c r="K383" s="137">
        <f t="shared" si="65"/>
        <v>1607495.76</v>
      </c>
      <c r="L383" s="138">
        <v>16000</v>
      </c>
      <c r="M383" s="192">
        <f t="shared" si="66"/>
        <v>8412561.1439999994</v>
      </c>
      <c r="N383" s="193"/>
    </row>
    <row r="384" spans="1:14" customFormat="1" x14ac:dyDescent="0.25">
      <c r="A384" s="13">
        <f t="shared" si="59"/>
        <v>91</v>
      </c>
      <c r="B384" s="184"/>
      <c r="C384" s="52">
        <f t="shared" si="61"/>
        <v>1307</v>
      </c>
      <c r="D384" s="52" t="s">
        <v>104</v>
      </c>
      <c r="E384" s="60">
        <f>(49.78)*(10.764)</f>
        <v>535.83191999999997</v>
      </c>
      <c r="F384" s="60">
        <v>0</v>
      </c>
      <c r="G384" s="60">
        <f t="shared" si="62"/>
        <v>535.83191999999997</v>
      </c>
      <c r="H384" s="60">
        <f t="shared" si="60"/>
        <v>642.99830399999996</v>
      </c>
      <c r="I384" s="32">
        <f t="shared" si="63"/>
        <v>375082.34399999998</v>
      </c>
      <c r="J384" s="32">
        <f t="shared" si="64"/>
        <v>8037478.7999999998</v>
      </c>
      <c r="K384" s="137">
        <f t="shared" si="65"/>
        <v>1607495.76</v>
      </c>
      <c r="L384" s="138">
        <v>16000</v>
      </c>
      <c r="M384" s="192">
        <f t="shared" si="66"/>
        <v>8412561.1439999994</v>
      </c>
      <c r="N384" s="193"/>
    </row>
    <row r="385" spans="1:14" customFormat="1" x14ac:dyDescent="0.25">
      <c r="A385" s="13">
        <f t="shared" si="59"/>
        <v>92</v>
      </c>
      <c r="B385" s="184"/>
      <c r="C385" s="52">
        <f t="shared" si="61"/>
        <v>1308</v>
      </c>
      <c r="D385" s="52" t="s">
        <v>104</v>
      </c>
      <c r="E385" s="60">
        <f>(49.83)*(10.764)</f>
        <v>536.37011999999993</v>
      </c>
      <c r="F385" s="60">
        <v>0</v>
      </c>
      <c r="G385" s="60">
        <f t="shared" si="62"/>
        <v>536.37011999999993</v>
      </c>
      <c r="H385" s="60">
        <f t="shared" si="60"/>
        <v>643.64414399999987</v>
      </c>
      <c r="I385" s="32">
        <f t="shared" si="63"/>
        <v>375459.08399999997</v>
      </c>
      <c r="J385" s="32">
        <f t="shared" si="64"/>
        <v>8045551.7999999989</v>
      </c>
      <c r="K385" s="137">
        <f t="shared" si="65"/>
        <v>1609110.3599999996</v>
      </c>
      <c r="L385" s="138">
        <v>16000</v>
      </c>
      <c r="M385" s="192">
        <f t="shared" si="66"/>
        <v>8421010.8839999996</v>
      </c>
      <c r="N385" s="193"/>
    </row>
    <row r="386" spans="1:14" customFormat="1" x14ac:dyDescent="0.25">
      <c r="A386" s="13">
        <f t="shared" si="59"/>
        <v>93</v>
      </c>
      <c r="B386" s="184"/>
      <c r="C386" s="52">
        <f t="shared" si="61"/>
        <v>1309</v>
      </c>
      <c r="D386" s="52" t="s">
        <v>104</v>
      </c>
      <c r="E386" s="60">
        <f>(48.01)*(10.764)</f>
        <v>516.77963999999997</v>
      </c>
      <c r="F386" s="60">
        <v>0</v>
      </c>
      <c r="G386" s="60">
        <f t="shared" si="62"/>
        <v>516.77963999999997</v>
      </c>
      <c r="H386" s="60">
        <f t="shared" si="60"/>
        <v>620.13556799999992</v>
      </c>
      <c r="I386" s="32">
        <f t="shared" si="63"/>
        <v>361745.74799999996</v>
      </c>
      <c r="J386" s="32">
        <f t="shared" si="64"/>
        <v>7751694.5999999996</v>
      </c>
      <c r="K386" s="137">
        <f t="shared" si="65"/>
        <v>1550338.9199999997</v>
      </c>
      <c r="L386" s="138">
        <v>16000</v>
      </c>
      <c r="M386" s="192">
        <f t="shared" si="66"/>
        <v>8113440.3479999993</v>
      </c>
      <c r="N386" s="193"/>
    </row>
    <row r="387" spans="1:14" customFormat="1" x14ac:dyDescent="0.25">
      <c r="A387" s="13">
        <f t="shared" si="59"/>
        <v>94</v>
      </c>
      <c r="B387" s="184"/>
      <c r="C387" s="52">
        <f t="shared" si="61"/>
        <v>1310</v>
      </c>
      <c r="D387" s="52" t="s">
        <v>100</v>
      </c>
      <c r="E387" s="60">
        <f>(29.72)*(10.764)</f>
        <v>319.90607999999997</v>
      </c>
      <c r="F387" s="60">
        <v>0</v>
      </c>
      <c r="G387" s="60">
        <f t="shared" si="62"/>
        <v>319.90607999999997</v>
      </c>
      <c r="H387" s="60">
        <f t="shared" si="60"/>
        <v>383.88729599999994</v>
      </c>
      <c r="I387" s="32">
        <f t="shared" si="63"/>
        <v>223934.25599999999</v>
      </c>
      <c r="J387" s="32">
        <f t="shared" si="64"/>
        <v>4798591.1999999993</v>
      </c>
      <c r="K387" s="137">
        <f t="shared" si="65"/>
        <v>959718.23999999987</v>
      </c>
      <c r="L387" s="138">
        <v>11000</v>
      </c>
      <c r="M387" s="192">
        <f t="shared" si="66"/>
        <v>5022525.4559999993</v>
      </c>
      <c r="N387" s="193"/>
    </row>
    <row r="388" spans="1:14" customFormat="1" x14ac:dyDescent="0.25">
      <c r="A388" s="13">
        <f t="shared" si="59"/>
        <v>95</v>
      </c>
      <c r="B388" s="184"/>
      <c r="C388" s="52">
        <f t="shared" si="61"/>
        <v>1311</v>
      </c>
      <c r="D388" s="52" t="s">
        <v>100</v>
      </c>
      <c r="E388" s="60">
        <f>(29.49)*(10.764)</f>
        <v>317.43035999999995</v>
      </c>
      <c r="F388" s="60">
        <v>0</v>
      </c>
      <c r="G388" s="60">
        <f t="shared" si="62"/>
        <v>317.43035999999995</v>
      </c>
      <c r="H388" s="60">
        <f t="shared" si="60"/>
        <v>380.91643199999993</v>
      </c>
      <c r="I388" s="32">
        <f t="shared" si="63"/>
        <v>222201.25199999998</v>
      </c>
      <c r="J388" s="32">
        <f t="shared" si="64"/>
        <v>4761455.3999999994</v>
      </c>
      <c r="K388" s="137">
        <f t="shared" si="65"/>
        <v>952291.07999999984</v>
      </c>
      <c r="L388" s="138">
        <v>11000</v>
      </c>
      <c r="M388" s="192">
        <f t="shared" si="66"/>
        <v>4983656.6519999998</v>
      </c>
      <c r="N388" s="193"/>
    </row>
    <row r="389" spans="1:14" customFormat="1" x14ac:dyDescent="0.25">
      <c r="A389" s="13">
        <f t="shared" si="59"/>
        <v>96</v>
      </c>
      <c r="B389" s="185"/>
      <c r="C389" s="52">
        <f t="shared" si="61"/>
        <v>1312</v>
      </c>
      <c r="D389" s="52" t="s">
        <v>100</v>
      </c>
      <c r="E389" s="60">
        <f>(29.49)*(10.764)</f>
        <v>317.43035999999995</v>
      </c>
      <c r="F389" s="60">
        <v>0</v>
      </c>
      <c r="G389" s="60">
        <f t="shared" si="62"/>
        <v>317.43035999999995</v>
      </c>
      <c r="H389" s="60">
        <f t="shared" si="60"/>
        <v>380.91643199999993</v>
      </c>
      <c r="I389" s="32">
        <f t="shared" si="63"/>
        <v>222201.25199999998</v>
      </c>
      <c r="J389" s="32">
        <f t="shared" si="64"/>
        <v>4761455.3999999994</v>
      </c>
      <c r="K389" s="137">
        <f t="shared" si="65"/>
        <v>952291.07999999984</v>
      </c>
      <c r="L389" s="138">
        <v>11000</v>
      </c>
      <c r="M389" s="192">
        <f t="shared" si="66"/>
        <v>4983656.6519999998</v>
      </c>
      <c r="N389" s="193"/>
    </row>
    <row r="390" spans="1:14" customFormat="1" x14ac:dyDescent="0.25">
      <c r="A390" s="13">
        <f t="shared" si="59"/>
        <v>97</v>
      </c>
      <c r="B390" s="183" t="s">
        <v>609</v>
      </c>
      <c r="C390" s="52">
        <f>LEFT(B390,SUM(LEN(B390)-LEN(SUBSTITUTE(B390,{"0","1","2","3","4","5","6","7","8","9"},""))))*100+1</f>
        <v>1401</v>
      </c>
      <c r="D390" s="52" t="s">
        <v>100</v>
      </c>
      <c r="E390" s="60">
        <f>(29.49)*(10.764)</f>
        <v>317.43035999999995</v>
      </c>
      <c r="F390" s="60">
        <v>0</v>
      </c>
      <c r="G390" s="60">
        <f>E390+(IF(F390&lt;101,F390,IF(F390&lt;201,F390/2,IF(F390&lt;=301,F390/3,F390/4))))</f>
        <v>317.43035999999995</v>
      </c>
      <c r="H390" s="60">
        <f t="shared" si="60"/>
        <v>380.91643199999993</v>
      </c>
      <c r="I390" s="32">
        <f>G390*I$288</f>
        <v>222201.25199999998</v>
      </c>
      <c r="J390" s="32">
        <f>G390*$J$288</f>
        <v>4761455.3999999994</v>
      </c>
      <c r="K390" s="137">
        <f>$K$288*H390</f>
        <v>952291.07999999984</v>
      </c>
      <c r="L390" s="138">
        <v>11000</v>
      </c>
      <c r="M390" s="192">
        <f>J390+I390</f>
        <v>4983656.6519999998</v>
      </c>
      <c r="N390" s="193"/>
    </row>
    <row r="391" spans="1:14" customFormat="1" x14ac:dyDescent="0.25">
      <c r="A391" s="13">
        <f t="shared" si="59"/>
        <v>98</v>
      </c>
      <c r="B391" s="184"/>
      <c r="C391" s="52">
        <f t="shared" si="61"/>
        <v>1402</v>
      </c>
      <c r="D391" s="52" t="s">
        <v>100</v>
      </c>
      <c r="E391" s="60">
        <f>(29.49)*(10.764)</f>
        <v>317.43035999999995</v>
      </c>
      <c r="F391" s="60">
        <v>0</v>
      </c>
      <c r="G391" s="60">
        <f t="shared" ref="G391:G401" si="67">E391+(IF(F391&lt;101,F391,IF(F391&lt;201,F391/2,IF(F391&lt;=301,F391/3,F391/4))))</f>
        <v>317.43035999999995</v>
      </c>
      <c r="H391" s="60">
        <f t="shared" si="60"/>
        <v>380.91643199999993</v>
      </c>
      <c r="I391" s="32">
        <f t="shared" ref="I391:I401" si="68">G391*I$288</f>
        <v>222201.25199999998</v>
      </c>
      <c r="J391" s="32">
        <f t="shared" ref="J391:J401" si="69">G391*$J$288</f>
        <v>4761455.3999999994</v>
      </c>
      <c r="K391" s="137">
        <f t="shared" ref="K391:K401" si="70">$K$288*H391</f>
        <v>952291.07999999984</v>
      </c>
      <c r="L391" s="138">
        <v>11000</v>
      </c>
      <c r="M391" s="192">
        <f t="shared" ref="M391:M401" si="71">J391+I391</f>
        <v>4983656.6519999998</v>
      </c>
      <c r="N391" s="193"/>
    </row>
    <row r="392" spans="1:14" customFormat="1" x14ac:dyDescent="0.25">
      <c r="A392" s="13">
        <f t="shared" si="59"/>
        <v>99</v>
      </c>
      <c r="B392" s="184"/>
      <c r="C392" s="52">
        <f t="shared" si="61"/>
        <v>1403</v>
      </c>
      <c r="D392" s="52" t="s">
        <v>100</v>
      </c>
      <c r="E392" s="60">
        <f>(29.72)*(10.764)</f>
        <v>319.90607999999997</v>
      </c>
      <c r="F392" s="60">
        <v>0</v>
      </c>
      <c r="G392" s="60">
        <f t="shared" si="67"/>
        <v>319.90607999999997</v>
      </c>
      <c r="H392" s="60">
        <f t="shared" si="60"/>
        <v>383.88729599999994</v>
      </c>
      <c r="I392" s="32">
        <f t="shared" si="68"/>
        <v>223934.25599999999</v>
      </c>
      <c r="J392" s="32">
        <f t="shared" si="69"/>
        <v>4798591.1999999993</v>
      </c>
      <c r="K392" s="137">
        <f t="shared" si="70"/>
        <v>959718.23999999987</v>
      </c>
      <c r="L392" s="138">
        <v>11000</v>
      </c>
      <c r="M392" s="192">
        <f t="shared" si="71"/>
        <v>5022525.4559999993</v>
      </c>
      <c r="N392" s="193"/>
    </row>
    <row r="393" spans="1:14" customFormat="1" x14ac:dyDescent="0.25">
      <c r="A393" s="13">
        <f t="shared" si="59"/>
        <v>100</v>
      </c>
      <c r="B393" s="184"/>
      <c r="C393" s="52">
        <f t="shared" si="61"/>
        <v>1404</v>
      </c>
      <c r="D393" s="52" t="s">
        <v>104</v>
      </c>
      <c r="E393" s="60">
        <f>(48.01)*(10.764)</f>
        <v>516.77963999999997</v>
      </c>
      <c r="F393" s="60">
        <v>0</v>
      </c>
      <c r="G393" s="60">
        <f t="shared" si="67"/>
        <v>516.77963999999997</v>
      </c>
      <c r="H393" s="60">
        <f t="shared" si="60"/>
        <v>620.13556799999992</v>
      </c>
      <c r="I393" s="32">
        <f t="shared" si="68"/>
        <v>361745.74799999996</v>
      </c>
      <c r="J393" s="32">
        <f t="shared" si="69"/>
        <v>7751694.5999999996</v>
      </c>
      <c r="K393" s="137">
        <f t="shared" si="70"/>
        <v>1550338.9199999997</v>
      </c>
      <c r="L393" s="138">
        <v>16000</v>
      </c>
      <c r="M393" s="192">
        <f t="shared" si="71"/>
        <v>8113440.3479999993</v>
      </c>
      <c r="N393" s="193"/>
    </row>
    <row r="394" spans="1:14" customFormat="1" x14ac:dyDescent="0.25">
      <c r="A394" s="13">
        <f t="shared" si="59"/>
        <v>101</v>
      </c>
      <c r="B394" s="184"/>
      <c r="C394" s="52">
        <f t="shared" si="61"/>
        <v>1405</v>
      </c>
      <c r="D394" s="52" t="s">
        <v>104</v>
      </c>
      <c r="E394" s="60">
        <f>(49.83)*(10.764)</f>
        <v>536.37011999999993</v>
      </c>
      <c r="F394" s="60">
        <v>0</v>
      </c>
      <c r="G394" s="60">
        <f t="shared" si="67"/>
        <v>536.37011999999993</v>
      </c>
      <c r="H394" s="60">
        <f t="shared" si="60"/>
        <v>643.64414399999987</v>
      </c>
      <c r="I394" s="32">
        <f t="shared" si="68"/>
        <v>375459.08399999997</v>
      </c>
      <c r="J394" s="32">
        <f t="shared" si="69"/>
        <v>8045551.7999999989</v>
      </c>
      <c r="K394" s="137">
        <f t="shared" si="70"/>
        <v>1609110.3599999996</v>
      </c>
      <c r="L394" s="138">
        <v>16000</v>
      </c>
      <c r="M394" s="192">
        <f t="shared" si="71"/>
        <v>8421010.8839999996</v>
      </c>
      <c r="N394" s="193"/>
    </row>
    <row r="395" spans="1:14" customFormat="1" x14ac:dyDescent="0.25">
      <c r="A395" s="13">
        <f t="shared" si="59"/>
        <v>102</v>
      </c>
      <c r="B395" s="184"/>
      <c r="C395" s="52">
        <f t="shared" si="61"/>
        <v>1406</v>
      </c>
      <c r="D395" s="52" t="s">
        <v>104</v>
      </c>
      <c r="E395" s="60">
        <f>(49.78)*(10.764)</f>
        <v>535.83191999999997</v>
      </c>
      <c r="F395" s="60">
        <v>0</v>
      </c>
      <c r="G395" s="60">
        <f t="shared" si="67"/>
        <v>535.83191999999997</v>
      </c>
      <c r="H395" s="60">
        <f t="shared" si="60"/>
        <v>642.99830399999996</v>
      </c>
      <c r="I395" s="32">
        <f t="shared" si="68"/>
        <v>375082.34399999998</v>
      </c>
      <c r="J395" s="32">
        <f t="shared" si="69"/>
        <v>8037478.7999999998</v>
      </c>
      <c r="K395" s="137">
        <f t="shared" si="70"/>
        <v>1607495.76</v>
      </c>
      <c r="L395" s="138">
        <v>16000</v>
      </c>
      <c r="M395" s="192">
        <f t="shared" si="71"/>
        <v>8412561.1439999994</v>
      </c>
      <c r="N395" s="193"/>
    </row>
    <row r="396" spans="1:14" customFormat="1" x14ac:dyDescent="0.25">
      <c r="A396" s="13">
        <f t="shared" si="59"/>
        <v>103</v>
      </c>
      <c r="B396" s="184"/>
      <c r="C396" s="52">
        <f t="shared" si="61"/>
        <v>1407</v>
      </c>
      <c r="D396" s="52" t="s">
        <v>104</v>
      </c>
      <c r="E396" s="60">
        <f>(49.78)*(10.764)</f>
        <v>535.83191999999997</v>
      </c>
      <c r="F396" s="60">
        <v>0</v>
      </c>
      <c r="G396" s="60">
        <f t="shared" si="67"/>
        <v>535.83191999999997</v>
      </c>
      <c r="H396" s="60">
        <f t="shared" si="60"/>
        <v>642.99830399999996</v>
      </c>
      <c r="I396" s="32">
        <f t="shared" si="68"/>
        <v>375082.34399999998</v>
      </c>
      <c r="J396" s="32">
        <f t="shared" si="69"/>
        <v>8037478.7999999998</v>
      </c>
      <c r="K396" s="137">
        <f t="shared" si="70"/>
        <v>1607495.76</v>
      </c>
      <c r="L396" s="138">
        <v>16000</v>
      </c>
      <c r="M396" s="192">
        <f t="shared" si="71"/>
        <v>8412561.1439999994</v>
      </c>
      <c r="N396" s="193"/>
    </row>
    <row r="397" spans="1:14" customFormat="1" x14ac:dyDescent="0.25">
      <c r="A397" s="13">
        <f t="shared" si="59"/>
        <v>104</v>
      </c>
      <c r="B397" s="184"/>
      <c r="C397" s="52">
        <f t="shared" si="61"/>
        <v>1408</v>
      </c>
      <c r="D397" s="52" t="s">
        <v>104</v>
      </c>
      <c r="E397" s="60">
        <f>(49.83)*(10.764)</f>
        <v>536.37011999999993</v>
      </c>
      <c r="F397" s="60">
        <v>0</v>
      </c>
      <c r="G397" s="60">
        <f t="shared" si="67"/>
        <v>536.37011999999993</v>
      </c>
      <c r="H397" s="60">
        <f t="shared" si="60"/>
        <v>643.64414399999987</v>
      </c>
      <c r="I397" s="32">
        <f t="shared" si="68"/>
        <v>375459.08399999997</v>
      </c>
      <c r="J397" s="32">
        <f t="shared" si="69"/>
        <v>8045551.7999999989</v>
      </c>
      <c r="K397" s="137">
        <f t="shared" si="70"/>
        <v>1609110.3599999996</v>
      </c>
      <c r="L397" s="138">
        <v>16000</v>
      </c>
      <c r="M397" s="192">
        <f t="shared" si="71"/>
        <v>8421010.8839999996</v>
      </c>
      <c r="N397" s="193"/>
    </row>
    <row r="398" spans="1:14" customFormat="1" x14ac:dyDescent="0.25">
      <c r="A398" s="13">
        <f t="shared" si="59"/>
        <v>105</v>
      </c>
      <c r="B398" s="184"/>
      <c r="C398" s="52">
        <f t="shared" si="61"/>
        <v>1409</v>
      </c>
      <c r="D398" s="52" t="s">
        <v>104</v>
      </c>
      <c r="E398" s="60">
        <f>(48.01)*(10.764)</f>
        <v>516.77963999999997</v>
      </c>
      <c r="F398" s="60">
        <v>0</v>
      </c>
      <c r="G398" s="60">
        <f t="shared" si="67"/>
        <v>516.77963999999997</v>
      </c>
      <c r="H398" s="60">
        <f t="shared" si="60"/>
        <v>620.13556799999992</v>
      </c>
      <c r="I398" s="32">
        <f t="shared" si="68"/>
        <v>361745.74799999996</v>
      </c>
      <c r="J398" s="32">
        <f t="shared" si="69"/>
        <v>7751694.5999999996</v>
      </c>
      <c r="K398" s="137">
        <f t="shared" si="70"/>
        <v>1550338.9199999997</v>
      </c>
      <c r="L398" s="138">
        <v>16000</v>
      </c>
      <c r="M398" s="192">
        <f t="shared" si="71"/>
        <v>8113440.3479999993</v>
      </c>
      <c r="N398" s="193"/>
    </row>
    <row r="399" spans="1:14" customFormat="1" x14ac:dyDescent="0.25">
      <c r="A399" s="13">
        <f t="shared" si="59"/>
        <v>106</v>
      </c>
      <c r="B399" s="184"/>
      <c r="C399" s="52">
        <f t="shared" si="61"/>
        <v>1410</v>
      </c>
      <c r="D399" s="52" t="s">
        <v>100</v>
      </c>
      <c r="E399" s="60">
        <f>(29.72)*(10.764)</f>
        <v>319.90607999999997</v>
      </c>
      <c r="F399" s="60">
        <v>0</v>
      </c>
      <c r="G399" s="60">
        <f t="shared" si="67"/>
        <v>319.90607999999997</v>
      </c>
      <c r="H399" s="60">
        <f t="shared" si="60"/>
        <v>383.88729599999994</v>
      </c>
      <c r="I399" s="32">
        <f t="shared" si="68"/>
        <v>223934.25599999999</v>
      </c>
      <c r="J399" s="32">
        <f t="shared" si="69"/>
        <v>4798591.1999999993</v>
      </c>
      <c r="K399" s="137">
        <f t="shared" si="70"/>
        <v>959718.23999999987</v>
      </c>
      <c r="L399" s="138">
        <v>11000</v>
      </c>
      <c r="M399" s="192">
        <f t="shared" si="71"/>
        <v>5022525.4559999993</v>
      </c>
      <c r="N399" s="193"/>
    </row>
    <row r="400" spans="1:14" customFormat="1" x14ac:dyDescent="0.25">
      <c r="A400" s="13">
        <f t="shared" si="59"/>
        <v>107</v>
      </c>
      <c r="B400" s="184"/>
      <c r="C400" s="52">
        <f t="shared" si="61"/>
        <v>1411</v>
      </c>
      <c r="D400" s="52" t="s">
        <v>100</v>
      </c>
      <c r="E400" s="60">
        <f>(29.49)*(10.764)</f>
        <v>317.43035999999995</v>
      </c>
      <c r="F400" s="60">
        <v>0</v>
      </c>
      <c r="G400" s="60">
        <f t="shared" si="67"/>
        <v>317.43035999999995</v>
      </c>
      <c r="H400" s="60">
        <f t="shared" si="60"/>
        <v>380.91643199999993</v>
      </c>
      <c r="I400" s="32">
        <f t="shared" si="68"/>
        <v>222201.25199999998</v>
      </c>
      <c r="J400" s="32">
        <f t="shared" si="69"/>
        <v>4761455.3999999994</v>
      </c>
      <c r="K400" s="137">
        <f t="shared" si="70"/>
        <v>952291.07999999984</v>
      </c>
      <c r="L400" s="138">
        <v>11000</v>
      </c>
      <c r="M400" s="192">
        <f t="shared" si="71"/>
        <v>4983656.6519999998</v>
      </c>
      <c r="N400" s="193"/>
    </row>
    <row r="401" spans="1:14" customFormat="1" x14ac:dyDescent="0.25">
      <c r="A401" s="13">
        <f t="shared" si="59"/>
        <v>108</v>
      </c>
      <c r="B401" s="185"/>
      <c r="C401" s="52">
        <f t="shared" si="61"/>
        <v>1412</v>
      </c>
      <c r="D401" s="52" t="s">
        <v>100</v>
      </c>
      <c r="E401" s="60">
        <f>(29.49)*(10.764)</f>
        <v>317.43035999999995</v>
      </c>
      <c r="F401" s="60">
        <v>0</v>
      </c>
      <c r="G401" s="60">
        <f t="shared" si="67"/>
        <v>317.43035999999995</v>
      </c>
      <c r="H401" s="60">
        <f t="shared" si="60"/>
        <v>380.91643199999993</v>
      </c>
      <c r="I401" s="32">
        <f t="shared" si="68"/>
        <v>222201.25199999998</v>
      </c>
      <c r="J401" s="32">
        <f t="shared" si="69"/>
        <v>4761455.3999999994</v>
      </c>
      <c r="K401" s="137">
        <f t="shared" si="70"/>
        <v>952291.07999999984</v>
      </c>
      <c r="L401" s="138">
        <v>11000</v>
      </c>
      <c r="M401" s="192">
        <f t="shared" si="71"/>
        <v>4983656.6519999998</v>
      </c>
      <c r="N401" s="193"/>
    </row>
    <row r="402" spans="1:14" customFormat="1" x14ac:dyDescent="0.25">
      <c r="A402" s="13">
        <f t="shared" si="59"/>
        <v>109</v>
      </c>
      <c r="B402" s="183" t="s">
        <v>610</v>
      </c>
      <c r="C402" s="52">
        <f>LEFT(B402,SUM(LEN(B402)-LEN(SUBSTITUTE(B402,{"0","1","2","3","4","5","6","7","8","9"},""))))*100+1</f>
        <v>1501</v>
      </c>
      <c r="D402" s="52" t="s">
        <v>100</v>
      </c>
      <c r="E402" s="60">
        <f>(29.49)*(10.764)</f>
        <v>317.43035999999995</v>
      </c>
      <c r="F402" s="60">
        <v>0</v>
      </c>
      <c r="G402" s="60">
        <f>E402+(IF(F402&lt;101,F402,IF(F402&lt;201,F402/2,IF(F402&lt;=301,F402/3,F402/4))))</f>
        <v>317.43035999999995</v>
      </c>
      <c r="H402" s="60">
        <f t="shared" si="60"/>
        <v>380.91643199999993</v>
      </c>
      <c r="I402" s="32">
        <f>G402*I$288</f>
        <v>222201.25199999998</v>
      </c>
      <c r="J402" s="32">
        <f>G402*$J$288</f>
        <v>4761455.3999999994</v>
      </c>
      <c r="K402" s="137">
        <f>$K$288*H402</f>
        <v>952291.07999999984</v>
      </c>
      <c r="L402" s="138">
        <v>11000</v>
      </c>
      <c r="M402" s="192">
        <f>J402+I402</f>
        <v>4983656.6519999998</v>
      </c>
      <c r="N402" s="193"/>
    </row>
    <row r="403" spans="1:14" customFormat="1" x14ac:dyDescent="0.25">
      <c r="A403" s="13">
        <f t="shared" si="59"/>
        <v>110</v>
      </c>
      <c r="B403" s="184"/>
      <c r="C403" s="52">
        <f t="shared" si="61"/>
        <v>1502</v>
      </c>
      <c r="D403" s="52" t="s">
        <v>100</v>
      </c>
      <c r="E403" s="60">
        <f>(29.49)*(10.764)</f>
        <v>317.43035999999995</v>
      </c>
      <c r="F403" s="60">
        <v>0</v>
      </c>
      <c r="G403" s="60">
        <f t="shared" ref="G403:G413" si="72">E403+(IF(F403&lt;101,F403,IF(F403&lt;201,F403/2,IF(F403&lt;=301,F403/3,F403/4))))</f>
        <v>317.43035999999995</v>
      </c>
      <c r="H403" s="60">
        <f t="shared" si="60"/>
        <v>380.91643199999993</v>
      </c>
      <c r="I403" s="32">
        <f t="shared" ref="I403:I413" si="73">G403*I$288</f>
        <v>222201.25199999998</v>
      </c>
      <c r="J403" s="32">
        <f t="shared" ref="J403:J413" si="74">G403*$J$288</f>
        <v>4761455.3999999994</v>
      </c>
      <c r="K403" s="137">
        <f t="shared" ref="K403:K413" si="75">$K$288*H403</f>
        <v>952291.07999999984</v>
      </c>
      <c r="L403" s="138">
        <v>11000</v>
      </c>
      <c r="M403" s="192">
        <f t="shared" ref="M403:M413" si="76">J403+I403</f>
        <v>4983656.6519999998</v>
      </c>
      <c r="N403" s="193"/>
    </row>
    <row r="404" spans="1:14" customFormat="1" x14ac:dyDescent="0.25">
      <c r="A404" s="13">
        <f t="shared" si="59"/>
        <v>111</v>
      </c>
      <c r="B404" s="184"/>
      <c r="C404" s="52">
        <f t="shared" si="61"/>
        <v>1503</v>
      </c>
      <c r="D404" s="52" t="s">
        <v>100</v>
      </c>
      <c r="E404" s="60">
        <f>(29.72)*(10.764)</f>
        <v>319.90607999999997</v>
      </c>
      <c r="F404" s="60">
        <v>0</v>
      </c>
      <c r="G404" s="60">
        <f t="shared" si="72"/>
        <v>319.90607999999997</v>
      </c>
      <c r="H404" s="60">
        <f t="shared" si="60"/>
        <v>383.88729599999994</v>
      </c>
      <c r="I404" s="32">
        <f t="shared" si="73"/>
        <v>223934.25599999999</v>
      </c>
      <c r="J404" s="32">
        <f t="shared" si="74"/>
        <v>4798591.1999999993</v>
      </c>
      <c r="K404" s="137">
        <f t="shared" si="75"/>
        <v>959718.23999999987</v>
      </c>
      <c r="L404" s="138">
        <v>11000</v>
      </c>
      <c r="M404" s="192">
        <f t="shared" si="76"/>
        <v>5022525.4559999993</v>
      </c>
      <c r="N404" s="193"/>
    </row>
    <row r="405" spans="1:14" customFormat="1" x14ac:dyDescent="0.25">
      <c r="A405" s="13">
        <f t="shared" si="59"/>
        <v>112</v>
      </c>
      <c r="B405" s="184"/>
      <c r="C405" s="52">
        <f t="shared" si="61"/>
        <v>1504</v>
      </c>
      <c r="D405" s="52" t="s">
        <v>104</v>
      </c>
      <c r="E405" s="60">
        <f>(48.01)*(10.764)</f>
        <v>516.77963999999997</v>
      </c>
      <c r="F405" s="60">
        <v>0</v>
      </c>
      <c r="G405" s="60">
        <f t="shared" si="72"/>
        <v>516.77963999999997</v>
      </c>
      <c r="H405" s="60">
        <f t="shared" si="60"/>
        <v>620.13556799999992</v>
      </c>
      <c r="I405" s="32">
        <f t="shared" si="73"/>
        <v>361745.74799999996</v>
      </c>
      <c r="J405" s="32">
        <f t="shared" si="74"/>
        <v>7751694.5999999996</v>
      </c>
      <c r="K405" s="137">
        <f t="shared" si="75"/>
        <v>1550338.9199999997</v>
      </c>
      <c r="L405" s="138">
        <v>16000</v>
      </c>
      <c r="M405" s="192">
        <f t="shared" si="76"/>
        <v>8113440.3479999993</v>
      </c>
      <c r="N405" s="193"/>
    </row>
    <row r="406" spans="1:14" customFormat="1" x14ac:dyDescent="0.25">
      <c r="A406" s="13">
        <f t="shared" si="59"/>
        <v>113</v>
      </c>
      <c r="B406" s="184"/>
      <c r="C406" s="52">
        <f t="shared" si="61"/>
        <v>1505</v>
      </c>
      <c r="D406" s="52" t="s">
        <v>104</v>
      </c>
      <c r="E406" s="60">
        <f>(49.83)*(10.764)</f>
        <v>536.37011999999993</v>
      </c>
      <c r="F406" s="60">
        <v>0</v>
      </c>
      <c r="G406" s="60">
        <f t="shared" si="72"/>
        <v>536.37011999999993</v>
      </c>
      <c r="H406" s="60">
        <f t="shared" si="60"/>
        <v>643.64414399999987</v>
      </c>
      <c r="I406" s="32">
        <f t="shared" si="73"/>
        <v>375459.08399999997</v>
      </c>
      <c r="J406" s="32">
        <f t="shared" si="74"/>
        <v>8045551.7999999989</v>
      </c>
      <c r="K406" s="137">
        <f t="shared" si="75"/>
        <v>1609110.3599999996</v>
      </c>
      <c r="L406" s="138">
        <v>16000</v>
      </c>
      <c r="M406" s="192">
        <f t="shared" si="76"/>
        <v>8421010.8839999996</v>
      </c>
      <c r="N406" s="193"/>
    </row>
    <row r="407" spans="1:14" customFormat="1" x14ac:dyDescent="0.25">
      <c r="A407" s="13">
        <f t="shared" si="59"/>
        <v>114</v>
      </c>
      <c r="B407" s="184"/>
      <c r="C407" s="52">
        <f t="shared" si="61"/>
        <v>1506</v>
      </c>
      <c r="D407" s="52" t="s">
        <v>104</v>
      </c>
      <c r="E407" s="60">
        <f>(49.78)*(10.764)</f>
        <v>535.83191999999997</v>
      </c>
      <c r="F407" s="60">
        <v>0</v>
      </c>
      <c r="G407" s="60">
        <f t="shared" si="72"/>
        <v>535.83191999999997</v>
      </c>
      <c r="H407" s="60">
        <f t="shared" si="60"/>
        <v>642.99830399999996</v>
      </c>
      <c r="I407" s="32">
        <f t="shared" si="73"/>
        <v>375082.34399999998</v>
      </c>
      <c r="J407" s="32">
        <f t="shared" si="74"/>
        <v>8037478.7999999998</v>
      </c>
      <c r="K407" s="137">
        <f t="shared" si="75"/>
        <v>1607495.76</v>
      </c>
      <c r="L407" s="138">
        <v>16000</v>
      </c>
      <c r="M407" s="192">
        <f t="shared" si="76"/>
        <v>8412561.1439999994</v>
      </c>
      <c r="N407" s="193"/>
    </row>
    <row r="408" spans="1:14" customFormat="1" x14ac:dyDescent="0.25">
      <c r="A408" s="13">
        <f t="shared" si="59"/>
        <v>115</v>
      </c>
      <c r="B408" s="184"/>
      <c r="C408" s="52">
        <f t="shared" si="61"/>
        <v>1507</v>
      </c>
      <c r="D408" s="52" t="s">
        <v>104</v>
      </c>
      <c r="E408" s="60">
        <f>(49.78)*(10.764)</f>
        <v>535.83191999999997</v>
      </c>
      <c r="F408" s="60">
        <v>0</v>
      </c>
      <c r="G408" s="60">
        <f t="shared" si="72"/>
        <v>535.83191999999997</v>
      </c>
      <c r="H408" s="60">
        <f t="shared" si="60"/>
        <v>642.99830399999996</v>
      </c>
      <c r="I408" s="32">
        <f t="shared" si="73"/>
        <v>375082.34399999998</v>
      </c>
      <c r="J408" s="32">
        <f t="shared" si="74"/>
        <v>8037478.7999999998</v>
      </c>
      <c r="K408" s="137">
        <f t="shared" si="75"/>
        <v>1607495.76</v>
      </c>
      <c r="L408" s="138">
        <v>16000</v>
      </c>
      <c r="M408" s="192">
        <f t="shared" si="76"/>
        <v>8412561.1439999994</v>
      </c>
      <c r="N408" s="193"/>
    </row>
    <row r="409" spans="1:14" customFormat="1" x14ac:dyDescent="0.25">
      <c r="A409" s="13">
        <f t="shared" si="59"/>
        <v>116</v>
      </c>
      <c r="B409" s="184"/>
      <c r="C409" s="52">
        <f t="shared" si="61"/>
        <v>1508</v>
      </c>
      <c r="D409" s="52" t="s">
        <v>104</v>
      </c>
      <c r="E409" s="60">
        <f>(49.83)*(10.764)</f>
        <v>536.37011999999993</v>
      </c>
      <c r="F409" s="60">
        <v>0</v>
      </c>
      <c r="G409" s="60">
        <f t="shared" si="72"/>
        <v>536.37011999999993</v>
      </c>
      <c r="H409" s="60">
        <f t="shared" si="60"/>
        <v>643.64414399999987</v>
      </c>
      <c r="I409" s="32">
        <f t="shared" si="73"/>
        <v>375459.08399999997</v>
      </c>
      <c r="J409" s="32">
        <f t="shared" si="74"/>
        <v>8045551.7999999989</v>
      </c>
      <c r="K409" s="137">
        <f t="shared" si="75"/>
        <v>1609110.3599999996</v>
      </c>
      <c r="L409" s="138">
        <v>16000</v>
      </c>
      <c r="M409" s="192">
        <f t="shared" si="76"/>
        <v>8421010.8839999996</v>
      </c>
      <c r="N409" s="193"/>
    </row>
    <row r="410" spans="1:14" customFormat="1" x14ac:dyDescent="0.25">
      <c r="A410" s="13">
        <f t="shared" si="59"/>
        <v>117</v>
      </c>
      <c r="B410" s="184"/>
      <c r="C410" s="52">
        <f t="shared" si="61"/>
        <v>1509</v>
      </c>
      <c r="D410" s="52" t="s">
        <v>104</v>
      </c>
      <c r="E410" s="60">
        <f>(48.01)*(10.764)</f>
        <v>516.77963999999997</v>
      </c>
      <c r="F410" s="60">
        <v>0</v>
      </c>
      <c r="G410" s="60">
        <f t="shared" si="72"/>
        <v>516.77963999999997</v>
      </c>
      <c r="H410" s="60">
        <f t="shared" si="60"/>
        <v>620.13556799999992</v>
      </c>
      <c r="I410" s="32">
        <f t="shared" si="73"/>
        <v>361745.74799999996</v>
      </c>
      <c r="J410" s="32">
        <f t="shared" si="74"/>
        <v>7751694.5999999996</v>
      </c>
      <c r="K410" s="137">
        <f t="shared" si="75"/>
        <v>1550338.9199999997</v>
      </c>
      <c r="L410" s="138">
        <v>16000</v>
      </c>
      <c r="M410" s="192">
        <f t="shared" si="76"/>
        <v>8113440.3479999993</v>
      </c>
      <c r="N410" s="193"/>
    </row>
    <row r="411" spans="1:14" customFormat="1" x14ac:dyDescent="0.25">
      <c r="A411" s="13">
        <f t="shared" si="59"/>
        <v>118</v>
      </c>
      <c r="B411" s="184"/>
      <c r="C411" s="52">
        <f t="shared" si="61"/>
        <v>1510</v>
      </c>
      <c r="D411" s="52" t="s">
        <v>100</v>
      </c>
      <c r="E411" s="60">
        <f>(29.72)*(10.764)</f>
        <v>319.90607999999997</v>
      </c>
      <c r="F411" s="60">
        <v>0</v>
      </c>
      <c r="G411" s="60">
        <f t="shared" si="72"/>
        <v>319.90607999999997</v>
      </c>
      <c r="H411" s="60">
        <f t="shared" si="60"/>
        <v>383.88729599999994</v>
      </c>
      <c r="I411" s="32">
        <f t="shared" si="73"/>
        <v>223934.25599999999</v>
      </c>
      <c r="J411" s="32">
        <f t="shared" si="74"/>
        <v>4798591.1999999993</v>
      </c>
      <c r="K411" s="137">
        <f t="shared" si="75"/>
        <v>959718.23999999987</v>
      </c>
      <c r="L411" s="138">
        <v>11000</v>
      </c>
      <c r="M411" s="192">
        <f t="shared" si="76"/>
        <v>5022525.4559999993</v>
      </c>
      <c r="N411" s="193"/>
    </row>
    <row r="412" spans="1:14" customFormat="1" x14ac:dyDescent="0.25">
      <c r="A412" s="13">
        <f t="shared" si="59"/>
        <v>119</v>
      </c>
      <c r="B412" s="184"/>
      <c r="C412" s="52">
        <f t="shared" si="61"/>
        <v>1511</v>
      </c>
      <c r="D412" s="52" t="s">
        <v>100</v>
      </c>
      <c r="E412" s="60">
        <f>(29.49)*(10.764)</f>
        <v>317.43035999999995</v>
      </c>
      <c r="F412" s="60">
        <v>0</v>
      </c>
      <c r="G412" s="60">
        <f t="shared" si="72"/>
        <v>317.43035999999995</v>
      </c>
      <c r="H412" s="60">
        <f t="shared" si="60"/>
        <v>380.91643199999993</v>
      </c>
      <c r="I412" s="32">
        <f t="shared" si="73"/>
        <v>222201.25199999998</v>
      </c>
      <c r="J412" s="32">
        <f t="shared" si="74"/>
        <v>4761455.3999999994</v>
      </c>
      <c r="K412" s="137">
        <f t="shared" si="75"/>
        <v>952291.07999999984</v>
      </c>
      <c r="L412" s="138">
        <v>11000</v>
      </c>
      <c r="M412" s="192">
        <f t="shared" si="76"/>
        <v>4983656.6519999998</v>
      </c>
      <c r="N412" s="193"/>
    </row>
    <row r="413" spans="1:14" customFormat="1" x14ac:dyDescent="0.25">
      <c r="A413" s="13">
        <f t="shared" si="59"/>
        <v>120</v>
      </c>
      <c r="B413" s="185"/>
      <c r="C413" s="52">
        <f t="shared" si="61"/>
        <v>1512</v>
      </c>
      <c r="D413" s="52" t="s">
        <v>100</v>
      </c>
      <c r="E413" s="60">
        <f>(29.49)*(10.764)</f>
        <v>317.43035999999995</v>
      </c>
      <c r="F413" s="60">
        <v>0</v>
      </c>
      <c r="G413" s="60">
        <f t="shared" si="72"/>
        <v>317.43035999999995</v>
      </c>
      <c r="H413" s="60">
        <f t="shared" si="60"/>
        <v>380.91643199999993</v>
      </c>
      <c r="I413" s="32">
        <f t="shared" si="73"/>
        <v>222201.25199999998</v>
      </c>
      <c r="J413" s="32">
        <f t="shared" si="74"/>
        <v>4761455.3999999994</v>
      </c>
      <c r="K413" s="137">
        <f t="shared" si="75"/>
        <v>952291.07999999984</v>
      </c>
      <c r="L413" s="138">
        <v>11000</v>
      </c>
      <c r="M413" s="192">
        <f t="shared" si="76"/>
        <v>4983656.6519999998</v>
      </c>
      <c r="N413" s="193"/>
    </row>
    <row r="414" spans="1:14" customFormat="1" x14ac:dyDescent="0.25">
      <c r="A414" s="13">
        <f t="shared" si="59"/>
        <v>121</v>
      </c>
      <c r="B414" s="183" t="s">
        <v>611</v>
      </c>
      <c r="C414" s="52">
        <f>LEFT(B414,SUM(LEN(B414)-LEN(SUBSTITUTE(B414,{"0","1","2","3","4","5","6","7","8","9"},""))))*100+1</f>
        <v>1601</v>
      </c>
      <c r="D414" s="52" t="s">
        <v>100</v>
      </c>
      <c r="E414" s="60">
        <f>(29.49)*(10.764)</f>
        <v>317.43035999999995</v>
      </c>
      <c r="F414" s="60">
        <v>0</v>
      </c>
      <c r="G414" s="60">
        <f>E414+(IF(F414&lt;101,F414,IF(F414&lt;201,F414/2,IF(F414&lt;=301,F414/3,F414/4))))</f>
        <v>317.43035999999995</v>
      </c>
      <c r="H414" s="60">
        <f t="shared" si="60"/>
        <v>380.91643199999993</v>
      </c>
      <c r="I414" s="32">
        <f>G414*I$288</f>
        <v>222201.25199999998</v>
      </c>
      <c r="J414" s="32">
        <f>G414*$J$288</f>
        <v>4761455.3999999994</v>
      </c>
      <c r="K414" s="137">
        <f>$K$288*H414</f>
        <v>952291.07999999984</v>
      </c>
      <c r="L414" s="138">
        <v>11000</v>
      </c>
      <c r="M414" s="192">
        <f>J414+I414</f>
        <v>4983656.6519999998</v>
      </c>
      <c r="N414" s="193"/>
    </row>
    <row r="415" spans="1:14" customFormat="1" x14ac:dyDescent="0.25">
      <c r="A415" s="13">
        <f t="shared" si="59"/>
        <v>122</v>
      </c>
      <c r="B415" s="184"/>
      <c r="C415" s="52">
        <f t="shared" si="61"/>
        <v>1602</v>
      </c>
      <c r="D415" s="52" t="s">
        <v>100</v>
      </c>
      <c r="E415" s="60">
        <f>(29.49)*(10.764)</f>
        <v>317.43035999999995</v>
      </c>
      <c r="F415" s="60">
        <v>0</v>
      </c>
      <c r="G415" s="60">
        <f t="shared" ref="G415:G425" si="77">E415+(IF(F415&lt;101,F415,IF(F415&lt;201,F415/2,IF(F415&lt;=301,F415/3,F415/4))))</f>
        <v>317.43035999999995</v>
      </c>
      <c r="H415" s="60">
        <f t="shared" si="60"/>
        <v>380.91643199999993</v>
      </c>
      <c r="I415" s="32">
        <f t="shared" ref="I415:I425" si="78">G415*I$288</f>
        <v>222201.25199999998</v>
      </c>
      <c r="J415" s="32">
        <f t="shared" ref="J415:J425" si="79">G415*$J$288</f>
        <v>4761455.3999999994</v>
      </c>
      <c r="K415" s="137">
        <f t="shared" ref="K415:K425" si="80">$K$288*H415</f>
        <v>952291.07999999984</v>
      </c>
      <c r="L415" s="138">
        <v>11000</v>
      </c>
      <c r="M415" s="192">
        <f t="shared" ref="M415:M425" si="81">J415+I415</f>
        <v>4983656.6519999998</v>
      </c>
      <c r="N415" s="193"/>
    </row>
    <row r="416" spans="1:14" customFormat="1" x14ac:dyDescent="0.25">
      <c r="A416" s="13">
        <f t="shared" si="59"/>
        <v>123</v>
      </c>
      <c r="B416" s="184"/>
      <c r="C416" s="52">
        <f t="shared" si="61"/>
        <v>1603</v>
      </c>
      <c r="D416" s="52" t="s">
        <v>100</v>
      </c>
      <c r="E416" s="60">
        <f>(29.72)*(10.764)</f>
        <v>319.90607999999997</v>
      </c>
      <c r="F416" s="60">
        <v>0</v>
      </c>
      <c r="G416" s="60">
        <f t="shared" si="77"/>
        <v>319.90607999999997</v>
      </c>
      <c r="H416" s="60">
        <f t="shared" si="60"/>
        <v>383.88729599999994</v>
      </c>
      <c r="I416" s="32">
        <f t="shared" si="78"/>
        <v>223934.25599999999</v>
      </c>
      <c r="J416" s="32">
        <f t="shared" si="79"/>
        <v>4798591.1999999993</v>
      </c>
      <c r="K416" s="137">
        <f t="shared" si="80"/>
        <v>959718.23999999987</v>
      </c>
      <c r="L416" s="138">
        <v>11000</v>
      </c>
      <c r="M416" s="192">
        <f t="shared" si="81"/>
        <v>5022525.4559999993</v>
      </c>
      <c r="N416" s="193"/>
    </row>
    <row r="417" spans="1:14" customFormat="1" x14ac:dyDescent="0.25">
      <c r="A417" s="13">
        <f t="shared" si="59"/>
        <v>124</v>
      </c>
      <c r="B417" s="184"/>
      <c r="C417" s="52">
        <f t="shared" si="61"/>
        <v>1604</v>
      </c>
      <c r="D417" s="52" t="s">
        <v>104</v>
      </c>
      <c r="E417" s="60">
        <f>(48.01)*(10.764)</f>
        <v>516.77963999999997</v>
      </c>
      <c r="F417" s="60">
        <v>0</v>
      </c>
      <c r="G417" s="60">
        <f t="shared" si="77"/>
        <v>516.77963999999997</v>
      </c>
      <c r="H417" s="60">
        <f t="shared" si="60"/>
        <v>620.13556799999992</v>
      </c>
      <c r="I417" s="32">
        <f t="shared" si="78"/>
        <v>361745.74799999996</v>
      </c>
      <c r="J417" s="32">
        <f t="shared" si="79"/>
        <v>7751694.5999999996</v>
      </c>
      <c r="K417" s="137">
        <f t="shared" si="80"/>
        <v>1550338.9199999997</v>
      </c>
      <c r="L417" s="138">
        <v>16000</v>
      </c>
      <c r="M417" s="192">
        <f t="shared" si="81"/>
        <v>8113440.3479999993</v>
      </c>
      <c r="N417" s="193"/>
    </row>
    <row r="418" spans="1:14" customFormat="1" x14ac:dyDescent="0.25">
      <c r="A418" s="13">
        <f t="shared" si="59"/>
        <v>125</v>
      </c>
      <c r="B418" s="184"/>
      <c r="C418" s="52">
        <f t="shared" si="61"/>
        <v>1605</v>
      </c>
      <c r="D418" s="52" t="s">
        <v>104</v>
      </c>
      <c r="E418" s="60">
        <f>(49.83)*(10.764)</f>
        <v>536.37011999999993</v>
      </c>
      <c r="F418" s="60">
        <v>0</v>
      </c>
      <c r="G418" s="60">
        <f t="shared" si="77"/>
        <v>536.37011999999993</v>
      </c>
      <c r="H418" s="60">
        <f t="shared" si="60"/>
        <v>643.64414399999987</v>
      </c>
      <c r="I418" s="32">
        <f t="shared" si="78"/>
        <v>375459.08399999997</v>
      </c>
      <c r="J418" s="32">
        <f t="shared" si="79"/>
        <v>8045551.7999999989</v>
      </c>
      <c r="K418" s="137">
        <f t="shared" si="80"/>
        <v>1609110.3599999996</v>
      </c>
      <c r="L418" s="138">
        <v>16000</v>
      </c>
      <c r="M418" s="192">
        <f t="shared" si="81"/>
        <v>8421010.8839999996</v>
      </c>
      <c r="N418" s="193"/>
    </row>
    <row r="419" spans="1:14" customFormat="1" x14ac:dyDescent="0.25">
      <c r="A419" s="13">
        <f t="shared" si="59"/>
        <v>126</v>
      </c>
      <c r="B419" s="184"/>
      <c r="C419" s="52">
        <f t="shared" si="61"/>
        <v>1606</v>
      </c>
      <c r="D419" s="52" t="s">
        <v>104</v>
      </c>
      <c r="E419" s="60">
        <f>(49.78)*(10.764)</f>
        <v>535.83191999999997</v>
      </c>
      <c r="F419" s="60">
        <v>0</v>
      </c>
      <c r="G419" s="60">
        <f t="shared" si="77"/>
        <v>535.83191999999997</v>
      </c>
      <c r="H419" s="60">
        <f t="shared" si="60"/>
        <v>642.99830399999996</v>
      </c>
      <c r="I419" s="32">
        <f t="shared" si="78"/>
        <v>375082.34399999998</v>
      </c>
      <c r="J419" s="32">
        <f t="shared" si="79"/>
        <v>8037478.7999999998</v>
      </c>
      <c r="K419" s="137">
        <f t="shared" si="80"/>
        <v>1607495.76</v>
      </c>
      <c r="L419" s="138">
        <v>16000</v>
      </c>
      <c r="M419" s="192">
        <f t="shared" si="81"/>
        <v>8412561.1439999994</v>
      </c>
      <c r="N419" s="193"/>
    </row>
    <row r="420" spans="1:14" customFormat="1" x14ac:dyDescent="0.25">
      <c r="A420" s="13">
        <f t="shared" si="59"/>
        <v>127</v>
      </c>
      <c r="B420" s="184"/>
      <c r="C420" s="52">
        <f t="shared" si="61"/>
        <v>1607</v>
      </c>
      <c r="D420" s="52" t="s">
        <v>104</v>
      </c>
      <c r="E420" s="60">
        <f>(49.78)*(10.764)</f>
        <v>535.83191999999997</v>
      </c>
      <c r="F420" s="60">
        <v>0</v>
      </c>
      <c r="G420" s="60">
        <f t="shared" si="77"/>
        <v>535.83191999999997</v>
      </c>
      <c r="H420" s="60">
        <f t="shared" si="60"/>
        <v>642.99830399999996</v>
      </c>
      <c r="I420" s="32">
        <f t="shared" si="78"/>
        <v>375082.34399999998</v>
      </c>
      <c r="J420" s="32">
        <f t="shared" si="79"/>
        <v>8037478.7999999998</v>
      </c>
      <c r="K420" s="137">
        <f t="shared" si="80"/>
        <v>1607495.76</v>
      </c>
      <c r="L420" s="138">
        <v>16000</v>
      </c>
      <c r="M420" s="192">
        <f t="shared" si="81"/>
        <v>8412561.1439999994</v>
      </c>
      <c r="N420" s="193"/>
    </row>
    <row r="421" spans="1:14" customFormat="1" x14ac:dyDescent="0.25">
      <c r="A421" s="13">
        <f t="shared" si="59"/>
        <v>128</v>
      </c>
      <c r="B421" s="184"/>
      <c r="C421" s="52">
        <f t="shared" si="61"/>
        <v>1608</v>
      </c>
      <c r="D421" s="52" t="s">
        <v>104</v>
      </c>
      <c r="E421" s="60">
        <f>(49.83)*(10.764)</f>
        <v>536.37011999999993</v>
      </c>
      <c r="F421" s="60">
        <v>0</v>
      </c>
      <c r="G421" s="60">
        <f t="shared" si="77"/>
        <v>536.37011999999993</v>
      </c>
      <c r="H421" s="60">
        <f t="shared" si="60"/>
        <v>643.64414399999987</v>
      </c>
      <c r="I421" s="32">
        <f t="shared" si="78"/>
        <v>375459.08399999997</v>
      </c>
      <c r="J421" s="32">
        <f t="shared" si="79"/>
        <v>8045551.7999999989</v>
      </c>
      <c r="K421" s="137">
        <f t="shared" si="80"/>
        <v>1609110.3599999996</v>
      </c>
      <c r="L421" s="138">
        <v>16000</v>
      </c>
      <c r="M421" s="192">
        <f t="shared" si="81"/>
        <v>8421010.8839999996</v>
      </c>
      <c r="N421" s="193"/>
    </row>
    <row r="422" spans="1:14" customFormat="1" x14ac:dyDescent="0.25">
      <c r="A422" s="13">
        <f t="shared" si="59"/>
        <v>129</v>
      </c>
      <c r="B422" s="184"/>
      <c r="C422" s="52">
        <f t="shared" si="61"/>
        <v>1609</v>
      </c>
      <c r="D422" s="52" t="s">
        <v>104</v>
      </c>
      <c r="E422" s="60">
        <f>(48.01)*(10.764)</f>
        <v>516.77963999999997</v>
      </c>
      <c r="F422" s="60">
        <v>0</v>
      </c>
      <c r="G422" s="60">
        <f t="shared" si="77"/>
        <v>516.77963999999997</v>
      </c>
      <c r="H422" s="60">
        <f t="shared" si="60"/>
        <v>620.13556799999992</v>
      </c>
      <c r="I422" s="32">
        <f t="shared" si="78"/>
        <v>361745.74799999996</v>
      </c>
      <c r="J422" s="32">
        <f t="shared" si="79"/>
        <v>7751694.5999999996</v>
      </c>
      <c r="K422" s="137">
        <f t="shared" si="80"/>
        <v>1550338.9199999997</v>
      </c>
      <c r="L422" s="138">
        <v>16000</v>
      </c>
      <c r="M422" s="192">
        <f t="shared" si="81"/>
        <v>8113440.3479999993</v>
      </c>
      <c r="N422" s="193"/>
    </row>
    <row r="423" spans="1:14" customFormat="1" x14ac:dyDescent="0.25">
      <c r="A423" s="13">
        <f t="shared" si="59"/>
        <v>130</v>
      </c>
      <c r="B423" s="184"/>
      <c r="C423" s="52">
        <f t="shared" si="61"/>
        <v>1610</v>
      </c>
      <c r="D423" s="52" t="s">
        <v>100</v>
      </c>
      <c r="E423" s="60">
        <f>(29.72)*(10.764)</f>
        <v>319.90607999999997</v>
      </c>
      <c r="F423" s="60">
        <v>0</v>
      </c>
      <c r="G423" s="60">
        <f t="shared" si="77"/>
        <v>319.90607999999997</v>
      </c>
      <c r="H423" s="60">
        <f t="shared" si="60"/>
        <v>383.88729599999994</v>
      </c>
      <c r="I423" s="32">
        <f t="shared" si="78"/>
        <v>223934.25599999999</v>
      </c>
      <c r="J423" s="32">
        <f t="shared" si="79"/>
        <v>4798591.1999999993</v>
      </c>
      <c r="K423" s="137">
        <f t="shared" si="80"/>
        <v>959718.23999999987</v>
      </c>
      <c r="L423" s="138">
        <v>11000</v>
      </c>
      <c r="M423" s="192">
        <f t="shared" si="81"/>
        <v>5022525.4559999993</v>
      </c>
      <c r="N423" s="193"/>
    </row>
    <row r="424" spans="1:14" customFormat="1" x14ac:dyDescent="0.25">
      <c r="A424" s="13">
        <f t="shared" si="59"/>
        <v>131</v>
      </c>
      <c r="B424" s="184"/>
      <c r="C424" s="52">
        <f t="shared" si="61"/>
        <v>1611</v>
      </c>
      <c r="D424" s="52" t="s">
        <v>100</v>
      </c>
      <c r="E424" s="60">
        <f>(29.49)*(10.764)</f>
        <v>317.43035999999995</v>
      </c>
      <c r="F424" s="60">
        <v>0</v>
      </c>
      <c r="G424" s="60">
        <f t="shared" si="77"/>
        <v>317.43035999999995</v>
      </c>
      <c r="H424" s="60">
        <f t="shared" si="60"/>
        <v>380.91643199999993</v>
      </c>
      <c r="I424" s="32">
        <f t="shared" si="78"/>
        <v>222201.25199999998</v>
      </c>
      <c r="J424" s="32">
        <f t="shared" si="79"/>
        <v>4761455.3999999994</v>
      </c>
      <c r="K424" s="137">
        <f t="shared" si="80"/>
        <v>952291.07999999984</v>
      </c>
      <c r="L424" s="138">
        <v>11000</v>
      </c>
      <c r="M424" s="192">
        <f t="shared" si="81"/>
        <v>4983656.6519999998</v>
      </c>
      <c r="N424" s="193"/>
    </row>
    <row r="425" spans="1:14" customFormat="1" x14ac:dyDescent="0.25">
      <c r="A425" s="13">
        <f t="shared" si="59"/>
        <v>132</v>
      </c>
      <c r="B425" s="185"/>
      <c r="C425" s="52">
        <f t="shared" si="61"/>
        <v>1612</v>
      </c>
      <c r="D425" s="52" t="s">
        <v>100</v>
      </c>
      <c r="E425" s="60">
        <f>(29.49)*(10.764)</f>
        <v>317.43035999999995</v>
      </c>
      <c r="F425" s="60">
        <v>0</v>
      </c>
      <c r="G425" s="60">
        <f t="shared" si="77"/>
        <v>317.43035999999995</v>
      </c>
      <c r="H425" s="60">
        <f t="shared" si="60"/>
        <v>380.91643199999993</v>
      </c>
      <c r="I425" s="32">
        <f t="shared" si="78"/>
        <v>222201.25199999998</v>
      </c>
      <c r="J425" s="32">
        <f t="shared" si="79"/>
        <v>4761455.3999999994</v>
      </c>
      <c r="K425" s="137">
        <f t="shared" si="80"/>
        <v>952291.07999999984</v>
      </c>
      <c r="L425" s="138">
        <v>11000</v>
      </c>
      <c r="M425" s="192">
        <f t="shared" si="81"/>
        <v>4983656.6519999998</v>
      </c>
      <c r="N425" s="193"/>
    </row>
    <row r="426" spans="1:14" customFormat="1" hidden="1" x14ac:dyDescent="0.25">
      <c r="A426" s="13">
        <f>A293+1</f>
        <v>3</v>
      </c>
      <c r="B426" s="183" t="s">
        <v>601</v>
      </c>
      <c r="C426" s="52">
        <f>LEFT(B426,SUM(LEN(B426)-LEN(SUBSTITUTE(B426,{"0","1","2","3","4","5","6","7","8","9"},""))))*100+1</f>
        <v>401</v>
      </c>
      <c r="D426" s="52" t="s">
        <v>428</v>
      </c>
      <c r="E426" s="52"/>
      <c r="F426" s="52"/>
      <c r="G426" s="52">
        <f t="shared" si="13"/>
        <v>0</v>
      </c>
      <c r="H426" s="60">
        <f t="shared" ref="H426:H437" si="82">G426*1.2</f>
        <v>0</v>
      </c>
      <c r="I426" s="32">
        <f t="shared" si="15"/>
        <v>0</v>
      </c>
      <c r="J426" s="32">
        <f t="shared" si="16"/>
        <v>0</v>
      </c>
      <c r="K426" s="137">
        <f t="shared" si="17"/>
        <v>0</v>
      </c>
      <c r="L426" s="138"/>
      <c r="M426" s="192">
        <f t="shared" si="18"/>
        <v>0</v>
      </c>
      <c r="N426" s="193"/>
    </row>
    <row r="427" spans="1:14" customFormat="1" hidden="1" x14ac:dyDescent="0.25">
      <c r="A427" s="13">
        <f t="shared" ref="A427:A437" si="83">A426+1</f>
        <v>4</v>
      </c>
      <c r="B427" s="184"/>
      <c r="C427" s="52">
        <f>C426+1</f>
        <v>402</v>
      </c>
      <c r="D427" s="52" t="s">
        <v>104</v>
      </c>
      <c r="E427" s="52"/>
      <c r="F427" s="52"/>
      <c r="G427" s="52">
        <f t="shared" si="13"/>
        <v>0</v>
      </c>
      <c r="H427" s="60">
        <f t="shared" si="82"/>
        <v>0</v>
      </c>
      <c r="I427" s="32">
        <f t="shared" si="15"/>
        <v>0</v>
      </c>
      <c r="J427" s="32">
        <f t="shared" si="16"/>
        <v>0</v>
      </c>
      <c r="K427" s="137">
        <f t="shared" si="17"/>
        <v>0</v>
      </c>
      <c r="L427" s="138"/>
      <c r="M427" s="192">
        <f t="shared" si="18"/>
        <v>0</v>
      </c>
      <c r="N427" s="193"/>
    </row>
    <row r="428" spans="1:14" customFormat="1" hidden="1" x14ac:dyDescent="0.25">
      <c r="A428" s="13">
        <f t="shared" si="83"/>
        <v>5</v>
      </c>
      <c r="B428" s="184"/>
      <c r="C428" s="52">
        <f t="shared" ref="C428:C431" si="84">C427+1</f>
        <v>403</v>
      </c>
      <c r="D428" s="52" t="s">
        <v>104</v>
      </c>
      <c r="E428" s="52"/>
      <c r="F428" s="52"/>
      <c r="G428" s="52">
        <f t="shared" si="13"/>
        <v>0</v>
      </c>
      <c r="H428" s="60">
        <f t="shared" si="82"/>
        <v>0</v>
      </c>
      <c r="I428" s="32">
        <f t="shared" si="15"/>
        <v>0</v>
      </c>
      <c r="J428" s="32">
        <f t="shared" si="16"/>
        <v>0</v>
      </c>
      <c r="K428" s="137">
        <f t="shared" si="17"/>
        <v>0</v>
      </c>
      <c r="L428" s="138"/>
      <c r="M428" s="192">
        <f t="shared" si="18"/>
        <v>0</v>
      </c>
      <c r="N428" s="193"/>
    </row>
    <row r="429" spans="1:14" customFormat="1" hidden="1" x14ac:dyDescent="0.25">
      <c r="A429" s="13">
        <f t="shared" si="83"/>
        <v>6</v>
      </c>
      <c r="B429" s="184"/>
      <c r="C429" s="52">
        <f t="shared" si="84"/>
        <v>404</v>
      </c>
      <c r="D429" s="52" t="s">
        <v>428</v>
      </c>
      <c r="E429" s="52"/>
      <c r="F429" s="52"/>
      <c r="G429" s="52">
        <f t="shared" si="13"/>
        <v>0</v>
      </c>
      <c r="H429" s="60">
        <f t="shared" si="82"/>
        <v>0</v>
      </c>
      <c r="I429" s="32">
        <f t="shared" si="15"/>
        <v>0</v>
      </c>
      <c r="J429" s="32">
        <f t="shared" si="16"/>
        <v>0</v>
      </c>
      <c r="K429" s="137">
        <f t="shared" si="17"/>
        <v>0</v>
      </c>
      <c r="L429" s="138"/>
      <c r="M429" s="192">
        <f t="shared" si="18"/>
        <v>0</v>
      </c>
      <c r="N429" s="193"/>
    </row>
    <row r="430" spans="1:14" customFormat="1" hidden="1" x14ac:dyDescent="0.25">
      <c r="A430" s="13">
        <f t="shared" si="83"/>
        <v>7</v>
      </c>
      <c r="B430" s="184"/>
      <c r="C430" s="52">
        <f t="shared" si="84"/>
        <v>405</v>
      </c>
      <c r="D430" s="52" t="s">
        <v>104</v>
      </c>
      <c r="E430" s="52"/>
      <c r="F430" s="52"/>
      <c r="G430" s="52">
        <f t="shared" si="13"/>
        <v>0</v>
      </c>
      <c r="H430" s="60">
        <f t="shared" si="82"/>
        <v>0</v>
      </c>
      <c r="I430" s="32">
        <f t="shared" si="15"/>
        <v>0</v>
      </c>
      <c r="J430" s="32">
        <f t="shared" si="16"/>
        <v>0</v>
      </c>
      <c r="K430" s="137">
        <f t="shared" si="17"/>
        <v>0</v>
      </c>
      <c r="L430" s="138"/>
      <c r="M430" s="192">
        <f t="shared" si="18"/>
        <v>0</v>
      </c>
      <c r="N430" s="193"/>
    </row>
    <row r="431" spans="1:14" customFormat="1" hidden="1" x14ac:dyDescent="0.25">
      <c r="A431" s="13">
        <f t="shared" si="83"/>
        <v>8</v>
      </c>
      <c r="B431" s="185"/>
      <c r="C431" s="52">
        <f t="shared" si="84"/>
        <v>406</v>
      </c>
      <c r="D431" s="52" t="s">
        <v>104</v>
      </c>
      <c r="E431" s="52"/>
      <c r="F431" s="52"/>
      <c r="G431" s="52">
        <f t="shared" si="13"/>
        <v>0</v>
      </c>
      <c r="H431" s="60">
        <f t="shared" si="82"/>
        <v>0</v>
      </c>
      <c r="I431" s="32">
        <f t="shared" si="15"/>
        <v>0</v>
      </c>
      <c r="J431" s="32">
        <f t="shared" si="16"/>
        <v>0</v>
      </c>
      <c r="K431" s="137">
        <f t="shared" si="17"/>
        <v>0</v>
      </c>
      <c r="L431" s="138"/>
      <c r="M431" s="192">
        <f t="shared" si="18"/>
        <v>0</v>
      </c>
      <c r="N431" s="193"/>
    </row>
    <row r="432" spans="1:14" customFormat="1" hidden="1" x14ac:dyDescent="0.25">
      <c r="A432" s="13">
        <f>A431+1</f>
        <v>9</v>
      </c>
      <c r="B432" s="183" t="s">
        <v>602</v>
      </c>
      <c r="C432" s="52">
        <f>LEFT(B432,SUM(LEN(B432)-LEN(SUBSTITUTE(B432,{"0","1","2","3","4","5","6","7","8","9"},""))))*100+1</f>
        <v>501</v>
      </c>
      <c r="D432" s="52" t="s">
        <v>428</v>
      </c>
      <c r="E432" s="52"/>
      <c r="F432" s="52"/>
      <c r="G432" s="52">
        <f t="shared" si="13"/>
        <v>0</v>
      </c>
      <c r="H432" s="60">
        <f t="shared" si="82"/>
        <v>0</v>
      </c>
      <c r="I432" s="32">
        <f t="shared" si="15"/>
        <v>0</v>
      </c>
      <c r="J432" s="32">
        <f t="shared" si="16"/>
        <v>0</v>
      </c>
      <c r="K432" s="137">
        <f t="shared" si="17"/>
        <v>0</v>
      </c>
      <c r="L432" s="138"/>
      <c r="M432" s="192">
        <f t="shared" si="18"/>
        <v>0</v>
      </c>
      <c r="N432" s="193"/>
    </row>
    <row r="433" spans="1:14" customFormat="1" hidden="1" x14ac:dyDescent="0.25">
      <c r="A433" s="13">
        <f t="shared" si="83"/>
        <v>10</v>
      </c>
      <c r="B433" s="184"/>
      <c r="C433" s="52">
        <f>C432+1</f>
        <v>502</v>
      </c>
      <c r="D433" s="52" t="s">
        <v>104</v>
      </c>
      <c r="E433" s="52"/>
      <c r="F433" s="52"/>
      <c r="G433" s="52">
        <f t="shared" si="13"/>
        <v>0</v>
      </c>
      <c r="H433" s="60">
        <f t="shared" si="82"/>
        <v>0</v>
      </c>
      <c r="I433" s="32">
        <f t="shared" si="15"/>
        <v>0</v>
      </c>
      <c r="J433" s="32">
        <f t="shared" si="16"/>
        <v>0</v>
      </c>
      <c r="K433" s="137">
        <f t="shared" si="17"/>
        <v>0</v>
      </c>
      <c r="L433" s="138"/>
      <c r="M433" s="192">
        <f t="shared" si="18"/>
        <v>0</v>
      </c>
      <c r="N433" s="193"/>
    </row>
    <row r="434" spans="1:14" customFormat="1" hidden="1" x14ac:dyDescent="0.25">
      <c r="A434" s="13">
        <f t="shared" si="83"/>
        <v>11</v>
      </c>
      <c r="B434" s="184"/>
      <c r="C434" s="52">
        <f t="shared" ref="C434:C437" si="85">C433+1</f>
        <v>503</v>
      </c>
      <c r="D434" s="52" t="s">
        <v>104</v>
      </c>
      <c r="E434" s="52"/>
      <c r="F434" s="52"/>
      <c r="G434" s="52">
        <f t="shared" si="13"/>
        <v>0</v>
      </c>
      <c r="H434" s="60">
        <f t="shared" si="82"/>
        <v>0</v>
      </c>
      <c r="I434" s="32">
        <f t="shared" si="15"/>
        <v>0</v>
      </c>
      <c r="J434" s="32">
        <f t="shared" si="16"/>
        <v>0</v>
      </c>
      <c r="K434" s="137">
        <f t="shared" si="17"/>
        <v>0</v>
      </c>
      <c r="L434" s="138"/>
      <c r="M434" s="192">
        <f t="shared" si="18"/>
        <v>0</v>
      </c>
      <c r="N434" s="193"/>
    </row>
    <row r="435" spans="1:14" customFormat="1" hidden="1" x14ac:dyDescent="0.25">
      <c r="A435" s="13">
        <f t="shared" si="83"/>
        <v>12</v>
      </c>
      <c r="B435" s="184"/>
      <c r="C435" s="52">
        <f t="shared" si="85"/>
        <v>504</v>
      </c>
      <c r="D435" s="52" t="s">
        <v>428</v>
      </c>
      <c r="E435" s="52"/>
      <c r="F435" s="52"/>
      <c r="G435" s="52">
        <f t="shared" si="13"/>
        <v>0</v>
      </c>
      <c r="H435" s="60">
        <f t="shared" si="82"/>
        <v>0</v>
      </c>
      <c r="I435" s="32">
        <f t="shared" si="15"/>
        <v>0</v>
      </c>
      <c r="J435" s="32">
        <f t="shared" si="16"/>
        <v>0</v>
      </c>
      <c r="K435" s="137">
        <f t="shared" si="17"/>
        <v>0</v>
      </c>
      <c r="L435" s="138"/>
      <c r="M435" s="192">
        <f t="shared" si="18"/>
        <v>0</v>
      </c>
      <c r="N435" s="193"/>
    </row>
    <row r="436" spans="1:14" customFormat="1" hidden="1" x14ac:dyDescent="0.25">
      <c r="A436" s="13">
        <f t="shared" si="83"/>
        <v>13</v>
      </c>
      <c r="B436" s="184"/>
      <c r="C436" s="52">
        <f t="shared" si="85"/>
        <v>505</v>
      </c>
      <c r="D436" s="52" t="s">
        <v>104</v>
      </c>
      <c r="E436" s="52"/>
      <c r="F436" s="52"/>
      <c r="G436" s="52">
        <f t="shared" si="13"/>
        <v>0</v>
      </c>
      <c r="H436" s="60">
        <f t="shared" si="82"/>
        <v>0</v>
      </c>
      <c r="I436" s="32">
        <f t="shared" si="15"/>
        <v>0</v>
      </c>
      <c r="J436" s="32">
        <f t="shared" si="16"/>
        <v>0</v>
      </c>
      <c r="K436" s="137">
        <f t="shared" si="17"/>
        <v>0</v>
      </c>
      <c r="L436" s="138"/>
      <c r="M436" s="192">
        <f t="shared" si="18"/>
        <v>0</v>
      </c>
      <c r="N436" s="193"/>
    </row>
    <row r="437" spans="1:14" customFormat="1" hidden="1" x14ac:dyDescent="0.25">
      <c r="A437" s="13">
        <f t="shared" si="83"/>
        <v>14</v>
      </c>
      <c r="B437" s="185"/>
      <c r="C437" s="52">
        <f t="shared" si="85"/>
        <v>506</v>
      </c>
      <c r="D437" s="52" t="s">
        <v>104</v>
      </c>
      <c r="E437" s="52"/>
      <c r="F437" s="52"/>
      <c r="G437" s="52">
        <f t="shared" si="13"/>
        <v>0</v>
      </c>
      <c r="H437" s="60">
        <f t="shared" si="82"/>
        <v>0</v>
      </c>
      <c r="I437" s="32">
        <f t="shared" si="15"/>
        <v>0</v>
      </c>
      <c r="J437" s="32">
        <f t="shared" si="16"/>
        <v>0</v>
      </c>
      <c r="K437" s="137">
        <f t="shared" si="17"/>
        <v>0</v>
      </c>
      <c r="L437" s="138"/>
      <c r="M437" s="192">
        <f t="shared" si="18"/>
        <v>0</v>
      </c>
      <c r="N437" s="193"/>
    </row>
    <row r="438" spans="1:14" customFormat="1" hidden="1" x14ac:dyDescent="0.25">
      <c r="A438" s="403" t="s">
        <v>414</v>
      </c>
      <c r="B438" s="403"/>
      <c r="C438" s="403"/>
      <c r="D438" s="403"/>
      <c r="E438" s="403"/>
      <c r="F438" s="403"/>
      <c r="G438" s="403"/>
      <c r="H438" s="403"/>
      <c r="I438" s="403"/>
      <c r="J438" s="403"/>
      <c r="K438" s="403"/>
      <c r="L438" s="403"/>
      <c r="M438" s="403"/>
      <c r="N438" s="403"/>
    </row>
    <row r="439" spans="1:14" customFormat="1" hidden="1" x14ac:dyDescent="0.25">
      <c r="A439" s="359" t="s">
        <v>426</v>
      </c>
      <c r="B439" s="359"/>
      <c r="C439" s="359"/>
      <c r="D439" s="359"/>
      <c r="E439" s="359"/>
      <c r="F439" s="359"/>
      <c r="G439" s="359"/>
      <c r="H439" s="359"/>
      <c r="I439" s="359"/>
      <c r="J439" s="359"/>
      <c r="K439" s="359"/>
      <c r="L439" s="359"/>
      <c r="M439" s="359"/>
      <c r="N439" s="359"/>
    </row>
    <row r="440" spans="1:14" customFormat="1" hidden="1" x14ac:dyDescent="0.25">
      <c r="A440" s="359" t="s">
        <v>427</v>
      </c>
      <c r="B440" s="359"/>
      <c r="C440" s="359"/>
      <c r="D440" s="359"/>
      <c r="E440" s="359"/>
      <c r="F440" s="359"/>
      <c r="G440" s="359"/>
      <c r="H440" s="359"/>
      <c r="I440" s="359"/>
      <c r="J440" s="359"/>
      <c r="K440" s="359"/>
      <c r="L440" s="359"/>
      <c r="M440" s="359"/>
      <c r="N440" s="359"/>
    </row>
    <row r="441" spans="1:14" customFormat="1" hidden="1" x14ac:dyDescent="0.25">
      <c r="A441" s="13">
        <v>1</v>
      </c>
      <c r="B441" s="53" t="s">
        <v>600</v>
      </c>
      <c r="C441" s="52">
        <v>301</v>
      </c>
      <c r="D441" s="52" t="s">
        <v>104</v>
      </c>
      <c r="E441" s="52"/>
      <c r="F441" s="52"/>
      <c r="G441" s="52">
        <f t="shared" ref="G441:G463" si="86">E441+(IF(F441&lt;101,F441,IF(F441&lt;201,F441/2,IF(F441&lt;=301,F441/3,F441/4))))</f>
        <v>0</v>
      </c>
      <c r="H441" s="60">
        <f t="shared" ref="H441:H463" si="87">G441*1.2</f>
        <v>0</v>
      </c>
      <c r="I441" s="32">
        <f t="shared" ref="I441:I463" si="88">G441*I$288</f>
        <v>0</v>
      </c>
      <c r="J441" s="32">
        <f t="shared" ref="J441:J463" si="89">G441*$J$288</f>
        <v>0</v>
      </c>
      <c r="K441" s="137">
        <f t="shared" ref="K441:K463" si="90">$K$288*H441</f>
        <v>0</v>
      </c>
      <c r="L441" s="138"/>
      <c r="M441" s="192">
        <f t="shared" ref="M441:M463" si="91">J441+I441</f>
        <v>0</v>
      </c>
      <c r="N441" s="193"/>
    </row>
    <row r="442" spans="1:14" customFormat="1" hidden="1" x14ac:dyDescent="0.25">
      <c r="A442" s="13">
        <f>A441+1</f>
        <v>2</v>
      </c>
      <c r="B442" s="183" t="s">
        <v>601</v>
      </c>
      <c r="C442" s="52">
        <f>LEFT(B442,SUM(LEN(B442)-LEN(SUBSTITUTE(B442,{"0","1","2","3","4","5","6","7","8","9"},""))))*100+1</f>
        <v>401</v>
      </c>
      <c r="D442" s="52" t="s">
        <v>428</v>
      </c>
      <c r="E442" s="52"/>
      <c r="F442" s="52"/>
      <c r="G442" s="52">
        <f t="shared" si="86"/>
        <v>0</v>
      </c>
      <c r="H442" s="60">
        <f t="shared" si="87"/>
        <v>0</v>
      </c>
      <c r="I442" s="32">
        <f t="shared" si="88"/>
        <v>0</v>
      </c>
      <c r="J442" s="32">
        <f t="shared" si="89"/>
        <v>0</v>
      </c>
      <c r="K442" s="137">
        <f t="shared" si="90"/>
        <v>0</v>
      </c>
      <c r="L442" s="138"/>
      <c r="M442" s="192">
        <f t="shared" si="91"/>
        <v>0</v>
      </c>
      <c r="N442" s="193"/>
    </row>
    <row r="443" spans="1:14" customFormat="1" hidden="1" x14ac:dyDescent="0.25">
      <c r="A443" s="13">
        <f t="shared" ref="A443:A463" si="92">A442+1</f>
        <v>3</v>
      </c>
      <c r="B443" s="184"/>
      <c r="C443" s="52">
        <f>C442+1</f>
        <v>402</v>
      </c>
      <c r="D443" s="52" t="s">
        <v>104</v>
      </c>
      <c r="E443" s="52"/>
      <c r="F443" s="52"/>
      <c r="G443" s="52">
        <f t="shared" si="86"/>
        <v>0</v>
      </c>
      <c r="H443" s="60">
        <f t="shared" si="87"/>
        <v>0</v>
      </c>
      <c r="I443" s="32">
        <f t="shared" si="88"/>
        <v>0</v>
      </c>
      <c r="J443" s="32">
        <f t="shared" si="89"/>
        <v>0</v>
      </c>
      <c r="K443" s="137">
        <f t="shared" si="90"/>
        <v>0</v>
      </c>
      <c r="L443" s="138"/>
      <c r="M443" s="192">
        <f t="shared" si="91"/>
        <v>0</v>
      </c>
      <c r="N443" s="193"/>
    </row>
    <row r="444" spans="1:14" customFormat="1" hidden="1" x14ac:dyDescent="0.25">
      <c r="A444" s="13">
        <f t="shared" si="92"/>
        <v>4</v>
      </c>
      <c r="B444" s="184"/>
      <c r="C444" s="52">
        <f t="shared" ref="C444:C447" si="93">C443+1</f>
        <v>403</v>
      </c>
      <c r="D444" s="52" t="s">
        <v>104</v>
      </c>
      <c r="E444" s="52"/>
      <c r="F444" s="52"/>
      <c r="G444" s="52">
        <f t="shared" si="86"/>
        <v>0</v>
      </c>
      <c r="H444" s="60">
        <f t="shared" si="87"/>
        <v>0</v>
      </c>
      <c r="I444" s="32">
        <f t="shared" si="88"/>
        <v>0</v>
      </c>
      <c r="J444" s="32">
        <f t="shared" si="89"/>
        <v>0</v>
      </c>
      <c r="K444" s="137">
        <f t="shared" si="90"/>
        <v>0</v>
      </c>
      <c r="L444" s="138"/>
      <c r="M444" s="192">
        <f t="shared" si="91"/>
        <v>0</v>
      </c>
      <c r="N444" s="193"/>
    </row>
    <row r="445" spans="1:14" customFormat="1" hidden="1" x14ac:dyDescent="0.25">
      <c r="A445" s="13">
        <f t="shared" si="92"/>
        <v>5</v>
      </c>
      <c r="B445" s="184"/>
      <c r="C445" s="52">
        <f t="shared" si="93"/>
        <v>404</v>
      </c>
      <c r="D445" s="52" t="s">
        <v>428</v>
      </c>
      <c r="E445" s="52"/>
      <c r="F445" s="52"/>
      <c r="G445" s="52">
        <f t="shared" si="86"/>
        <v>0</v>
      </c>
      <c r="H445" s="60">
        <f t="shared" si="87"/>
        <v>0</v>
      </c>
      <c r="I445" s="32">
        <f t="shared" si="88"/>
        <v>0</v>
      </c>
      <c r="J445" s="32">
        <f t="shared" si="89"/>
        <v>0</v>
      </c>
      <c r="K445" s="137">
        <f t="shared" si="90"/>
        <v>0</v>
      </c>
      <c r="L445" s="138"/>
      <c r="M445" s="192">
        <f t="shared" si="91"/>
        <v>0</v>
      </c>
      <c r="N445" s="193"/>
    </row>
    <row r="446" spans="1:14" customFormat="1" hidden="1" x14ac:dyDescent="0.25">
      <c r="A446" s="13">
        <f t="shared" si="92"/>
        <v>6</v>
      </c>
      <c r="B446" s="184"/>
      <c r="C446" s="52">
        <f t="shared" si="93"/>
        <v>405</v>
      </c>
      <c r="D446" s="52" t="s">
        <v>104</v>
      </c>
      <c r="E446" s="52"/>
      <c r="F446" s="52"/>
      <c r="G446" s="52">
        <f t="shared" si="86"/>
        <v>0</v>
      </c>
      <c r="H446" s="60">
        <f t="shared" si="87"/>
        <v>0</v>
      </c>
      <c r="I446" s="32">
        <f t="shared" si="88"/>
        <v>0</v>
      </c>
      <c r="J446" s="32">
        <f t="shared" si="89"/>
        <v>0</v>
      </c>
      <c r="K446" s="137">
        <f t="shared" si="90"/>
        <v>0</v>
      </c>
      <c r="L446" s="138"/>
      <c r="M446" s="192">
        <f t="shared" si="91"/>
        <v>0</v>
      </c>
      <c r="N446" s="193"/>
    </row>
    <row r="447" spans="1:14" customFormat="1" hidden="1" x14ac:dyDescent="0.25">
      <c r="A447" s="13">
        <f t="shared" si="92"/>
        <v>7</v>
      </c>
      <c r="B447" s="185"/>
      <c r="C447" s="52">
        <f t="shared" si="93"/>
        <v>406</v>
      </c>
      <c r="D447" s="52" t="s">
        <v>104</v>
      </c>
      <c r="E447" s="52"/>
      <c r="F447" s="52"/>
      <c r="G447" s="52">
        <f t="shared" si="86"/>
        <v>0</v>
      </c>
      <c r="H447" s="60">
        <f t="shared" si="87"/>
        <v>0</v>
      </c>
      <c r="I447" s="32">
        <f t="shared" si="88"/>
        <v>0</v>
      </c>
      <c r="J447" s="32">
        <f t="shared" si="89"/>
        <v>0</v>
      </c>
      <c r="K447" s="137">
        <f t="shared" si="90"/>
        <v>0</v>
      </c>
      <c r="L447" s="138"/>
      <c r="M447" s="192">
        <f t="shared" si="91"/>
        <v>0</v>
      </c>
      <c r="N447" s="193"/>
    </row>
    <row r="448" spans="1:14" customFormat="1" hidden="1" x14ac:dyDescent="0.25">
      <c r="A448" s="13">
        <f>A447+1</f>
        <v>8</v>
      </c>
      <c r="B448" s="183" t="s">
        <v>602</v>
      </c>
      <c r="C448" s="52">
        <f>LEFT(B448,SUM(LEN(B448)-LEN(SUBSTITUTE(B448,{"0","1","2","3","4","5","6","7","8","9"},""))))*100+1</f>
        <v>501</v>
      </c>
      <c r="D448" s="52" t="s">
        <v>428</v>
      </c>
      <c r="E448" s="52"/>
      <c r="F448" s="52"/>
      <c r="G448" s="52">
        <f t="shared" si="86"/>
        <v>0</v>
      </c>
      <c r="H448" s="60">
        <f t="shared" si="87"/>
        <v>0</v>
      </c>
      <c r="I448" s="32">
        <f t="shared" si="88"/>
        <v>0</v>
      </c>
      <c r="J448" s="32">
        <f t="shared" si="89"/>
        <v>0</v>
      </c>
      <c r="K448" s="137">
        <f t="shared" si="90"/>
        <v>0</v>
      </c>
      <c r="L448" s="138"/>
      <c r="M448" s="192">
        <f t="shared" si="91"/>
        <v>0</v>
      </c>
      <c r="N448" s="193"/>
    </row>
    <row r="449" spans="1:14" customFormat="1" hidden="1" x14ac:dyDescent="0.25">
      <c r="A449" s="13">
        <f t="shared" si="92"/>
        <v>9</v>
      </c>
      <c r="B449" s="184"/>
      <c r="C449" s="52">
        <f>C448+1</f>
        <v>502</v>
      </c>
      <c r="D449" s="52" t="s">
        <v>104</v>
      </c>
      <c r="E449" s="52"/>
      <c r="F449" s="52"/>
      <c r="G449" s="52">
        <f t="shared" si="86"/>
        <v>0</v>
      </c>
      <c r="H449" s="60">
        <f t="shared" si="87"/>
        <v>0</v>
      </c>
      <c r="I449" s="32">
        <f t="shared" si="88"/>
        <v>0</v>
      </c>
      <c r="J449" s="32">
        <f t="shared" si="89"/>
        <v>0</v>
      </c>
      <c r="K449" s="137">
        <f t="shared" si="90"/>
        <v>0</v>
      </c>
      <c r="L449" s="138"/>
      <c r="M449" s="192">
        <f t="shared" si="91"/>
        <v>0</v>
      </c>
      <c r="N449" s="193"/>
    </row>
    <row r="450" spans="1:14" customFormat="1" hidden="1" x14ac:dyDescent="0.25">
      <c r="A450" s="13">
        <f t="shared" si="92"/>
        <v>10</v>
      </c>
      <c r="B450" s="184"/>
      <c r="C450" s="52">
        <f t="shared" ref="C450:C453" si="94">C449+1</f>
        <v>503</v>
      </c>
      <c r="D450" s="52" t="s">
        <v>104</v>
      </c>
      <c r="E450" s="52"/>
      <c r="F450" s="52"/>
      <c r="G450" s="52">
        <f t="shared" si="86"/>
        <v>0</v>
      </c>
      <c r="H450" s="60">
        <f t="shared" si="87"/>
        <v>0</v>
      </c>
      <c r="I450" s="32">
        <f t="shared" si="88"/>
        <v>0</v>
      </c>
      <c r="J450" s="32">
        <f t="shared" si="89"/>
        <v>0</v>
      </c>
      <c r="K450" s="137">
        <f t="shared" si="90"/>
        <v>0</v>
      </c>
      <c r="L450" s="138"/>
      <c r="M450" s="192">
        <f t="shared" si="91"/>
        <v>0</v>
      </c>
      <c r="N450" s="193"/>
    </row>
    <row r="451" spans="1:14" customFormat="1" hidden="1" x14ac:dyDescent="0.25">
      <c r="A451" s="13">
        <f t="shared" si="92"/>
        <v>11</v>
      </c>
      <c r="B451" s="184"/>
      <c r="C451" s="52">
        <f t="shared" si="94"/>
        <v>504</v>
      </c>
      <c r="D451" s="52" t="s">
        <v>428</v>
      </c>
      <c r="E451" s="52"/>
      <c r="F451" s="52"/>
      <c r="G451" s="52">
        <f t="shared" si="86"/>
        <v>0</v>
      </c>
      <c r="H451" s="60">
        <f t="shared" si="87"/>
        <v>0</v>
      </c>
      <c r="I451" s="32">
        <f t="shared" si="88"/>
        <v>0</v>
      </c>
      <c r="J451" s="32">
        <f t="shared" si="89"/>
        <v>0</v>
      </c>
      <c r="K451" s="137">
        <f t="shared" si="90"/>
        <v>0</v>
      </c>
      <c r="L451" s="138"/>
      <c r="M451" s="192">
        <f t="shared" si="91"/>
        <v>0</v>
      </c>
      <c r="N451" s="193"/>
    </row>
    <row r="452" spans="1:14" customFormat="1" hidden="1" x14ac:dyDescent="0.25">
      <c r="A452" s="13">
        <f t="shared" si="92"/>
        <v>12</v>
      </c>
      <c r="B452" s="184"/>
      <c r="C452" s="52">
        <f t="shared" si="94"/>
        <v>505</v>
      </c>
      <c r="D452" s="52" t="s">
        <v>104</v>
      </c>
      <c r="E452" s="52"/>
      <c r="F452" s="52"/>
      <c r="G452" s="52">
        <f t="shared" si="86"/>
        <v>0</v>
      </c>
      <c r="H452" s="60">
        <f t="shared" si="87"/>
        <v>0</v>
      </c>
      <c r="I452" s="32">
        <f t="shared" si="88"/>
        <v>0</v>
      </c>
      <c r="J452" s="32">
        <f t="shared" si="89"/>
        <v>0</v>
      </c>
      <c r="K452" s="137">
        <f t="shared" si="90"/>
        <v>0</v>
      </c>
      <c r="L452" s="138"/>
      <c r="M452" s="192">
        <f t="shared" si="91"/>
        <v>0</v>
      </c>
      <c r="N452" s="193"/>
    </row>
    <row r="453" spans="1:14" customFormat="1" hidden="1" x14ac:dyDescent="0.25">
      <c r="A453" s="13">
        <f t="shared" si="92"/>
        <v>13</v>
      </c>
      <c r="B453" s="185"/>
      <c r="C453" s="52">
        <f t="shared" si="94"/>
        <v>506</v>
      </c>
      <c r="D453" s="52" t="s">
        <v>104</v>
      </c>
      <c r="E453" s="52"/>
      <c r="F453" s="52"/>
      <c r="G453" s="52">
        <f t="shared" si="86"/>
        <v>0</v>
      </c>
      <c r="H453" s="60">
        <f t="shared" si="87"/>
        <v>0</v>
      </c>
      <c r="I453" s="32">
        <f t="shared" si="88"/>
        <v>0</v>
      </c>
      <c r="J453" s="32">
        <f t="shared" si="89"/>
        <v>0</v>
      </c>
      <c r="K453" s="137">
        <f t="shared" si="90"/>
        <v>0</v>
      </c>
      <c r="L453" s="138"/>
      <c r="M453" s="192">
        <f t="shared" si="91"/>
        <v>0</v>
      </c>
      <c r="N453" s="193"/>
    </row>
    <row r="454" spans="1:14" customFormat="1" hidden="1" x14ac:dyDescent="0.25">
      <c r="A454" s="13">
        <f>A453+1</f>
        <v>14</v>
      </c>
      <c r="B454" s="183" t="s">
        <v>603</v>
      </c>
      <c r="C454" s="52">
        <f>LEFT(B454,SUM(LEN(B454)-LEN(SUBSTITUTE(B454,{"0","1","2","3","4","5","6","7","8","9"},""))))*100+1</f>
        <v>601</v>
      </c>
      <c r="D454" s="52" t="s">
        <v>428</v>
      </c>
      <c r="E454" s="52"/>
      <c r="F454" s="52"/>
      <c r="G454" s="52">
        <f t="shared" si="86"/>
        <v>0</v>
      </c>
      <c r="H454" s="60">
        <f t="shared" si="87"/>
        <v>0</v>
      </c>
      <c r="I454" s="32">
        <f t="shared" si="88"/>
        <v>0</v>
      </c>
      <c r="J454" s="32">
        <f t="shared" si="89"/>
        <v>0</v>
      </c>
      <c r="K454" s="137">
        <f t="shared" si="90"/>
        <v>0</v>
      </c>
      <c r="L454" s="138"/>
      <c r="M454" s="192">
        <f t="shared" si="91"/>
        <v>0</v>
      </c>
      <c r="N454" s="193"/>
    </row>
    <row r="455" spans="1:14" customFormat="1" hidden="1" x14ac:dyDescent="0.25">
      <c r="A455" s="13">
        <f t="shared" si="92"/>
        <v>15</v>
      </c>
      <c r="B455" s="184"/>
      <c r="C455" s="52">
        <f>C454+1</f>
        <v>602</v>
      </c>
      <c r="D455" s="52" t="s">
        <v>104</v>
      </c>
      <c r="E455" s="52"/>
      <c r="F455" s="52"/>
      <c r="G455" s="52">
        <f t="shared" si="86"/>
        <v>0</v>
      </c>
      <c r="H455" s="60">
        <f t="shared" si="87"/>
        <v>0</v>
      </c>
      <c r="I455" s="32">
        <f t="shared" si="88"/>
        <v>0</v>
      </c>
      <c r="J455" s="32">
        <f t="shared" si="89"/>
        <v>0</v>
      </c>
      <c r="K455" s="137">
        <f t="shared" si="90"/>
        <v>0</v>
      </c>
      <c r="L455" s="138"/>
      <c r="M455" s="192">
        <f t="shared" si="91"/>
        <v>0</v>
      </c>
      <c r="N455" s="193"/>
    </row>
    <row r="456" spans="1:14" customFormat="1" hidden="1" x14ac:dyDescent="0.25">
      <c r="A456" s="13">
        <f t="shared" si="92"/>
        <v>16</v>
      </c>
      <c r="B456" s="184"/>
      <c r="C456" s="52">
        <f t="shared" ref="C456:C459" si="95">C455+1</f>
        <v>603</v>
      </c>
      <c r="D456" s="52" t="s">
        <v>104</v>
      </c>
      <c r="E456" s="52"/>
      <c r="F456" s="52"/>
      <c r="G456" s="52">
        <f t="shared" si="86"/>
        <v>0</v>
      </c>
      <c r="H456" s="60">
        <f t="shared" si="87"/>
        <v>0</v>
      </c>
      <c r="I456" s="32">
        <f t="shared" si="88"/>
        <v>0</v>
      </c>
      <c r="J456" s="32">
        <f t="shared" si="89"/>
        <v>0</v>
      </c>
      <c r="K456" s="137">
        <f t="shared" si="90"/>
        <v>0</v>
      </c>
      <c r="L456" s="138"/>
      <c r="M456" s="192">
        <f t="shared" si="91"/>
        <v>0</v>
      </c>
      <c r="N456" s="193"/>
    </row>
    <row r="457" spans="1:14" customFormat="1" hidden="1" x14ac:dyDescent="0.25">
      <c r="A457" s="13">
        <f t="shared" si="92"/>
        <v>17</v>
      </c>
      <c r="B457" s="184"/>
      <c r="C457" s="52">
        <f t="shared" si="95"/>
        <v>604</v>
      </c>
      <c r="D457" s="52" t="s">
        <v>428</v>
      </c>
      <c r="E457" s="52"/>
      <c r="F457" s="52"/>
      <c r="G457" s="52">
        <f t="shared" si="86"/>
        <v>0</v>
      </c>
      <c r="H457" s="60">
        <f t="shared" si="87"/>
        <v>0</v>
      </c>
      <c r="I457" s="32">
        <f t="shared" si="88"/>
        <v>0</v>
      </c>
      <c r="J457" s="32">
        <f t="shared" si="89"/>
        <v>0</v>
      </c>
      <c r="K457" s="137">
        <f t="shared" si="90"/>
        <v>0</v>
      </c>
      <c r="L457" s="138"/>
      <c r="M457" s="192">
        <f t="shared" si="91"/>
        <v>0</v>
      </c>
      <c r="N457" s="193"/>
    </row>
    <row r="458" spans="1:14" customFormat="1" hidden="1" x14ac:dyDescent="0.25">
      <c r="A458" s="13">
        <f t="shared" si="92"/>
        <v>18</v>
      </c>
      <c r="B458" s="184"/>
      <c r="C458" s="52">
        <f t="shared" si="95"/>
        <v>605</v>
      </c>
      <c r="D458" s="52" t="s">
        <v>104</v>
      </c>
      <c r="E458" s="52"/>
      <c r="F458" s="52"/>
      <c r="G458" s="52">
        <f t="shared" si="86"/>
        <v>0</v>
      </c>
      <c r="H458" s="60">
        <f t="shared" si="87"/>
        <v>0</v>
      </c>
      <c r="I458" s="32">
        <f t="shared" si="88"/>
        <v>0</v>
      </c>
      <c r="J458" s="32">
        <f t="shared" si="89"/>
        <v>0</v>
      </c>
      <c r="K458" s="137">
        <f t="shared" si="90"/>
        <v>0</v>
      </c>
      <c r="L458" s="138"/>
      <c r="M458" s="192">
        <f t="shared" si="91"/>
        <v>0</v>
      </c>
      <c r="N458" s="193"/>
    </row>
    <row r="459" spans="1:14" customFormat="1" hidden="1" x14ac:dyDescent="0.25">
      <c r="A459" s="13">
        <f t="shared" si="92"/>
        <v>19</v>
      </c>
      <c r="B459" s="185"/>
      <c r="C459" s="52">
        <f t="shared" si="95"/>
        <v>606</v>
      </c>
      <c r="D459" s="52" t="s">
        <v>104</v>
      </c>
      <c r="E459" s="52"/>
      <c r="F459" s="52"/>
      <c r="G459" s="52">
        <f t="shared" si="86"/>
        <v>0</v>
      </c>
      <c r="H459" s="60">
        <f t="shared" si="87"/>
        <v>0</v>
      </c>
      <c r="I459" s="32">
        <f t="shared" si="88"/>
        <v>0</v>
      </c>
      <c r="J459" s="32">
        <f t="shared" si="89"/>
        <v>0</v>
      </c>
      <c r="K459" s="137">
        <f t="shared" si="90"/>
        <v>0</v>
      </c>
      <c r="L459" s="138"/>
      <c r="M459" s="192">
        <f t="shared" si="91"/>
        <v>0</v>
      </c>
      <c r="N459" s="193"/>
    </row>
    <row r="460" spans="1:14" customFormat="1" hidden="1" x14ac:dyDescent="0.25">
      <c r="A460" s="13">
        <f>A459+1</f>
        <v>20</v>
      </c>
      <c r="B460" s="183" t="s">
        <v>604</v>
      </c>
      <c r="C460" s="52">
        <f>LEFT(B460,SUM(LEN(B460)-LEN(SUBSTITUTE(B460,{"0","1","2","3","4","5","6","7","8","9"},""))))*100+1</f>
        <v>701</v>
      </c>
      <c r="D460" s="52" t="s">
        <v>428</v>
      </c>
      <c r="E460" s="52"/>
      <c r="F460" s="52"/>
      <c r="G460" s="52">
        <f t="shared" si="86"/>
        <v>0</v>
      </c>
      <c r="H460" s="60">
        <f t="shared" si="87"/>
        <v>0</v>
      </c>
      <c r="I460" s="32">
        <f t="shared" si="88"/>
        <v>0</v>
      </c>
      <c r="J460" s="32">
        <f t="shared" si="89"/>
        <v>0</v>
      </c>
      <c r="K460" s="137">
        <f t="shared" si="90"/>
        <v>0</v>
      </c>
      <c r="L460" s="138"/>
      <c r="M460" s="192">
        <f t="shared" si="91"/>
        <v>0</v>
      </c>
      <c r="N460" s="193"/>
    </row>
    <row r="461" spans="1:14" customFormat="1" hidden="1" x14ac:dyDescent="0.25">
      <c r="A461" s="13">
        <f t="shared" si="92"/>
        <v>21</v>
      </c>
      <c r="B461" s="184"/>
      <c r="C461" s="52">
        <f>C460+1</f>
        <v>702</v>
      </c>
      <c r="D461" s="52" t="s">
        <v>104</v>
      </c>
      <c r="E461" s="52"/>
      <c r="F461" s="52"/>
      <c r="G461" s="52">
        <f t="shared" si="86"/>
        <v>0</v>
      </c>
      <c r="H461" s="60">
        <f t="shared" si="87"/>
        <v>0</v>
      </c>
      <c r="I461" s="32">
        <f t="shared" si="88"/>
        <v>0</v>
      </c>
      <c r="J461" s="32">
        <f t="shared" si="89"/>
        <v>0</v>
      </c>
      <c r="K461" s="137">
        <f t="shared" si="90"/>
        <v>0</v>
      </c>
      <c r="L461" s="138"/>
      <c r="M461" s="192">
        <f t="shared" si="91"/>
        <v>0</v>
      </c>
      <c r="N461" s="193"/>
    </row>
    <row r="462" spans="1:14" customFormat="1" hidden="1" x14ac:dyDescent="0.25">
      <c r="A462" s="13">
        <f t="shared" si="92"/>
        <v>22</v>
      </c>
      <c r="B462" s="184"/>
      <c r="C462" s="52">
        <f t="shared" ref="C462:C463" si="96">C461+1</f>
        <v>703</v>
      </c>
      <c r="D462" s="52" t="s">
        <v>104</v>
      </c>
      <c r="E462" s="52"/>
      <c r="F462" s="52"/>
      <c r="G462" s="52">
        <f t="shared" si="86"/>
        <v>0</v>
      </c>
      <c r="H462" s="60">
        <f t="shared" si="87"/>
        <v>0</v>
      </c>
      <c r="I462" s="32">
        <f t="shared" si="88"/>
        <v>0</v>
      </c>
      <c r="J462" s="32">
        <f t="shared" si="89"/>
        <v>0</v>
      </c>
      <c r="K462" s="137">
        <f t="shared" si="90"/>
        <v>0</v>
      </c>
      <c r="L462" s="138"/>
      <c r="M462" s="192">
        <f t="shared" si="91"/>
        <v>0</v>
      </c>
      <c r="N462" s="193"/>
    </row>
    <row r="463" spans="1:14" customFormat="1" hidden="1" x14ac:dyDescent="0.25">
      <c r="A463" s="13">
        <f t="shared" si="92"/>
        <v>23</v>
      </c>
      <c r="B463" s="184"/>
      <c r="C463" s="52">
        <f t="shared" si="96"/>
        <v>704</v>
      </c>
      <c r="D463" s="52" t="s">
        <v>428</v>
      </c>
      <c r="E463" s="52"/>
      <c r="F463" s="52"/>
      <c r="G463" s="52">
        <f t="shared" si="86"/>
        <v>0</v>
      </c>
      <c r="H463" s="60">
        <f t="shared" si="87"/>
        <v>0</v>
      </c>
      <c r="I463" s="32">
        <f t="shared" si="88"/>
        <v>0</v>
      </c>
      <c r="J463" s="32">
        <f t="shared" si="89"/>
        <v>0</v>
      </c>
      <c r="K463" s="137">
        <f t="shared" si="90"/>
        <v>0</v>
      </c>
      <c r="L463" s="138"/>
      <c r="M463" s="192">
        <f t="shared" si="91"/>
        <v>0</v>
      </c>
      <c r="N463" s="193"/>
    </row>
    <row r="464" spans="1:14" customFormat="1" hidden="1" x14ac:dyDescent="0.25">
      <c r="A464" s="13" t="s">
        <v>171</v>
      </c>
      <c r="B464" s="184"/>
      <c r="C464" s="52" t="s">
        <v>171</v>
      </c>
      <c r="D464" s="279" t="s">
        <v>429</v>
      </c>
      <c r="E464" s="289"/>
      <c r="F464" s="289"/>
      <c r="G464" s="289"/>
      <c r="H464" s="289"/>
      <c r="I464" s="289"/>
      <c r="J464" s="289"/>
      <c r="K464" s="280"/>
      <c r="L464" s="138"/>
      <c r="M464" s="192">
        <f>$M$288*I464</f>
        <v>0</v>
      </c>
      <c r="N464" s="193"/>
    </row>
    <row r="465" spans="1:14" customFormat="1" hidden="1" x14ac:dyDescent="0.25">
      <c r="A465" s="13">
        <v>25</v>
      </c>
      <c r="B465" s="185"/>
      <c r="C465" s="52">
        <v>705</v>
      </c>
      <c r="D465" s="52" t="s">
        <v>104</v>
      </c>
      <c r="E465" s="52"/>
      <c r="F465" s="52"/>
      <c r="G465" s="52">
        <f>E465+(IF(F465&lt;101,F465,IF(F465&lt;201,F465/2,IF(F465&lt;=301,F465/3,F465/4))))</f>
        <v>0</v>
      </c>
      <c r="H465" s="60">
        <f>G465*1.2</f>
        <v>0</v>
      </c>
      <c r="I465" s="32">
        <f>G465*I$288</f>
        <v>0</v>
      </c>
      <c r="J465" s="32">
        <f>G465*$J$288</f>
        <v>0</v>
      </c>
      <c r="K465" s="137">
        <f t="shared" ref="K465" si="97">$K$288*H465</f>
        <v>0</v>
      </c>
      <c r="L465" s="138"/>
      <c r="M465" s="192">
        <f t="shared" ref="M465" si="98">J465+I465</f>
        <v>0</v>
      </c>
      <c r="N465" s="193"/>
    </row>
    <row r="466" spans="1:14" ht="30.75" customHeight="1" x14ac:dyDescent="0.25">
      <c r="A466" s="491" t="s">
        <v>701</v>
      </c>
      <c r="B466" s="492"/>
      <c r="C466" s="492"/>
      <c r="D466" s="492"/>
      <c r="E466" s="492"/>
      <c r="F466" s="492"/>
      <c r="G466" s="492"/>
      <c r="H466" s="492"/>
      <c r="I466" s="492"/>
      <c r="J466" s="492"/>
      <c r="K466" s="492"/>
      <c r="L466" s="492"/>
      <c r="M466" s="492"/>
      <c r="N466" s="493"/>
    </row>
    <row r="467" spans="1:14" ht="15" customHeight="1" x14ac:dyDescent="0.25">
      <c r="A467" s="340"/>
      <c r="B467" s="287"/>
      <c r="C467" s="287"/>
      <c r="D467" s="287"/>
      <c r="E467" s="287"/>
      <c r="F467" s="287"/>
      <c r="G467" s="287"/>
      <c r="H467" s="287"/>
      <c r="I467" s="287"/>
      <c r="J467" s="287"/>
      <c r="K467" s="287"/>
      <c r="L467" s="287"/>
      <c r="M467" s="287"/>
      <c r="N467" s="288"/>
    </row>
    <row r="468" spans="1:14" ht="15.75" x14ac:dyDescent="0.25">
      <c r="A468" s="450" t="s">
        <v>475</v>
      </c>
      <c r="B468" s="451"/>
      <c r="C468" s="451"/>
      <c r="D468" s="451"/>
      <c r="E468" s="451"/>
      <c r="F468" s="451"/>
      <c r="G468" s="451"/>
      <c r="H468" s="451"/>
      <c r="I468" s="451"/>
      <c r="J468" s="451"/>
      <c r="K468" s="451"/>
      <c r="L468" s="451"/>
      <c r="M468" s="451"/>
      <c r="N468" s="452"/>
    </row>
    <row r="469" spans="1:14" customFormat="1" ht="42" customHeight="1" x14ac:dyDescent="0.25">
      <c r="A469" s="234" t="s">
        <v>67</v>
      </c>
      <c r="B469" s="234" t="s">
        <v>68</v>
      </c>
      <c r="C469" s="234" t="s">
        <v>69</v>
      </c>
      <c r="D469" s="234" t="s">
        <v>70</v>
      </c>
      <c r="E469" s="234" t="s">
        <v>83</v>
      </c>
      <c r="F469" s="234" t="s">
        <v>628</v>
      </c>
      <c r="G469" s="234" t="s">
        <v>621</v>
      </c>
      <c r="H469" s="234" t="s">
        <v>244</v>
      </c>
      <c r="I469" s="24" t="s">
        <v>624</v>
      </c>
      <c r="J469" s="134" t="s">
        <v>625</v>
      </c>
      <c r="K469" s="234" t="s">
        <v>598</v>
      </c>
      <c r="L469" s="234" t="s">
        <v>599</v>
      </c>
      <c r="M469" s="360" t="s">
        <v>623</v>
      </c>
      <c r="N469" s="361"/>
    </row>
    <row r="470" spans="1:14" customFormat="1" ht="32.25" customHeight="1" x14ac:dyDescent="0.25">
      <c r="A470" s="235"/>
      <c r="B470" s="235"/>
      <c r="C470" s="235"/>
      <c r="D470" s="235"/>
      <c r="E470" s="235"/>
      <c r="F470" s="235"/>
      <c r="G470" s="235"/>
      <c r="H470" s="235"/>
      <c r="I470" s="24" t="s">
        <v>626</v>
      </c>
      <c r="J470" s="24" t="s">
        <v>626</v>
      </c>
      <c r="K470" s="236"/>
      <c r="L470" s="235"/>
      <c r="M470" s="362"/>
      <c r="N470" s="363"/>
    </row>
    <row r="471" spans="1:14" customFormat="1" x14ac:dyDescent="0.25">
      <c r="A471" s="236"/>
      <c r="B471" s="236"/>
      <c r="C471" s="236"/>
      <c r="D471" s="236"/>
      <c r="E471" s="236"/>
      <c r="F471" s="236"/>
      <c r="G471" s="236"/>
      <c r="H471" s="236"/>
      <c r="I471" s="145">
        <v>700</v>
      </c>
      <c r="J471" s="145">
        <v>15000</v>
      </c>
      <c r="K471" s="145">
        <v>2500</v>
      </c>
      <c r="L471" s="236"/>
      <c r="M471" s="364"/>
      <c r="N471" s="365"/>
    </row>
    <row r="472" spans="1:14" customFormat="1" x14ac:dyDescent="0.25">
      <c r="A472" s="13">
        <v>1</v>
      </c>
      <c r="B472" s="183" t="s">
        <v>612</v>
      </c>
      <c r="C472" s="52">
        <f>LEFT(B472,SUM(LEN(B472)-LEN(SUBSTITUTE(B472,{"0","1","2","3","4","5","6","7","8","9"},""))))*100+1</f>
        <v>1701</v>
      </c>
      <c r="D472" s="52" t="s">
        <v>100</v>
      </c>
      <c r="E472" s="60">
        <f>(29.49)*(10.764)</f>
        <v>317.43035999999995</v>
      </c>
      <c r="F472" s="60">
        <v>0</v>
      </c>
      <c r="G472" s="60">
        <f>E472+(IF(F472&lt;101,F472,IF(F472&lt;201,F472/2,IF(F472&lt;=301,F472/3,F472/4))))</f>
        <v>317.43035999999995</v>
      </c>
      <c r="H472" s="60">
        <f t="shared" ref="H472:H535" si="99">G472*1.2</f>
        <v>380.91643199999993</v>
      </c>
      <c r="I472" s="32">
        <f>G472*I$471</f>
        <v>222201.25199999998</v>
      </c>
      <c r="J472" s="32">
        <f>G472*$J$471</f>
        <v>4761455.3999999994</v>
      </c>
      <c r="K472" s="137">
        <f>$K$471*H472</f>
        <v>952291.07999999984</v>
      </c>
      <c r="L472" s="138">
        <v>11000</v>
      </c>
      <c r="M472" s="192">
        <f>J472+I472</f>
        <v>4983656.6519999998</v>
      </c>
      <c r="N472" s="193"/>
    </row>
    <row r="473" spans="1:14" customFormat="1" x14ac:dyDescent="0.25">
      <c r="A473" s="13">
        <f>A472+1</f>
        <v>2</v>
      </c>
      <c r="B473" s="184"/>
      <c r="C473" s="52">
        <f t="shared" ref="C473:C536" si="100">C472+1</f>
        <v>1702</v>
      </c>
      <c r="D473" s="52" t="s">
        <v>100</v>
      </c>
      <c r="E473" s="60">
        <f>(29.49)*(10.764)</f>
        <v>317.43035999999995</v>
      </c>
      <c r="F473" s="60">
        <v>0</v>
      </c>
      <c r="G473" s="60">
        <f t="shared" ref="G473:G483" si="101">E473+(IF(F473&lt;101,F473,IF(F473&lt;201,F473/2,IF(F473&lt;=301,F473/3,F473/4))))</f>
        <v>317.43035999999995</v>
      </c>
      <c r="H473" s="60">
        <f t="shared" si="99"/>
        <v>380.91643199999993</v>
      </c>
      <c r="I473" s="32">
        <f t="shared" ref="I473:I536" si="102">G473*I$471</f>
        <v>222201.25199999998</v>
      </c>
      <c r="J473" s="32">
        <f t="shared" ref="J473:J536" si="103">G473*$J$471</f>
        <v>4761455.3999999994</v>
      </c>
      <c r="K473" s="137">
        <f t="shared" ref="K473:K536" si="104">$K$471*H473</f>
        <v>952291.07999999984</v>
      </c>
      <c r="L473" s="138">
        <v>11000</v>
      </c>
      <c r="M473" s="192">
        <f t="shared" ref="M473:M483" si="105">J473+I473</f>
        <v>4983656.6519999998</v>
      </c>
      <c r="N473" s="193"/>
    </row>
    <row r="474" spans="1:14" customFormat="1" x14ac:dyDescent="0.25">
      <c r="A474" s="13">
        <f t="shared" ref="A474:A537" si="106">A473+1</f>
        <v>3</v>
      </c>
      <c r="B474" s="184"/>
      <c r="C474" s="52">
        <f t="shared" si="100"/>
        <v>1703</v>
      </c>
      <c r="D474" s="52" t="s">
        <v>100</v>
      </c>
      <c r="E474" s="60">
        <f>(29.72)*(10.764)</f>
        <v>319.90607999999997</v>
      </c>
      <c r="F474" s="60">
        <v>0</v>
      </c>
      <c r="G474" s="60">
        <f t="shared" si="101"/>
        <v>319.90607999999997</v>
      </c>
      <c r="H474" s="60">
        <f t="shared" si="99"/>
        <v>383.88729599999994</v>
      </c>
      <c r="I474" s="32">
        <f t="shared" si="102"/>
        <v>223934.25599999999</v>
      </c>
      <c r="J474" s="32">
        <f t="shared" si="103"/>
        <v>4798591.1999999993</v>
      </c>
      <c r="K474" s="137">
        <f t="shared" si="104"/>
        <v>959718.23999999987</v>
      </c>
      <c r="L474" s="138">
        <v>11000</v>
      </c>
      <c r="M474" s="192">
        <f t="shared" si="105"/>
        <v>5022525.4559999993</v>
      </c>
      <c r="N474" s="193"/>
    </row>
    <row r="475" spans="1:14" customFormat="1" x14ac:dyDescent="0.25">
      <c r="A475" s="13">
        <f t="shared" si="106"/>
        <v>4</v>
      </c>
      <c r="B475" s="184"/>
      <c r="C475" s="52">
        <f t="shared" si="100"/>
        <v>1704</v>
      </c>
      <c r="D475" s="52" t="s">
        <v>104</v>
      </c>
      <c r="E475" s="60">
        <f>(48.01)*(10.764)</f>
        <v>516.77963999999997</v>
      </c>
      <c r="F475" s="60">
        <v>0</v>
      </c>
      <c r="G475" s="60">
        <f t="shared" si="101"/>
        <v>516.77963999999997</v>
      </c>
      <c r="H475" s="60">
        <f t="shared" si="99"/>
        <v>620.13556799999992</v>
      </c>
      <c r="I475" s="32">
        <f t="shared" si="102"/>
        <v>361745.74799999996</v>
      </c>
      <c r="J475" s="32">
        <f t="shared" si="103"/>
        <v>7751694.5999999996</v>
      </c>
      <c r="K475" s="137">
        <f t="shared" si="104"/>
        <v>1550338.9199999997</v>
      </c>
      <c r="L475" s="138">
        <v>16000</v>
      </c>
      <c r="M475" s="192">
        <f t="shared" si="105"/>
        <v>8113440.3479999993</v>
      </c>
      <c r="N475" s="193"/>
    </row>
    <row r="476" spans="1:14" customFormat="1" x14ac:dyDescent="0.25">
      <c r="A476" s="13">
        <f t="shared" si="106"/>
        <v>5</v>
      </c>
      <c r="B476" s="184"/>
      <c r="C476" s="52">
        <f t="shared" si="100"/>
        <v>1705</v>
      </c>
      <c r="D476" s="52" t="s">
        <v>104</v>
      </c>
      <c r="E476" s="60">
        <f>(49.83)*(10.764)</f>
        <v>536.37011999999993</v>
      </c>
      <c r="F476" s="60">
        <v>0</v>
      </c>
      <c r="G476" s="60">
        <f t="shared" si="101"/>
        <v>536.37011999999993</v>
      </c>
      <c r="H476" s="60">
        <f t="shared" si="99"/>
        <v>643.64414399999987</v>
      </c>
      <c r="I476" s="32">
        <f t="shared" si="102"/>
        <v>375459.08399999997</v>
      </c>
      <c r="J476" s="32">
        <f t="shared" si="103"/>
        <v>8045551.7999999989</v>
      </c>
      <c r="K476" s="137">
        <f t="shared" si="104"/>
        <v>1609110.3599999996</v>
      </c>
      <c r="L476" s="138">
        <v>16000</v>
      </c>
      <c r="M476" s="192">
        <f t="shared" si="105"/>
        <v>8421010.8839999996</v>
      </c>
      <c r="N476" s="193"/>
    </row>
    <row r="477" spans="1:14" customFormat="1" x14ac:dyDescent="0.25">
      <c r="A477" s="13">
        <f t="shared" si="106"/>
        <v>6</v>
      </c>
      <c r="B477" s="184"/>
      <c r="C477" s="52">
        <f t="shared" si="100"/>
        <v>1706</v>
      </c>
      <c r="D477" s="52" t="s">
        <v>104</v>
      </c>
      <c r="E477" s="60">
        <f>(49.78)*(10.764)</f>
        <v>535.83191999999997</v>
      </c>
      <c r="F477" s="60">
        <v>0</v>
      </c>
      <c r="G477" s="60">
        <f t="shared" si="101"/>
        <v>535.83191999999997</v>
      </c>
      <c r="H477" s="60">
        <f t="shared" si="99"/>
        <v>642.99830399999996</v>
      </c>
      <c r="I477" s="32">
        <f t="shared" si="102"/>
        <v>375082.34399999998</v>
      </c>
      <c r="J477" s="32">
        <f t="shared" si="103"/>
        <v>8037478.7999999998</v>
      </c>
      <c r="K477" s="137">
        <f t="shared" si="104"/>
        <v>1607495.76</v>
      </c>
      <c r="L477" s="138">
        <v>16000</v>
      </c>
      <c r="M477" s="192">
        <f t="shared" si="105"/>
        <v>8412561.1439999994</v>
      </c>
      <c r="N477" s="193"/>
    </row>
    <row r="478" spans="1:14" customFormat="1" x14ac:dyDescent="0.25">
      <c r="A478" s="13">
        <f t="shared" si="106"/>
        <v>7</v>
      </c>
      <c r="B478" s="184"/>
      <c r="C478" s="52">
        <f t="shared" si="100"/>
        <v>1707</v>
      </c>
      <c r="D478" s="52" t="s">
        <v>104</v>
      </c>
      <c r="E478" s="60">
        <f>(49.78)*(10.764)</f>
        <v>535.83191999999997</v>
      </c>
      <c r="F478" s="60">
        <v>0</v>
      </c>
      <c r="G478" s="60">
        <f t="shared" si="101"/>
        <v>535.83191999999997</v>
      </c>
      <c r="H478" s="60">
        <f t="shared" si="99"/>
        <v>642.99830399999996</v>
      </c>
      <c r="I478" s="32">
        <f t="shared" si="102"/>
        <v>375082.34399999998</v>
      </c>
      <c r="J478" s="32">
        <f t="shared" si="103"/>
        <v>8037478.7999999998</v>
      </c>
      <c r="K478" s="137">
        <f t="shared" si="104"/>
        <v>1607495.76</v>
      </c>
      <c r="L478" s="138">
        <v>16000</v>
      </c>
      <c r="M478" s="192">
        <f t="shared" si="105"/>
        <v>8412561.1439999994</v>
      </c>
      <c r="N478" s="193"/>
    </row>
    <row r="479" spans="1:14" customFormat="1" x14ac:dyDescent="0.25">
      <c r="A479" s="13">
        <f t="shared" si="106"/>
        <v>8</v>
      </c>
      <c r="B479" s="184"/>
      <c r="C479" s="52">
        <f t="shared" si="100"/>
        <v>1708</v>
      </c>
      <c r="D479" s="52" t="s">
        <v>104</v>
      </c>
      <c r="E479" s="60">
        <f>(49.83)*(10.764)</f>
        <v>536.37011999999993</v>
      </c>
      <c r="F479" s="60">
        <v>0</v>
      </c>
      <c r="G479" s="60">
        <f t="shared" si="101"/>
        <v>536.37011999999993</v>
      </c>
      <c r="H479" s="60">
        <f t="shared" si="99"/>
        <v>643.64414399999987</v>
      </c>
      <c r="I479" s="32">
        <f t="shared" si="102"/>
        <v>375459.08399999997</v>
      </c>
      <c r="J479" s="32">
        <f t="shared" si="103"/>
        <v>8045551.7999999989</v>
      </c>
      <c r="K479" s="137">
        <f t="shared" si="104"/>
        <v>1609110.3599999996</v>
      </c>
      <c r="L479" s="138">
        <v>16000</v>
      </c>
      <c r="M479" s="192">
        <f t="shared" si="105"/>
        <v>8421010.8839999996</v>
      </c>
      <c r="N479" s="193"/>
    </row>
    <row r="480" spans="1:14" customFormat="1" x14ac:dyDescent="0.25">
      <c r="A480" s="13">
        <f t="shared" si="106"/>
        <v>9</v>
      </c>
      <c r="B480" s="184"/>
      <c r="C480" s="52">
        <f t="shared" si="100"/>
        <v>1709</v>
      </c>
      <c r="D480" s="52" t="s">
        <v>104</v>
      </c>
      <c r="E480" s="60">
        <f>(48.01)*(10.764)</f>
        <v>516.77963999999997</v>
      </c>
      <c r="F480" s="60">
        <v>0</v>
      </c>
      <c r="G480" s="60">
        <f t="shared" si="101"/>
        <v>516.77963999999997</v>
      </c>
      <c r="H480" s="60">
        <f t="shared" si="99"/>
        <v>620.13556799999992</v>
      </c>
      <c r="I480" s="32">
        <f t="shared" si="102"/>
        <v>361745.74799999996</v>
      </c>
      <c r="J480" s="32">
        <f t="shared" si="103"/>
        <v>7751694.5999999996</v>
      </c>
      <c r="K480" s="137">
        <f t="shared" si="104"/>
        <v>1550338.9199999997</v>
      </c>
      <c r="L480" s="138">
        <v>16000</v>
      </c>
      <c r="M480" s="192">
        <f t="shared" si="105"/>
        <v>8113440.3479999993</v>
      </c>
      <c r="N480" s="193"/>
    </row>
    <row r="481" spans="1:14" customFormat="1" x14ac:dyDescent="0.25">
      <c r="A481" s="13">
        <f t="shared" si="106"/>
        <v>10</v>
      </c>
      <c r="B481" s="184"/>
      <c r="C481" s="52">
        <f t="shared" si="100"/>
        <v>1710</v>
      </c>
      <c r="D481" s="52" t="s">
        <v>100</v>
      </c>
      <c r="E481" s="60">
        <f>(29.72)*(10.764)</f>
        <v>319.90607999999997</v>
      </c>
      <c r="F481" s="60">
        <v>0</v>
      </c>
      <c r="G481" s="60">
        <f t="shared" si="101"/>
        <v>319.90607999999997</v>
      </c>
      <c r="H481" s="60">
        <f t="shared" si="99"/>
        <v>383.88729599999994</v>
      </c>
      <c r="I481" s="32">
        <f t="shared" si="102"/>
        <v>223934.25599999999</v>
      </c>
      <c r="J481" s="32">
        <f t="shared" si="103"/>
        <v>4798591.1999999993</v>
      </c>
      <c r="K481" s="137">
        <f t="shared" si="104"/>
        <v>959718.23999999987</v>
      </c>
      <c r="L481" s="138">
        <v>11000</v>
      </c>
      <c r="M481" s="192">
        <f t="shared" si="105"/>
        <v>5022525.4559999993</v>
      </c>
      <c r="N481" s="193"/>
    </row>
    <row r="482" spans="1:14" customFormat="1" x14ac:dyDescent="0.25">
      <c r="A482" s="13">
        <f t="shared" si="106"/>
        <v>11</v>
      </c>
      <c r="B482" s="184"/>
      <c r="C482" s="52">
        <f t="shared" si="100"/>
        <v>1711</v>
      </c>
      <c r="D482" s="52" t="s">
        <v>100</v>
      </c>
      <c r="E482" s="60">
        <f>(29.49)*(10.764)</f>
        <v>317.43035999999995</v>
      </c>
      <c r="F482" s="60">
        <v>0</v>
      </c>
      <c r="G482" s="60">
        <f t="shared" si="101"/>
        <v>317.43035999999995</v>
      </c>
      <c r="H482" s="60">
        <f t="shared" si="99"/>
        <v>380.91643199999993</v>
      </c>
      <c r="I482" s="32">
        <f t="shared" si="102"/>
        <v>222201.25199999998</v>
      </c>
      <c r="J482" s="32">
        <f t="shared" si="103"/>
        <v>4761455.3999999994</v>
      </c>
      <c r="K482" s="137">
        <f t="shared" si="104"/>
        <v>952291.07999999984</v>
      </c>
      <c r="L482" s="138">
        <v>11000</v>
      </c>
      <c r="M482" s="192">
        <f t="shared" si="105"/>
        <v>4983656.6519999998</v>
      </c>
      <c r="N482" s="193"/>
    </row>
    <row r="483" spans="1:14" customFormat="1" x14ac:dyDescent="0.25">
      <c r="A483" s="13">
        <f t="shared" si="106"/>
        <v>12</v>
      </c>
      <c r="B483" s="185"/>
      <c r="C483" s="52">
        <f t="shared" si="100"/>
        <v>1712</v>
      </c>
      <c r="D483" s="52" t="s">
        <v>100</v>
      </c>
      <c r="E483" s="60">
        <f>(29.49)*(10.764)</f>
        <v>317.43035999999995</v>
      </c>
      <c r="F483" s="60">
        <v>0</v>
      </c>
      <c r="G483" s="60">
        <f t="shared" si="101"/>
        <v>317.43035999999995</v>
      </c>
      <c r="H483" s="60">
        <f t="shared" si="99"/>
        <v>380.91643199999993</v>
      </c>
      <c r="I483" s="32">
        <f t="shared" si="102"/>
        <v>222201.25199999998</v>
      </c>
      <c r="J483" s="32">
        <f t="shared" si="103"/>
        <v>4761455.3999999994</v>
      </c>
      <c r="K483" s="137">
        <f t="shared" si="104"/>
        <v>952291.07999999984</v>
      </c>
      <c r="L483" s="138">
        <v>11000</v>
      </c>
      <c r="M483" s="192">
        <f t="shared" si="105"/>
        <v>4983656.6519999998</v>
      </c>
      <c r="N483" s="193"/>
    </row>
    <row r="484" spans="1:14" customFormat="1" x14ac:dyDescent="0.25">
      <c r="A484" s="13">
        <f t="shared" si="106"/>
        <v>13</v>
      </c>
      <c r="B484" s="183" t="s">
        <v>613</v>
      </c>
      <c r="C484" s="52">
        <f>LEFT(B484,SUM(LEN(B484)-LEN(SUBSTITUTE(B484,{"0","1","2","3","4","5","6","7","8","9"},""))))*100+1</f>
        <v>1801</v>
      </c>
      <c r="D484" s="52" t="s">
        <v>100</v>
      </c>
      <c r="E484" s="60">
        <f>(29.49)*(10.764)</f>
        <v>317.43035999999995</v>
      </c>
      <c r="F484" s="60">
        <v>0</v>
      </c>
      <c r="G484" s="60">
        <f>E484+(IF(F484&lt;101,F484,IF(F484&lt;201,F484/2,IF(F484&lt;=301,F484/3,F484/4))))</f>
        <v>317.43035999999995</v>
      </c>
      <c r="H484" s="60">
        <f t="shared" si="99"/>
        <v>380.91643199999993</v>
      </c>
      <c r="I484" s="32">
        <f t="shared" si="102"/>
        <v>222201.25199999998</v>
      </c>
      <c r="J484" s="32">
        <f t="shared" si="103"/>
        <v>4761455.3999999994</v>
      </c>
      <c r="K484" s="137">
        <f t="shared" si="104"/>
        <v>952291.07999999984</v>
      </c>
      <c r="L484" s="138">
        <v>11000</v>
      </c>
      <c r="M484" s="192">
        <f>J484+I484</f>
        <v>4983656.6519999998</v>
      </c>
      <c r="N484" s="193"/>
    </row>
    <row r="485" spans="1:14" customFormat="1" x14ac:dyDescent="0.25">
      <c r="A485" s="13">
        <f t="shared" si="106"/>
        <v>14</v>
      </c>
      <c r="B485" s="184"/>
      <c r="C485" s="52">
        <f t="shared" si="100"/>
        <v>1802</v>
      </c>
      <c r="D485" s="52" t="s">
        <v>100</v>
      </c>
      <c r="E485" s="60">
        <f>(29.49)*(10.764)</f>
        <v>317.43035999999995</v>
      </c>
      <c r="F485" s="60">
        <v>0</v>
      </c>
      <c r="G485" s="60">
        <f t="shared" ref="G485:G495" si="107">E485+(IF(F485&lt;101,F485,IF(F485&lt;201,F485/2,IF(F485&lt;=301,F485/3,F485/4))))</f>
        <v>317.43035999999995</v>
      </c>
      <c r="H485" s="60">
        <f t="shared" si="99"/>
        <v>380.91643199999993</v>
      </c>
      <c r="I485" s="32">
        <f t="shared" si="102"/>
        <v>222201.25199999998</v>
      </c>
      <c r="J485" s="32">
        <f t="shared" si="103"/>
        <v>4761455.3999999994</v>
      </c>
      <c r="K485" s="137">
        <f t="shared" si="104"/>
        <v>952291.07999999984</v>
      </c>
      <c r="L485" s="138">
        <v>11000</v>
      </c>
      <c r="M485" s="192">
        <f t="shared" ref="M485:M495" si="108">J485+I485</f>
        <v>4983656.6519999998</v>
      </c>
      <c r="N485" s="193"/>
    </row>
    <row r="486" spans="1:14" customFormat="1" x14ac:dyDescent="0.25">
      <c r="A486" s="13">
        <f t="shared" si="106"/>
        <v>15</v>
      </c>
      <c r="B486" s="184"/>
      <c r="C486" s="52">
        <f t="shared" si="100"/>
        <v>1803</v>
      </c>
      <c r="D486" s="52" t="s">
        <v>100</v>
      </c>
      <c r="E486" s="60">
        <f>(29.72)*(10.764)</f>
        <v>319.90607999999997</v>
      </c>
      <c r="F486" s="60">
        <v>0</v>
      </c>
      <c r="G486" s="60">
        <f t="shared" si="107"/>
        <v>319.90607999999997</v>
      </c>
      <c r="H486" s="60">
        <f t="shared" si="99"/>
        <v>383.88729599999994</v>
      </c>
      <c r="I486" s="32">
        <f t="shared" si="102"/>
        <v>223934.25599999999</v>
      </c>
      <c r="J486" s="32">
        <f t="shared" si="103"/>
        <v>4798591.1999999993</v>
      </c>
      <c r="K486" s="137">
        <f t="shared" si="104"/>
        <v>959718.23999999987</v>
      </c>
      <c r="L486" s="138">
        <v>11000</v>
      </c>
      <c r="M486" s="192">
        <f t="shared" si="108"/>
        <v>5022525.4559999993</v>
      </c>
      <c r="N486" s="193"/>
    </row>
    <row r="487" spans="1:14" customFormat="1" x14ac:dyDescent="0.25">
      <c r="A487" s="13">
        <f t="shared" si="106"/>
        <v>16</v>
      </c>
      <c r="B487" s="184"/>
      <c r="C487" s="52">
        <f t="shared" si="100"/>
        <v>1804</v>
      </c>
      <c r="D487" s="52" t="s">
        <v>104</v>
      </c>
      <c r="E487" s="60">
        <f>(48.01)*(10.764)</f>
        <v>516.77963999999997</v>
      </c>
      <c r="F487" s="60">
        <v>0</v>
      </c>
      <c r="G487" s="60">
        <f t="shared" si="107"/>
        <v>516.77963999999997</v>
      </c>
      <c r="H487" s="60">
        <f t="shared" si="99"/>
        <v>620.13556799999992</v>
      </c>
      <c r="I487" s="32">
        <f t="shared" si="102"/>
        <v>361745.74799999996</v>
      </c>
      <c r="J487" s="32">
        <f t="shared" si="103"/>
        <v>7751694.5999999996</v>
      </c>
      <c r="K487" s="137">
        <f t="shared" si="104"/>
        <v>1550338.9199999997</v>
      </c>
      <c r="L487" s="138">
        <v>16000</v>
      </c>
      <c r="M487" s="192">
        <f t="shared" si="108"/>
        <v>8113440.3479999993</v>
      </c>
      <c r="N487" s="193"/>
    </row>
    <row r="488" spans="1:14" customFormat="1" x14ac:dyDescent="0.25">
      <c r="A488" s="13">
        <f t="shared" si="106"/>
        <v>17</v>
      </c>
      <c r="B488" s="184"/>
      <c r="C488" s="52">
        <f t="shared" si="100"/>
        <v>1805</v>
      </c>
      <c r="D488" s="52" t="s">
        <v>104</v>
      </c>
      <c r="E488" s="60">
        <f>(49.83)*(10.764)</f>
        <v>536.37011999999993</v>
      </c>
      <c r="F488" s="60">
        <v>0</v>
      </c>
      <c r="G488" s="60">
        <f t="shared" si="107"/>
        <v>536.37011999999993</v>
      </c>
      <c r="H488" s="60">
        <f t="shared" si="99"/>
        <v>643.64414399999987</v>
      </c>
      <c r="I488" s="32">
        <f t="shared" si="102"/>
        <v>375459.08399999997</v>
      </c>
      <c r="J488" s="32">
        <f t="shared" si="103"/>
        <v>8045551.7999999989</v>
      </c>
      <c r="K488" s="137">
        <f t="shared" si="104"/>
        <v>1609110.3599999996</v>
      </c>
      <c r="L488" s="138">
        <v>16000</v>
      </c>
      <c r="M488" s="192">
        <f t="shared" si="108"/>
        <v>8421010.8839999996</v>
      </c>
      <c r="N488" s="193"/>
    </row>
    <row r="489" spans="1:14" customFormat="1" x14ac:dyDescent="0.25">
      <c r="A489" s="13">
        <f t="shared" si="106"/>
        <v>18</v>
      </c>
      <c r="B489" s="184"/>
      <c r="C489" s="52">
        <f t="shared" si="100"/>
        <v>1806</v>
      </c>
      <c r="D489" s="52" t="s">
        <v>104</v>
      </c>
      <c r="E489" s="60">
        <f>(49.78)*(10.764)</f>
        <v>535.83191999999997</v>
      </c>
      <c r="F489" s="60">
        <v>0</v>
      </c>
      <c r="G489" s="60">
        <f t="shared" si="107"/>
        <v>535.83191999999997</v>
      </c>
      <c r="H489" s="60">
        <f t="shared" si="99"/>
        <v>642.99830399999996</v>
      </c>
      <c r="I489" s="32">
        <f t="shared" si="102"/>
        <v>375082.34399999998</v>
      </c>
      <c r="J489" s="32">
        <f t="shared" si="103"/>
        <v>8037478.7999999998</v>
      </c>
      <c r="K489" s="137">
        <f t="shared" si="104"/>
        <v>1607495.76</v>
      </c>
      <c r="L489" s="138">
        <v>16000</v>
      </c>
      <c r="M489" s="192">
        <f t="shared" si="108"/>
        <v>8412561.1439999994</v>
      </c>
      <c r="N489" s="193"/>
    </row>
    <row r="490" spans="1:14" customFormat="1" x14ac:dyDescent="0.25">
      <c r="A490" s="13">
        <f t="shared" si="106"/>
        <v>19</v>
      </c>
      <c r="B490" s="184"/>
      <c r="C490" s="52">
        <f t="shared" si="100"/>
        <v>1807</v>
      </c>
      <c r="D490" s="52" t="s">
        <v>104</v>
      </c>
      <c r="E490" s="60">
        <f>(49.78)*(10.764)</f>
        <v>535.83191999999997</v>
      </c>
      <c r="F490" s="60">
        <v>0</v>
      </c>
      <c r="G490" s="60">
        <f t="shared" si="107"/>
        <v>535.83191999999997</v>
      </c>
      <c r="H490" s="60">
        <f t="shared" si="99"/>
        <v>642.99830399999996</v>
      </c>
      <c r="I490" s="32">
        <f t="shared" si="102"/>
        <v>375082.34399999998</v>
      </c>
      <c r="J490" s="32">
        <f t="shared" si="103"/>
        <v>8037478.7999999998</v>
      </c>
      <c r="K490" s="137">
        <f t="shared" si="104"/>
        <v>1607495.76</v>
      </c>
      <c r="L490" s="138">
        <v>16000</v>
      </c>
      <c r="M490" s="192">
        <f t="shared" si="108"/>
        <v>8412561.1439999994</v>
      </c>
      <c r="N490" s="193"/>
    </row>
    <row r="491" spans="1:14" customFormat="1" x14ac:dyDescent="0.25">
      <c r="A491" s="13">
        <f t="shared" si="106"/>
        <v>20</v>
      </c>
      <c r="B491" s="184"/>
      <c r="C491" s="52">
        <f t="shared" si="100"/>
        <v>1808</v>
      </c>
      <c r="D491" s="52" t="s">
        <v>104</v>
      </c>
      <c r="E491" s="60">
        <f>(49.83)*(10.764)</f>
        <v>536.37011999999993</v>
      </c>
      <c r="F491" s="60">
        <v>0</v>
      </c>
      <c r="G491" s="60">
        <f t="shared" si="107"/>
        <v>536.37011999999993</v>
      </c>
      <c r="H491" s="60">
        <f t="shared" si="99"/>
        <v>643.64414399999987</v>
      </c>
      <c r="I491" s="32">
        <f t="shared" si="102"/>
        <v>375459.08399999997</v>
      </c>
      <c r="J491" s="32">
        <f t="shared" si="103"/>
        <v>8045551.7999999989</v>
      </c>
      <c r="K491" s="137">
        <f t="shared" si="104"/>
        <v>1609110.3599999996</v>
      </c>
      <c r="L491" s="138">
        <v>16000</v>
      </c>
      <c r="M491" s="192">
        <f t="shared" si="108"/>
        <v>8421010.8839999996</v>
      </c>
      <c r="N491" s="193"/>
    </row>
    <row r="492" spans="1:14" customFormat="1" x14ac:dyDescent="0.25">
      <c r="A492" s="13">
        <f t="shared" si="106"/>
        <v>21</v>
      </c>
      <c r="B492" s="184"/>
      <c r="C492" s="52">
        <f t="shared" si="100"/>
        <v>1809</v>
      </c>
      <c r="D492" s="52" t="s">
        <v>104</v>
      </c>
      <c r="E492" s="60">
        <f>(48.01)*(10.764)</f>
        <v>516.77963999999997</v>
      </c>
      <c r="F492" s="60">
        <v>0</v>
      </c>
      <c r="G492" s="60">
        <f t="shared" si="107"/>
        <v>516.77963999999997</v>
      </c>
      <c r="H492" s="60">
        <f t="shared" si="99"/>
        <v>620.13556799999992</v>
      </c>
      <c r="I492" s="32">
        <f t="shared" si="102"/>
        <v>361745.74799999996</v>
      </c>
      <c r="J492" s="32">
        <f t="shared" si="103"/>
        <v>7751694.5999999996</v>
      </c>
      <c r="K492" s="137">
        <f t="shared" si="104"/>
        <v>1550338.9199999997</v>
      </c>
      <c r="L492" s="138">
        <v>16000</v>
      </c>
      <c r="M492" s="192">
        <f t="shared" si="108"/>
        <v>8113440.3479999993</v>
      </c>
      <c r="N492" s="193"/>
    </row>
    <row r="493" spans="1:14" customFormat="1" x14ac:dyDescent="0.25">
      <c r="A493" s="13">
        <f t="shared" si="106"/>
        <v>22</v>
      </c>
      <c r="B493" s="184"/>
      <c r="C493" s="52">
        <f t="shared" si="100"/>
        <v>1810</v>
      </c>
      <c r="D493" s="52" t="s">
        <v>100</v>
      </c>
      <c r="E493" s="60">
        <f>(29.72)*(10.764)</f>
        <v>319.90607999999997</v>
      </c>
      <c r="F493" s="60">
        <v>0</v>
      </c>
      <c r="G493" s="60">
        <f t="shared" si="107"/>
        <v>319.90607999999997</v>
      </c>
      <c r="H493" s="60">
        <f t="shared" si="99"/>
        <v>383.88729599999994</v>
      </c>
      <c r="I493" s="32">
        <f t="shared" si="102"/>
        <v>223934.25599999999</v>
      </c>
      <c r="J493" s="32">
        <f t="shared" si="103"/>
        <v>4798591.1999999993</v>
      </c>
      <c r="K493" s="137">
        <f t="shared" si="104"/>
        <v>959718.23999999987</v>
      </c>
      <c r="L493" s="138">
        <v>11000</v>
      </c>
      <c r="M493" s="192">
        <f t="shared" si="108"/>
        <v>5022525.4559999993</v>
      </c>
      <c r="N493" s="193"/>
    </row>
    <row r="494" spans="1:14" customFormat="1" x14ac:dyDescent="0.25">
      <c r="A494" s="13">
        <f t="shared" si="106"/>
        <v>23</v>
      </c>
      <c r="B494" s="184"/>
      <c r="C494" s="52">
        <f t="shared" si="100"/>
        <v>1811</v>
      </c>
      <c r="D494" s="52" t="s">
        <v>100</v>
      </c>
      <c r="E494" s="60">
        <f>(29.49)*(10.764)</f>
        <v>317.43035999999995</v>
      </c>
      <c r="F494" s="60">
        <v>0</v>
      </c>
      <c r="G494" s="60">
        <f t="shared" si="107"/>
        <v>317.43035999999995</v>
      </c>
      <c r="H494" s="60">
        <f t="shared" si="99"/>
        <v>380.91643199999993</v>
      </c>
      <c r="I494" s="32">
        <f t="shared" si="102"/>
        <v>222201.25199999998</v>
      </c>
      <c r="J494" s="32">
        <f t="shared" si="103"/>
        <v>4761455.3999999994</v>
      </c>
      <c r="K494" s="137">
        <f t="shared" si="104"/>
        <v>952291.07999999984</v>
      </c>
      <c r="L494" s="138">
        <v>11000</v>
      </c>
      <c r="M494" s="192">
        <f t="shared" si="108"/>
        <v>4983656.6519999998</v>
      </c>
      <c r="N494" s="193"/>
    </row>
    <row r="495" spans="1:14" customFormat="1" x14ac:dyDescent="0.25">
      <c r="A495" s="13">
        <f t="shared" si="106"/>
        <v>24</v>
      </c>
      <c r="B495" s="185"/>
      <c r="C495" s="52">
        <f t="shared" si="100"/>
        <v>1812</v>
      </c>
      <c r="D495" s="52" t="s">
        <v>100</v>
      </c>
      <c r="E495" s="60">
        <f>(29.49)*(10.764)</f>
        <v>317.43035999999995</v>
      </c>
      <c r="F495" s="60">
        <v>0</v>
      </c>
      <c r="G495" s="60">
        <f t="shared" si="107"/>
        <v>317.43035999999995</v>
      </c>
      <c r="H495" s="60">
        <f t="shared" si="99"/>
        <v>380.91643199999993</v>
      </c>
      <c r="I495" s="32">
        <f t="shared" si="102"/>
        <v>222201.25199999998</v>
      </c>
      <c r="J495" s="32">
        <f t="shared" si="103"/>
        <v>4761455.3999999994</v>
      </c>
      <c r="K495" s="137">
        <f t="shared" si="104"/>
        <v>952291.07999999984</v>
      </c>
      <c r="L495" s="138">
        <v>11000</v>
      </c>
      <c r="M495" s="192">
        <f t="shared" si="108"/>
        <v>4983656.6519999998</v>
      </c>
      <c r="N495" s="193"/>
    </row>
    <row r="496" spans="1:14" customFormat="1" x14ac:dyDescent="0.25">
      <c r="A496" s="13">
        <f t="shared" si="106"/>
        <v>25</v>
      </c>
      <c r="B496" s="183" t="s">
        <v>666</v>
      </c>
      <c r="C496" s="52">
        <f>LEFT(B496,SUM(LEN(B496)-LEN(SUBSTITUTE(B496,{"0","1","2","3","4","5","6","7","8","9"},""))))*100+1</f>
        <v>1901</v>
      </c>
      <c r="D496" s="52" t="s">
        <v>100</v>
      </c>
      <c r="E496" s="60">
        <f>(29.49)*(10.764)</f>
        <v>317.43035999999995</v>
      </c>
      <c r="F496" s="60">
        <v>0</v>
      </c>
      <c r="G496" s="60">
        <f>E496+(IF(F496&lt;101,F496,IF(F496&lt;201,F496/2,IF(F496&lt;=301,F496/3,F496/4))))</f>
        <v>317.43035999999995</v>
      </c>
      <c r="H496" s="60">
        <f t="shared" si="99"/>
        <v>380.91643199999993</v>
      </c>
      <c r="I496" s="32">
        <f t="shared" si="102"/>
        <v>222201.25199999998</v>
      </c>
      <c r="J496" s="32">
        <f t="shared" si="103"/>
        <v>4761455.3999999994</v>
      </c>
      <c r="K496" s="137">
        <f t="shared" si="104"/>
        <v>952291.07999999984</v>
      </c>
      <c r="L496" s="138">
        <v>11000</v>
      </c>
      <c r="M496" s="192">
        <f>J496+I496</f>
        <v>4983656.6519999998</v>
      </c>
      <c r="N496" s="193"/>
    </row>
    <row r="497" spans="1:14" customFormat="1" x14ac:dyDescent="0.25">
      <c r="A497" s="13">
        <f t="shared" si="106"/>
        <v>26</v>
      </c>
      <c r="B497" s="184"/>
      <c r="C497" s="52">
        <f t="shared" si="100"/>
        <v>1902</v>
      </c>
      <c r="D497" s="52" t="s">
        <v>100</v>
      </c>
      <c r="E497" s="60">
        <f>(29.49)*(10.764)</f>
        <v>317.43035999999995</v>
      </c>
      <c r="F497" s="60">
        <v>0</v>
      </c>
      <c r="G497" s="60">
        <f t="shared" ref="G497:G507" si="109">E497+(IF(F497&lt;101,F497,IF(F497&lt;201,F497/2,IF(F497&lt;=301,F497/3,F497/4))))</f>
        <v>317.43035999999995</v>
      </c>
      <c r="H497" s="60">
        <f t="shared" si="99"/>
        <v>380.91643199999993</v>
      </c>
      <c r="I497" s="32">
        <f t="shared" si="102"/>
        <v>222201.25199999998</v>
      </c>
      <c r="J497" s="32">
        <f t="shared" si="103"/>
        <v>4761455.3999999994</v>
      </c>
      <c r="K497" s="137">
        <f t="shared" si="104"/>
        <v>952291.07999999984</v>
      </c>
      <c r="L497" s="138">
        <v>11000</v>
      </c>
      <c r="M497" s="192">
        <f t="shared" ref="M497:M507" si="110">J497+I497</f>
        <v>4983656.6519999998</v>
      </c>
      <c r="N497" s="193"/>
    </row>
    <row r="498" spans="1:14" customFormat="1" x14ac:dyDescent="0.25">
      <c r="A498" s="13">
        <f t="shared" si="106"/>
        <v>27</v>
      </c>
      <c r="B498" s="184"/>
      <c r="C498" s="52">
        <f t="shared" si="100"/>
        <v>1903</v>
      </c>
      <c r="D498" s="52" t="s">
        <v>100</v>
      </c>
      <c r="E498" s="60">
        <f>(29.72)*(10.764)</f>
        <v>319.90607999999997</v>
      </c>
      <c r="F498" s="60">
        <v>0</v>
      </c>
      <c r="G498" s="60">
        <f t="shared" si="109"/>
        <v>319.90607999999997</v>
      </c>
      <c r="H498" s="60">
        <f t="shared" si="99"/>
        <v>383.88729599999994</v>
      </c>
      <c r="I498" s="32">
        <f t="shared" si="102"/>
        <v>223934.25599999999</v>
      </c>
      <c r="J498" s="32">
        <f t="shared" si="103"/>
        <v>4798591.1999999993</v>
      </c>
      <c r="K498" s="137">
        <f t="shared" si="104"/>
        <v>959718.23999999987</v>
      </c>
      <c r="L498" s="138">
        <v>11000</v>
      </c>
      <c r="M498" s="192">
        <f t="shared" si="110"/>
        <v>5022525.4559999993</v>
      </c>
      <c r="N498" s="193"/>
    </row>
    <row r="499" spans="1:14" customFormat="1" x14ac:dyDescent="0.25">
      <c r="A499" s="13">
        <f t="shared" si="106"/>
        <v>28</v>
      </c>
      <c r="B499" s="184"/>
      <c r="C499" s="52">
        <f t="shared" si="100"/>
        <v>1904</v>
      </c>
      <c r="D499" s="52" t="s">
        <v>104</v>
      </c>
      <c r="E499" s="60">
        <f>(48.01)*(10.764)</f>
        <v>516.77963999999997</v>
      </c>
      <c r="F499" s="60">
        <v>0</v>
      </c>
      <c r="G499" s="60">
        <f t="shared" si="109"/>
        <v>516.77963999999997</v>
      </c>
      <c r="H499" s="60">
        <f t="shared" si="99"/>
        <v>620.13556799999992</v>
      </c>
      <c r="I499" s="32">
        <f t="shared" si="102"/>
        <v>361745.74799999996</v>
      </c>
      <c r="J499" s="32">
        <f t="shared" si="103"/>
        <v>7751694.5999999996</v>
      </c>
      <c r="K499" s="137">
        <f t="shared" si="104"/>
        <v>1550338.9199999997</v>
      </c>
      <c r="L499" s="138">
        <v>16000</v>
      </c>
      <c r="M499" s="192">
        <f t="shared" si="110"/>
        <v>8113440.3479999993</v>
      </c>
      <c r="N499" s="193"/>
    </row>
    <row r="500" spans="1:14" customFormat="1" x14ac:dyDescent="0.25">
      <c r="A500" s="13">
        <f t="shared" si="106"/>
        <v>29</v>
      </c>
      <c r="B500" s="184"/>
      <c r="C500" s="52">
        <f t="shared" si="100"/>
        <v>1905</v>
      </c>
      <c r="D500" s="52" t="s">
        <v>104</v>
      </c>
      <c r="E500" s="60">
        <f>(49.83)*(10.764)</f>
        <v>536.37011999999993</v>
      </c>
      <c r="F500" s="60">
        <v>0</v>
      </c>
      <c r="G500" s="60">
        <f t="shared" si="109"/>
        <v>536.37011999999993</v>
      </c>
      <c r="H500" s="60">
        <f t="shared" si="99"/>
        <v>643.64414399999987</v>
      </c>
      <c r="I500" s="32">
        <f t="shared" si="102"/>
        <v>375459.08399999997</v>
      </c>
      <c r="J500" s="32">
        <f t="shared" si="103"/>
        <v>8045551.7999999989</v>
      </c>
      <c r="K500" s="137">
        <f t="shared" si="104"/>
        <v>1609110.3599999996</v>
      </c>
      <c r="L500" s="138">
        <v>16000</v>
      </c>
      <c r="M500" s="192">
        <f t="shared" si="110"/>
        <v>8421010.8839999996</v>
      </c>
      <c r="N500" s="193"/>
    </row>
    <row r="501" spans="1:14" customFormat="1" x14ac:dyDescent="0.25">
      <c r="A501" s="13">
        <f t="shared" si="106"/>
        <v>30</v>
      </c>
      <c r="B501" s="184"/>
      <c r="C501" s="52">
        <f t="shared" si="100"/>
        <v>1906</v>
      </c>
      <c r="D501" s="52" t="s">
        <v>104</v>
      </c>
      <c r="E501" s="60">
        <f>(49.78)*(10.764)</f>
        <v>535.83191999999997</v>
      </c>
      <c r="F501" s="60">
        <v>0</v>
      </c>
      <c r="G501" s="60">
        <f t="shared" si="109"/>
        <v>535.83191999999997</v>
      </c>
      <c r="H501" s="60">
        <f t="shared" si="99"/>
        <v>642.99830399999996</v>
      </c>
      <c r="I501" s="32">
        <f t="shared" si="102"/>
        <v>375082.34399999998</v>
      </c>
      <c r="J501" s="32">
        <f t="shared" si="103"/>
        <v>8037478.7999999998</v>
      </c>
      <c r="K501" s="137">
        <f t="shared" si="104"/>
        <v>1607495.76</v>
      </c>
      <c r="L501" s="138">
        <v>16000</v>
      </c>
      <c r="M501" s="192">
        <f t="shared" si="110"/>
        <v>8412561.1439999994</v>
      </c>
      <c r="N501" s="193"/>
    </row>
    <row r="502" spans="1:14" customFormat="1" x14ac:dyDescent="0.25">
      <c r="A502" s="13">
        <f t="shared" si="106"/>
        <v>31</v>
      </c>
      <c r="B502" s="184"/>
      <c r="C502" s="52">
        <f t="shared" si="100"/>
        <v>1907</v>
      </c>
      <c r="D502" s="52" t="s">
        <v>104</v>
      </c>
      <c r="E502" s="60">
        <f>(49.78)*(10.764)</f>
        <v>535.83191999999997</v>
      </c>
      <c r="F502" s="60">
        <v>0</v>
      </c>
      <c r="G502" s="60">
        <f t="shared" si="109"/>
        <v>535.83191999999997</v>
      </c>
      <c r="H502" s="60">
        <f t="shared" si="99"/>
        <v>642.99830399999996</v>
      </c>
      <c r="I502" s="32">
        <f t="shared" si="102"/>
        <v>375082.34399999998</v>
      </c>
      <c r="J502" s="32">
        <f t="shared" si="103"/>
        <v>8037478.7999999998</v>
      </c>
      <c r="K502" s="137">
        <f t="shared" si="104"/>
        <v>1607495.76</v>
      </c>
      <c r="L502" s="138">
        <v>16000</v>
      </c>
      <c r="M502" s="192">
        <f t="shared" si="110"/>
        <v>8412561.1439999994</v>
      </c>
      <c r="N502" s="193"/>
    </row>
    <row r="503" spans="1:14" customFormat="1" x14ac:dyDescent="0.25">
      <c r="A503" s="13">
        <f t="shared" si="106"/>
        <v>32</v>
      </c>
      <c r="B503" s="184"/>
      <c r="C503" s="52">
        <f t="shared" si="100"/>
        <v>1908</v>
      </c>
      <c r="D503" s="52" t="s">
        <v>104</v>
      </c>
      <c r="E503" s="60">
        <f>(49.83)*(10.764)</f>
        <v>536.37011999999993</v>
      </c>
      <c r="F503" s="60">
        <v>0</v>
      </c>
      <c r="G503" s="60">
        <f t="shared" si="109"/>
        <v>536.37011999999993</v>
      </c>
      <c r="H503" s="60">
        <f t="shared" si="99"/>
        <v>643.64414399999987</v>
      </c>
      <c r="I503" s="32">
        <f t="shared" si="102"/>
        <v>375459.08399999997</v>
      </c>
      <c r="J503" s="32">
        <f t="shared" si="103"/>
        <v>8045551.7999999989</v>
      </c>
      <c r="K503" s="137">
        <f t="shared" si="104"/>
        <v>1609110.3599999996</v>
      </c>
      <c r="L503" s="138">
        <v>16000</v>
      </c>
      <c r="M503" s="192">
        <f t="shared" si="110"/>
        <v>8421010.8839999996</v>
      </c>
      <c r="N503" s="193"/>
    </row>
    <row r="504" spans="1:14" customFormat="1" x14ac:dyDescent="0.25">
      <c r="A504" s="13">
        <f t="shared" si="106"/>
        <v>33</v>
      </c>
      <c r="B504" s="184"/>
      <c r="C504" s="52">
        <f t="shared" si="100"/>
        <v>1909</v>
      </c>
      <c r="D504" s="52" t="s">
        <v>104</v>
      </c>
      <c r="E504" s="60">
        <f>(48.01)*(10.764)</f>
        <v>516.77963999999997</v>
      </c>
      <c r="F504" s="60">
        <v>0</v>
      </c>
      <c r="G504" s="60">
        <f t="shared" si="109"/>
        <v>516.77963999999997</v>
      </c>
      <c r="H504" s="60">
        <f t="shared" si="99"/>
        <v>620.13556799999992</v>
      </c>
      <c r="I504" s="32">
        <f t="shared" si="102"/>
        <v>361745.74799999996</v>
      </c>
      <c r="J504" s="32">
        <f t="shared" si="103"/>
        <v>7751694.5999999996</v>
      </c>
      <c r="K504" s="137">
        <f t="shared" si="104"/>
        <v>1550338.9199999997</v>
      </c>
      <c r="L504" s="138">
        <v>16000</v>
      </c>
      <c r="M504" s="192">
        <f t="shared" si="110"/>
        <v>8113440.3479999993</v>
      </c>
      <c r="N504" s="193"/>
    </row>
    <row r="505" spans="1:14" customFormat="1" x14ac:dyDescent="0.25">
      <c r="A505" s="13">
        <f t="shared" si="106"/>
        <v>34</v>
      </c>
      <c r="B505" s="184"/>
      <c r="C505" s="52">
        <f t="shared" si="100"/>
        <v>1910</v>
      </c>
      <c r="D505" s="52" t="s">
        <v>100</v>
      </c>
      <c r="E505" s="60">
        <f>(29.72)*(10.764)</f>
        <v>319.90607999999997</v>
      </c>
      <c r="F505" s="60">
        <v>0</v>
      </c>
      <c r="G505" s="60">
        <f t="shared" si="109"/>
        <v>319.90607999999997</v>
      </c>
      <c r="H505" s="60">
        <f t="shared" si="99"/>
        <v>383.88729599999994</v>
      </c>
      <c r="I505" s="32">
        <f t="shared" si="102"/>
        <v>223934.25599999999</v>
      </c>
      <c r="J505" s="32">
        <f t="shared" si="103"/>
        <v>4798591.1999999993</v>
      </c>
      <c r="K505" s="137">
        <f t="shared" si="104"/>
        <v>959718.23999999987</v>
      </c>
      <c r="L505" s="138">
        <v>11000</v>
      </c>
      <c r="M505" s="192">
        <f t="shared" si="110"/>
        <v>5022525.4559999993</v>
      </c>
      <c r="N505" s="193"/>
    </row>
    <row r="506" spans="1:14" customFormat="1" x14ac:dyDescent="0.25">
      <c r="A506" s="13">
        <f t="shared" si="106"/>
        <v>35</v>
      </c>
      <c r="B506" s="184"/>
      <c r="C506" s="52">
        <f t="shared" si="100"/>
        <v>1911</v>
      </c>
      <c r="D506" s="52" t="s">
        <v>100</v>
      </c>
      <c r="E506" s="60">
        <f>(29.49)*(10.764)</f>
        <v>317.43035999999995</v>
      </c>
      <c r="F506" s="60">
        <v>0</v>
      </c>
      <c r="G506" s="60">
        <f t="shared" si="109"/>
        <v>317.43035999999995</v>
      </c>
      <c r="H506" s="60">
        <f t="shared" si="99"/>
        <v>380.91643199999993</v>
      </c>
      <c r="I506" s="32">
        <f t="shared" si="102"/>
        <v>222201.25199999998</v>
      </c>
      <c r="J506" s="32">
        <f t="shared" si="103"/>
        <v>4761455.3999999994</v>
      </c>
      <c r="K506" s="137">
        <f t="shared" si="104"/>
        <v>952291.07999999984</v>
      </c>
      <c r="L506" s="138">
        <v>11000</v>
      </c>
      <c r="M506" s="192">
        <f t="shared" si="110"/>
        <v>4983656.6519999998</v>
      </c>
      <c r="N506" s="193"/>
    </row>
    <row r="507" spans="1:14" customFormat="1" x14ac:dyDescent="0.25">
      <c r="A507" s="13">
        <f t="shared" si="106"/>
        <v>36</v>
      </c>
      <c r="B507" s="185"/>
      <c r="C507" s="52">
        <f t="shared" si="100"/>
        <v>1912</v>
      </c>
      <c r="D507" s="52" t="s">
        <v>100</v>
      </c>
      <c r="E507" s="60">
        <f>(29.49)*(10.764)</f>
        <v>317.43035999999995</v>
      </c>
      <c r="F507" s="60">
        <v>0</v>
      </c>
      <c r="G507" s="60">
        <f t="shared" si="109"/>
        <v>317.43035999999995</v>
      </c>
      <c r="H507" s="60">
        <f t="shared" si="99"/>
        <v>380.91643199999993</v>
      </c>
      <c r="I507" s="32">
        <f t="shared" si="102"/>
        <v>222201.25199999998</v>
      </c>
      <c r="J507" s="32">
        <f t="shared" si="103"/>
        <v>4761455.3999999994</v>
      </c>
      <c r="K507" s="137">
        <f t="shared" si="104"/>
        <v>952291.07999999984</v>
      </c>
      <c r="L507" s="138">
        <v>11000</v>
      </c>
      <c r="M507" s="192">
        <f t="shared" si="110"/>
        <v>4983656.6519999998</v>
      </c>
      <c r="N507" s="193"/>
    </row>
    <row r="508" spans="1:14" customFormat="1" x14ac:dyDescent="0.25">
      <c r="A508" s="13">
        <f t="shared" si="106"/>
        <v>37</v>
      </c>
      <c r="B508" s="183" t="s">
        <v>667</v>
      </c>
      <c r="C508" s="52">
        <f>LEFT(B508,SUM(LEN(B508)-LEN(SUBSTITUTE(B508,{"0","1","2","3","4","5","6","7","8","9"},""))))*100+1</f>
        <v>2001</v>
      </c>
      <c r="D508" s="52" t="s">
        <v>100</v>
      </c>
      <c r="E508" s="60">
        <f>(29.49)*(10.764)</f>
        <v>317.43035999999995</v>
      </c>
      <c r="F508" s="60">
        <v>0</v>
      </c>
      <c r="G508" s="60">
        <f>E508+(IF(F508&lt;101,F508,IF(F508&lt;201,F508/2,IF(F508&lt;=301,F508/3,F508/4))))</f>
        <v>317.43035999999995</v>
      </c>
      <c r="H508" s="60">
        <f t="shared" si="99"/>
        <v>380.91643199999993</v>
      </c>
      <c r="I508" s="32">
        <f t="shared" si="102"/>
        <v>222201.25199999998</v>
      </c>
      <c r="J508" s="32">
        <f t="shared" si="103"/>
        <v>4761455.3999999994</v>
      </c>
      <c r="K508" s="137">
        <f t="shared" si="104"/>
        <v>952291.07999999984</v>
      </c>
      <c r="L508" s="138">
        <v>11000</v>
      </c>
      <c r="M508" s="192">
        <f>J508+I508</f>
        <v>4983656.6519999998</v>
      </c>
      <c r="N508" s="193"/>
    </row>
    <row r="509" spans="1:14" customFormat="1" x14ac:dyDescent="0.25">
      <c r="A509" s="13">
        <f t="shared" si="106"/>
        <v>38</v>
      </c>
      <c r="B509" s="184"/>
      <c r="C509" s="52">
        <f t="shared" si="100"/>
        <v>2002</v>
      </c>
      <c r="D509" s="52" t="s">
        <v>100</v>
      </c>
      <c r="E509" s="60">
        <f>(29.49)*(10.764)</f>
        <v>317.43035999999995</v>
      </c>
      <c r="F509" s="60">
        <v>0</v>
      </c>
      <c r="G509" s="60">
        <f t="shared" ref="G509:G519" si="111">E509+(IF(F509&lt;101,F509,IF(F509&lt;201,F509/2,IF(F509&lt;=301,F509/3,F509/4))))</f>
        <v>317.43035999999995</v>
      </c>
      <c r="H509" s="60">
        <f t="shared" si="99"/>
        <v>380.91643199999993</v>
      </c>
      <c r="I509" s="32">
        <f t="shared" si="102"/>
        <v>222201.25199999998</v>
      </c>
      <c r="J509" s="32">
        <f t="shared" si="103"/>
        <v>4761455.3999999994</v>
      </c>
      <c r="K509" s="137">
        <f t="shared" si="104"/>
        <v>952291.07999999984</v>
      </c>
      <c r="L509" s="138">
        <v>11000</v>
      </c>
      <c r="M509" s="192">
        <f t="shared" ref="M509:M519" si="112">J509+I509</f>
        <v>4983656.6519999998</v>
      </c>
      <c r="N509" s="193"/>
    </row>
    <row r="510" spans="1:14" customFormat="1" x14ac:dyDescent="0.25">
      <c r="A510" s="13">
        <f t="shared" si="106"/>
        <v>39</v>
      </c>
      <c r="B510" s="184"/>
      <c r="C510" s="52">
        <f t="shared" si="100"/>
        <v>2003</v>
      </c>
      <c r="D510" s="52" t="s">
        <v>100</v>
      </c>
      <c r="E510" s="60">
        <f>(29.72)*(10.764)</f>
        <v>319.90607999999997</v>
      </c>
      <c r="F510" s="60">
        <v>0</v>
      </c>
      <c r="G510" s="60">
        <f t="shared" si="111"/>
        <v>319.90607999999997</v>
      </c>
      <c r="H510" s="60">
        <f t="shared" si="99"/>
        <v>383.88729599999994</v>
      </c>
      <c r="I510" s="32">
        <f t="shared" si="102"/>
        <v>223934.25599999999</v>
      </c>
      <c r="J510" s="32">
        <f t="shared" si="103"/>
        <v>4798591.1999999993</v>
      </c>
      <c r="K510" s="137">
        <f t="shared" si="104"/>
        <v>959718.23999999987</v>
      </c>
      <c r="L510" s="138">
        <v>11000</v>
      </c>
      <c r="M510" s="192">
        <f t="shared" si="112"/>
        <v>5022525.4559999993</v>
      </c>
      <c r="N510" s="193"/>
    </row>
    <row r="511" spans="1:14" customFormat="1" x14ac:dyDescent="0.25">
      <c r="A511" s="13">
        <f t="shared" si="106"/>
        <v>40</v>
      </c>
      <c r="B511" s="184"/>
      <c r="C511" s="52">
        <f t="shared" si="100"/>
        <v>2004</v>
      </c>
      <c r="D511" s="52" t="s">
        <v>104</v>
      </c>
      <c r="E511" s="60">
        <f>(48.01)*(10.764)</f>
        <v>516.77963999999997</v>
      </c>
      <c r="F511" s="60">
        <v>0</v>
      </c>
      <c r="G511" s="60">
        <f t="shared" si="111"/>
        <v>516.77963999999997</v>
      </c>
      <c r="H511" s="60">
        <f t="shared" si="99"/>
        <v>620.13556799999992</v>
      </c>
      <c r="I511" s="32">
        <f t="shared" si="102"/>
        <v>361745.74799999996</v>
      </c>
      <c r="J511" s="32">
        <f t="shared" si="103"/>
        <v>7751694.5999999996</v>
      </c>
      <c r="K511" s="137">
        <f t="shared" si="104"/>
        <v>1550338.9199999997</v>
      </c>
      <c r="L511" s="138">
        <v>16000</v>
      </c>
      <c r="M511" s="192">
        <f t="shared" si="112"/>
        <v>8113440.3479999993</v>
      </c>
      <c r="N511" s="193"/>
    </row>
    <row r="512" spans="1:14" customFormat="1" x14ac:dyDescent="0.25">
      <c r="A512" s="13">
        <f t="shared" si="106"/>
        <v>41</v>
      </c>
      <c r="B512" s="184"/>
      <c r="C512" s="52">
        <f t="shared" si="100"/>
        <v>2005</v>
      </c>
      <c r="D512" s="52" t="s">
        <v>104</v>
      </c>
      <c r="E512" s="60">
        <f>(49.83)*(10.764)</f>
        <v>536.37011999999993</v>
      </c>
      <c r="F512" s="60">
        <v>0</v>
      </c>
      <c r="G512" s="60">
        <f t="shared" si="111"/>
        <v>536.37011999999993</v>
      </c>
      <c r="H512" s="60">
        <f t="shared" si="99"/>
        <v>643.64414399999987</v>
      </c>
      <c r="I512" s="32">
        <f t="shared" si="102"/>
        <v>375459.08399999997</v>
      </c>
      <c r="J512" s="32">
        <f t="shared" si="103"/>
        <v>8045551.7999999989</v>
      </c>
      <c r="K512" s="137">
        <f t="shared" si="104"/>
        <v>1609110.3599999996</v>
      </c>
      <c r="L512" s="138">
        <v>16000</v>
      </c>
      <c r="M512" s="192">
        <f t="shared" si="112"/>
        <v>8421010.8839999996</v>
      </c>
      <c r="N512" s="193"/>
    </row>
    <row r="513" spans="1:14" customFormat="1" x14ac:dyDescent="0.25">
      <c r="A513" s="13">
        <f t="shared" si="106"/>
        <v>42</v>
      </c>
      <c r="B513" s="184"/>
      <c r="C513" s="52">
        <f t="shared" si="100"/>
        <v>2006</v>
      </c>
      <c r="D513" s="52" t="s">
        <v>104</v>
      </c>
      <c r="E513" s="60">
        <f>(49.78)*(10.764)</f>
        <v>535.83191999999997</v>
      </c>
      <c r="F513" s="60">
        <v>0</v>
      </c>
      <c r="G513" s="60">
        <f t="shared" si="111"/>
        <v>535.83191999999997</v>
      </c>
      <c r="H513" s="60">
        <f t="shared" si="99"/>
        <v>642.99830399999996</v>
      </c>
      <c r="I513" s="32">
        <f t="shared" si="102"/>
        <v>375082.34399999998</v>
      </c>
      <c r="J513" s="32">
        <f t="shared" si="103"/>
        <v>8037478.7999999998</v>
      </c>
      <c r="K513" s="137">
        <f t="shared" si="104"/>
        <v>1607495.76</v>
      </c>
      <c r="L513" s="138">
        <v>16000</v>
      </c>
      <c r="M513" s="192">
        <f t="shared" si="112"/>
        <v>8412561.1439999994</v>
      </c>
      <c r="N513" s="193"/>
    </row>
    <row r="514" spans="1:14" customFormat="1" x14ac:dyDescent="0.25">
      <c r="A514" s="13">
        <f t="shared" si="106"/>
        <v>43</v>
      </c>
      <c r="B514" s="184"/>
      <c r="C514" s="52">
        <f t="shared" si="100"/>
        <v>2007</v>
      </c>
      <c r="D514" s="52" t="s">
        <v>104</v>
      </c>
      <c r="E514" s="60">
        <f>(49.78)*(10.764)</f>
        <v>535.83191999999997</v>
      </c>
      <c r="F514" s="60">
        <v>0</v>
      </c>
      <c r="G514" s="60">
        <f t="shared" si="111"/>
        <v>535.83191999999997</v>
      </c>
      <c r="H514" s="60">
        <f t="shared" si="99"/>
        <v>642.99830399999996</v>
      </c>
      <c r="I514" s="32">
        <f t="shared" si="102"/>
        <v>375082.34399999998</v>
      </c>
      <c r="J514" s="32">
        <f t="shared" si="103"/>
        <v>8037478.7999999998</v>
      </c>
      <c r="K514" s="137">
        <f t="shared" si="104"/>
        <v>1607495.76</v>
      </c>
      <c r="L514" s="138">
        <v>16000</v>
      </c>
      <c r="M514" s="192">
        <f t="shared" si="112"/>
        <v>8412561.1439999994</v>
      </c>
      <c r="N514" s="193"/>
    </row>
    <row r="515" spans="1:14" customFormat="1" x14ac:dyDescent="0.25">
      <c r="A515" s="13">
        <f t="shared" si="106"/>
        <v>44</v>
      </c>
      <c r="B515" s="184"/>
      <c r="C515" s="52">
        <f t="shared" si="100"/>
        <v>2008</v>
      </c>
      <c r="D515" s="52" t="s">
        <v>104</v>
      </c>
      <c r="E515" s="60">
        <f>(49.83)*(10.764)</f>
        <v>536.37011999999993</v>
      </c>
      <c r="F515" s="60">
        <v>0</v>
      </c>
      <c r="G515" s="60">
        <f t="shared" si="111"/>
        <v>536.37011999999993</v>
      </c>
      <c r="H515" s="60">
        <f t="shared" si="99"/>
        <v>643.64414399999987</v>
      </c>
      <c r="I515" s="32">
        <f t="shared" si="102"/>
        <v>375459.08399999997</v>
      </c>
      <c r="J515" s="32">
        <f t="shared" si="103"/>
        <v>8045551.7999999989</v>
      </c>
      <c r="K515" s="137">
        <f t="shared" si="104"/>
        <v>1609110.3599999996</v>
      </c>
      <c r="L515" s="138">
        <v>16000</v>
      </c>
      <c r="M515" s="192">
        <f t="shared" si="112"/>
        <v>8421010.8839999996</v>
      </c>
      <c r="N515" s="193"/>
    </row>
    <row r="516" spans="1:14" customFormat="1" x14ac:dyDescent="0.25">
      <c r="A516" s="13">
        <f t="shared" si="106"/>
        <v>45</v>
      </c>
      <c r="B516" s="184"/>
      <c r="C516" s="52">
        <f t="shared" si="100"/>
        <v>2009</v>
      </c>
      <c r="D516" s="52" t="s">
        <v>104</v>
      </c>
      <c r="E516" s="60">
        <f>(48.01)*(10.764)</f>
        <v>516.77963999999997</v>
      </c>
      <c r="F516" s="60">
        <v>0</v>
      </c>
      <c r="G516" s="60">
        <f t="shared" si="111"/>
        <v>516.77963999999997</v>
      </c>
      <c r="H516" s="60">
        <f t="shared" si="99"/>
        <v>620.13556799999992</v>
      </c>
      <c r="I516" s="32">
        <f t="shared" si="102"/>
        <v>361745.74799999996</v>
      </c>
      <c r="J516" s="32">
        <f t="shared" si="103"/>
        <v>7751694.5999999996</v>
      </c>
      <c r="K516" s="137">
        <f t="shared" si="104"/>
        <v>1550338.9199999997</v>
      </c>
      <c r="L516" s="138">
        <v>16000</v>
      </c>
      <c r="M516" s="192">
        <f t="shared" si="112"/>
        <v>8113440.3479999993</v>
      </c>
      <c r="N516" s="193"/>
    </row>
    <row r="517" spans="1:14" customFormat="1" x14ac:dyDescent="0.25">
      <c r="A517" s="13">
        <f t="shared" si="106"/>
        <v>46</v>
      </c>
      <c r="B517" s="184"/>
      <c r="C517" s="52">
        <f t="shared" si="100"/>
        <v>2010</v>
      </c>
      <c r="D517" s="52" t="s">
        <v>100</v>
      </c>
      <c r="E517" s="60">
        <f>(29.72)*(10.764)</f>
        <v>319.90607999999997</v>
      </c>
      <c r="F517" s="60">
        <v>0</v>
      </c>
      <c r="G517" s="60">
        <f t="shared" si="111"/>
        <v>319.90607999999997</v>
      </c>
      <c r="H517" s="60">
        <f t="shared" si="99"/>
        <v>383.88729599999994</v>
      </c>
      <c r="I517" s="32">
        <f t="shared" si="102"/>
        <v>223934.25599999999</v>
      </c>
      <c r="J517" s="32">
        <f t="shared" si="103"/>
        <v>4798591.1999999993</v>
      </c>
      <c r="K517" s="137">
        <f t="shared" si="104"/>
        <v>959718.23999999987</v>
      </c>
      <c r="L517" s="138">
        <v>11000</v>
      </c>
      <c r="M517" s="192">
        <f t="shared" si="112"/>
        <v>5022525.4559999993</v>
      </c>
      <c r="N517" s="193"/>
    </row>
    <row r="518" spans="1:14" customFormat="1" x14ac:dyDescent="0.25">
      <c r="A518" s="13">
        <f t="shared" si="106"/>
        <v>47</v>
      </c>
      <c r="B518" s="184"/>
      <c r="C518" s="52">
        <f t="shared" si="100"/>
        <v>2011</v>
      </c>
      <c r="D518" s="52" t="s">
        <v>100</v>
      </c>
      <c r="E518" s="60">
        <f>(29.49)*(10.764)</f>
        <v>317.43035999999995</v>
      </c>
      <c r="F518" s="60">
        <v>0</v>
      </c>
      <c r="G518" s="60">
        <f t="shared" si="111"/>
        <v>317.43035999999995</v>
      </c>
      <c r="H518" s="60">
        <f t="shared" si="99"/>
        <v>380.91643199999993</v>
      </c>
      <c r="I518" s="32">
        <f t="shared" si="102"/>
        <v>222201.25199999998</v>
      </c>
      <c r="J518" s="32">
        <f t="shared" si="103"/>
        <v>4761455.3999999994</v>
      </c>
      <c r="K518" s="137">
        <f t="shared" si="104"/>
        <v>952291.07999999984</v>
      </c>
      <c r="L518" s="138">
        <v>11000</v>
      </c>
      <c r="M518" s="192">
        <f t="shared" si="112"/>
        <v>4983656.6519999998</v>
      </c>
      <c r="N518" s="193"/>
    </row>
    <row r="519" spans="1:14" customFormat="1" x14ac:dyDescent="0.25">
      <c r="A519" s="13">
        <f t="shared" si="106"/>
        <v>48</v>
      </c>
      <c r="B519" s="185"/>
      <c r="C519" s="52">
        <f t="shared" si="100"/>
        <v>2012</v>
      </c>
      <c r="D519" s="52" t="s">
        <v>100</v>
      </c>
      <c r="E519" s="60">
        <f>(29.49)*(10.764)</f>
        <v>317.43035999999995</v>
      </c>
      <c r="F519" s="60">
        <v>0</v>
      </c>
      <c r="G519" s="60">
        <f t="shared" si="111"/>
        <v>317.43035999999995</v>
      </c>
      <c r="H519" s="60">
        <f t="shared" si="99"/>
        <v>380.91643199999993</v>
      </c>
      <c r="I519" s="32">
        <f t="shared" si="102"/>
        <v>222201.25199999998</v>
      </c>
      <c r="J519" s="32">
        <f t="shared" si="103"/>
        <v>4761455.3999999994</v>
      </c>
      <c r="K519" s="137">
        <f t="shared" si="104"/>
        <v>952291.07999999984</v>
      </c>
      <c r="L519" s="138">
        <v>11000</v>
      </c>
      <c r="M519" s="192">
        <f t="shared" si="112"/>
        <v>4983656.6519999998</v>
      </c>
      <c r="N519" s="193"/>
    </row>
    <row r="520" spans="1:14" customFormat="1" x14ac:dyDescent="0.25">
      <c r="A520" s="13">
        <f t="shared" si="106"/>
        <v>49</v>
      </c>
      <c r="B520" s="183" t="s">
        <v>668</v>
      </c>
      <c r="C520" s="52">
        <f>LEFT(B520,SUM(LEN(B520)-LEN(SUBSTITUTE(B520,{"0","1","2","3","4","5","6","7","8","9"},""))))*100+1</f>
        <v>2101</v>
      </c>
      <c r="D520" s="52" t="s">
        <v>100</v>
      </c>
      <c r="E520" s="60">
        <f>(29.49)*(10.764)</f>
        <v>317.43035999999995</v>
      </c>
      <c r="F520" s="60">
        <v>0</v>
      </c>
      <c r="G520" s="60">
        <f>E520+(IF(F520&lt;101,F520,IF(F520&lt;201,F520/2,IF(F520&lt;=301,F520/3,F520/4))))</f>
        <v>317.43035999999995</v>
      </c>
      <c r="H520" s="60">
        <f t="shared" si="99"/>
        <v>380.91643199999993</v>
      </c>
      <c r="I520" s="32">
        <f t="shared" si="102"/>
        <v>222201.25199999998</v>
      </c>
      <c r="J520" s="32">
        <f t="shared" si="103"/>
        <v>4761455.3999999994</v>
      </c>
      <c r="K520" s="137">
        <f t="shared" si="104"/>
        <v>952291.07999999984</v>
      </c>
      <c r="L520" s="138">
        <v>11000</v>
      </c>
      <c r="M520" s="192">
        <f>J520+I520</f>
        <v>4983656.6519999998</v>
      </c>
      <c r="N520" s="193"/>
    </row>
    <row r="521" spans="1:14" customFormat="1" x14ac:dyDescent="0.25">
      <c r="A521" s="13">
        <f t="shared" si="106"/>
        <v>50</v>
      </c>
      <c r="B521" s="184"/>
      <c r="C521" s="52">
        <f t="shared" si="100"/>
        <v>2102</v>
      </c>
      <c r="D521" s="52" t="s">
        <v>100</v>
      </c>
      <c r="E521" s="60">
        <f>(29.49)*(10.764)</f>
        <v>317.43035999999995</v>
      </c>
      <c r="F521" s="60">
        <v>0</v>
      </c>
      <c r="G521" s="60">
        <f t="shared" ref="G521:G531" si="113">E521+(IF(F521&lt;101,F521,IF(F521&lt;201,F521/2,IF(F521&lt;=301,F521/3,F521/4))))</f>
        <v>317.43035999999995</v>
      </c>
      <c r="H521" s="60">
        <f t="shared" si="99"/>
        <v>380.91643199999993</v>
      </c>
      <c r="I521" s="32">
        <f t="shared" si="102"/>
        <v>222201.25199999998</v>
      </c>
      <c r="J521" s="32">
        <f t="shared" si="103"/>
        <v>4761455.3999999994</v>
      </c>
      <c r="K521" s="137">
        <f t="shared" si="104"/>
        <v>952291.07999999984</v>
      </c>
      <c r="L521" s="138">
        <v>11000</v>
      </c>
      <c r="M521" s="192">
        <f t="shared" ref="M521:M531" si="114">J521+I521</f>
        <v>4983656.6519999998</v>
      </c>
      <c r="N521" s="193"/>
    </row>
    <row r="522" spans="1:14" customFormat="1" x14ac:dyDescent="0.25">
      <c r="A522" s="13">
        <f t="shared" si="106"/>
        <v>51</v>
      </c>
      <c r="B522" s="184"/>
      <c r="C522" s="52">
        <f t="shared" si="100"/>
        <v>2103</v>
      </c>
      <c r="D522" s="52" t="s">
        <v>100</v>
      </c>
      <c r="E522" s="60">
        <f>(29.72)*(10.764)</f>
        <v>319.90607999999997</v>
      </c>
      <c r="F522" s="60">
        <v>0</v>
      </c>
      <c r="G522" s="60">
        <f t="shared" si="113"/>
        <v>319.90607999999997</v>
      </c>
      <c r="H522" s="60">
        <f t="shared" si="99"/>
        <v>383.88729599999994</v>
      </c>
      <c r="I522" s="32">
        <f t="shared" si="102"/>
        <v>223934.25599999999</v>
      </c>
      <c r="J522" s="32">
        <f t="shared" si="103"/>
        <v>4798591.1999999993</v>
      </c>
      <c r="K522" s="137">
        <f t="shared" si="104"/>
        <v>959718.23999999987</v>
      </c>
      <c r="L522" s="138">
        <v>11000</v>
      </c>
      <c r="M522" s="192">
        <f t="shared" si="114"/>
        <v>5022525.4559999993</v>
      </c>
      <c r="N522" s="193"/>
    </row>
    <row r="523" spans="1:14" customFormat="1" x14ac:dyDescent="0.25">
      <c r="A523" s="13">
        <f t="shared" si="106"/>
        <v>52</v>
      </c>
      <c r="B523" s="184"/>
      <c r="C523" s="52">
        <f t="shared" si="100"/>
        <v>2104</v>
      </c>
      <c r="D523" s="52" t="s">
        <v>104</v>
      </c>
      <c r="E523" s="60">
        <f>(48.01)*(10.764)</f>
        <v>516.77963999999997</v>
      </c>
      <c r="F523" s="60">
        <v>0</v>
      </c>
      <c r="G523" s="60">
        <f t="shared" si="113"/>
        <v>516.77963999999997</v>
      </c>
      <c r="H523" s="60">
        <f t="shared" si="99"/>
        <v>620.13556799999992</v>
      </c>
      <c r="I523" s="32">
        <f t="shared" si="102"/>
        <v>361745.74799999996</v>
      </c>
      <c r="J523" s="32">
        <f t="shared" si="103"/>
        <v>7751694.5999999996</v>
      </c>
      <c r="K523" s="137">
        <f t="shared" si="104"/>
        <v>1550338.9199999997</v>
      </c>
      <c r="L523" s="138">
        <v>16000</v>
      </c>
      <c r="M523" s="192">
        <f t="shared" si="114"/>
        <v>8113440.3479999993</v>
      </c>
      <c r="N523" s="193"/>
    </row>
    <row r="524" spans="1:14" customFormat="1" x14ac:dyDescent="0.25">
      <c r="A524" s="13">
        <f t="shared" si="106"/>
        <v>53</v>
      </c>
      <c r="B524" s="184"/>
      <c r="C524" s="52">
        <f t="shared" si="100"/>
        <v>2105</v>
      </c>
      <c r="D524" s="52" t="s">
        <v>104</v>
      </c>
      <c r="E524" s="60">
        <f>(49.83)*(10.764)</f>
        <v>536.37011999999993</v>
      </c>
      <c r="F524" s="60">
        <v>0</v>
      </c>
      <c r="G524" s="60">
        <f t="shared" si="113"/>
        <v>536.37011999999993</v>
      </c>
      <c r="H524" s="60">
        <f t="shared" si="99"/>
        <v>643.64414399999987</v>
      </c>
      <c r="I524" s="32">
        <f t="shared" si="102"/>
        <v>375459.08399999997</v>
      </c>
      <c r="J524" s="32">
        <f t="shared" si="103"/>
        <v>8045551.7999999989</v>
      </c>
      <c r="K524" s="137">
        <f t="shared" si="104"/>
        <v>1609110.3599999996</v>
      </c>
      <c r="L524" s="138">
        <v>16000</v>
      </c>
      <c r="M524" s="192">
        <f t="shared" si="114"/>
        <v>8421010.8839999996</v>
      </c>
      <c r="N524" s="193"/>
    </row>
    <row r="525" spans="1:14" customFormat="1" x14ac:dyDescent="0.25">
      <c r="A525" s="13">
        <f t="shared" si="106"/>
        <v>54</v>
      </c>
      <c r="B525" s="184"/>
      <c r="C525" s="52">
        <f t="shared" si="100"/>
        <v>2106</v>
      </c>
      <c r="D525" s="52" t="s">
        <v>104</v>
      </c>
      <c r="E525" s="60">
        <f>(49.78)*(10.764)</f>
        <v>535.83191999999997</v>
      </c>
      <c r="F525" s="60">
        <v>0</v>
      </c>
      <c r="G525" s="60">
        <f t="shared" si="113"/>
        <v>535.83191999999997</v>
      </c>
      <c r="H525" s="60">
        <f t="shared" si="99"/>
        <v>642.99830399999996</v>
      </c>
      <c r="I525" s="32">
        <f t="shared" si="102"/>
        <v>375082.34399999998</v>
      </c>
      <c r="J525" s="32">
        <f t="shared" si="103"/>
        <v>8037478.7999999998</v>
      </c>
      <c r="K525" s="137">
        <f t="shared" si="104"/>
        <v>1607495.76</v>
      </c>
      <c r="L525" s="138">
        <v>16000</v>
      </c>
      <c r="M525" s="192">
        <f t="shared" si="114"/>
        <v>8412561.1439999994</v>
      </c>
      <c r="N525" s="193"/>
    </row>
    <row r="526" spans="1:14" customFormat="1" x14ac:dyDescent="0.25">
      <c r="A526" s="13">
        <f t="shared" si="106"/>
        <v>55</v>
      </c>
      <c r="B526" s="184"/>
      <c r="C526" s="52">
        <f t="shared" si="100"/>
        <v>2107</v>
      </c>
      <c r="D526" s="52" t="s">
        <v>104</v>
      </c>
      <c r="E526" s="60">
        <f>(49.78)*(10.764)</f>
        <v>535.83191999999997</v>
      </c>
      <c r="F526" s="60">
        <v>0</v>
      </c>
      <c r="G526" s="60">
        <f t="shared" si="113"/>
        <v>535.83191999999997</v>
      </c>
      <c r="H526" s="60">
        <f t="shared" si="99"/>
        <v>642.99830399999996</v>
      </c>
      <c r="I526" s="32">
        <f t="shared" si="102"/>
        <v>375082.34399999998</v>
      </c>
      <c r="J526" s="32">
        <f t="shared" si="103"/>
        <v>8037478.7999999998</v>
      </c>
      <c r="K526" s="137">
        <f t="shared" si="104"/>
        <v>1607495.76</v>
      </c>
      <c r="L526" s="138">
        <v>16000</v>
      </c>
      <c r="M526" s="192">
        <f t="shared" si="114"/>
        <v>8412561.1439999994</v>
      </c>
      <c r="N526" s="193"/>
    </row>
    <row r="527" spans="1:14" customFormat="1" x14ac:dyDescent="0.25">
      <c r="A527" s="13">
        <f t="shared" si="106"/>
        <v>56</v>
      </c>
      <c r="B527" s="184"/>
      <c r="C527" s="52">
        <f t="shared" si="100"/>
        <v>2108</v>
      </c>
      <c r="D527" s="52" t="s">
        <v>104</v>
      </c>
      <c r="E527" s="60">
        <f>(49.83)*(10.764)</f>
        <v>536.37011999999993</v>
      </c>
      <c r="F527" s="60">
        <v>0</v>
      </c>
      <c r="G527" s="60">
        <f t="shared" si="113"/>
        <v>536.37011999999993</v>
      </c>
      <c r="H527" s="60">
        <f t="shared" si="99"/>
        <v>643.64414399999987</v>
      </c>
      <c r="I527" s="32">
        <f t="shared" si="102"/>
        <v>375459.08399999997</v>
      </c>
      <c r="J527" s="32">
        <f t="shared" si="103"/>
        <v>8045551.7999999989</v>
      </c>
      <c r="K527" s="137">
        <f t="shared" si="104"/>
        <v>1609110.3599999996</v>
      </c>
      <c r="L527" s="138">
        <v>16000</v>
      </c>
      <c r="M527" s="192">
        <f t="shared" si="114"/>
        <v>8421010.8839999996</v>
      </c>
      <c r="N527" s="193"/>
    </row>
    <row r="528" spans="1:14" customFormat="1" x14ac:dyDescent="0.25">
      <c r="A528" s="13">
        <f t="shared" si="106"/>
        <v>57</v>
      </c>
      <c r="B528" s="184"/>
      <c r="C528" s="52">
        <f t="shared" si="100"/>
        <v>2109</v>
      </c>
      <c r="D528" s="52" t="s">
        <v>104</v>
      </c>
      <c r="E528" s="60">
        <f>(48.01)*(10.764)</f>
        <v>516.77963999999997</v>
      </c>
      <c r="F528" s="60">
        <v>0</v>
      </c>
      <c r="G528" s="60">
        <f t="shared" si="113"/>
        <v>516.77963999999997</v>
      </c>
      <c r="H528" s="60">
        <f t="shared" si="99"/>
        <v>620.13556799999992</v>
      </c>
      <c r="I528" s="32">
        <f t="shared" si="102"/>
        <v>361745.74799999996</v>
      </c>
      <c r="J528" s="32">
        <f t="shared" si="103"/>
        <v>7751694.5999999996</v>
      </c>
      <c r="K528" s="137">
        <f t="shared" si="104"/>
        <v>1550338.9199999997</v>
      </c>
      <c r="L528" s="138">
        <v>16000</v>
      </c>
      <c r="M528" s="192">
        <f t="shared" si="114"/>
        <v>8113440.3479999993</v>
      </c>
      <c r="N528" s="193"/>
    </row>
    <row r="529" spans="1:14" customFormat="1" x14ac:dyDescent="0.25">
      <c r="A529" s="13">
        <f t="shared" si="106"/>
        <v>58</v>
      </c>
      <c r="B529" s="184"/>
      <c r="C529" s="52">
        <f t="shared" si="100"/>
        <v>2110</v>
      </c>
      <c r="D529" s="52" t="s">
        <v>100</v>
      </c>
      <c r="E529" s="60">
        <f>(29.72)*(10.764)</f>
        <v>319.90607999999997</v>
      </c>
      <c r="F529" s="60">
        <v>0</v>
      </c>
      <c r="G529" s="60">
        <f t="shared" si="113"/>
        <v>319.90607999999997</v>
      </c>
      <c r="H529" s="60">
        <f t="shared" si="99"/>
        <v>383.88729599999994</v>
      </c>
      <c r="I529" s="32">
        <f t="shared" si="102"/>
        <v>223934.25599999999</v>
      </c>
      <c r="J529" s="32">
        <f t="shared" si="103"/>
        <v>4798591.1999999993</v>
      </c>
      <c r="K529" s="137">
        <f t="shared" si="104"/>
        <v>959718.23999999987</v>
      </c>
      <c r="L529" s="138">
        <v>11000</v>
      </c>
      <c r="M529" s="192">
        <f t="shared" si="114"/>
        <v>5022525.4559999993</v>
      </c>
      <c r="N529" s="193"/>
    </row>
    <row r="530" spans="1:14" customFormat="1" x14ac:dyDescent="0.25">
      <c r="A530" s="13">
        <f t="shared" si="106"/>
        <v>59</v>
      </c>
      <c r="B530" s="184"/>
      <c r="C530" s="52">
        <f t="shared" si="100"/>
        <v>2111</v>
      </c>
      <c r="D530" s="52" t="s">
        <v>100</v>
      </c>
      <c r="E530" s="60">
        <f>(29.49)*(10.764)</f>
        <v>317.43035999999995</v>
      </c>
      <c r="F530" s="60">
        <v>0</v>
      </c>
      <c r="G530" s="60">
        <f t="shared" si="113"/>
        <v>317.43035999999995</v>
      </c>
      <c r="H530" s="60">
        <f t="shared" si="99"/>
        <v>380.91643199999993</v>
      </c>
      <c r="I530" s="32">
        <f t="shared" si="102"/>
        <v>222201.25199999998</v>
      </c>
      <c r="J530" s="32">
        <f t="shared" si="103"/>
        <v>4761455.3999999994</v>
      </c>
      <c r="K530" s="137">
        <f t="shared" si="104"/>
        <v>952291.07999999984</v>
      </c>
      <c r="L530" s="138">
        <v>11000</v>
      </c>
      <c r="M530" s="192">
        <f t="shared" si="114"/>
        <v>4983656.6519999998</v>
      </c>
      <c r="N530" s="193"/>
    </row>
    <row r="531" spans="1:14" customFormat="1" x14ac:dyDescent="0.25">
      <c r="A531" s="13">
        <f t="shared" si="106"/>
        <v>60</v>
      </c>
      <c r="B531" s="185"/>
      <c r="C531" s="52">
        <f t="shared" si="100"/>
        <v>2112</v>
      </c>
      <c r="D531" s="52" t="s">
        <v>100</v>
      </c>
      <c r="E531" s="60">
        <f>(29.49)*(10.764)</f>
        <v>317.43035999999995</v>
      </c>
      <c r="F531" s="60">
        <v>0</v>
      </c>
      <c r="G531" s="60">
        <f t="shared" si="113"/>
        <v>317.43035999999995</v>
      </c>
      <c r="H531" s="60">
        <f t="shared" si="99"/>
        <v>380.91643199999993</v>
      </c>
      <c r="I531" s="32">
        <f t="shared" si="102"/>
        <v>222201.25199999998</v>
      </c>
      <c r="J531" s="32">
        <f t="shared" si="103"/>
        <v>4761455.3999999994</v>
      </c>
      <c r="K531" s="137">
        <f t="shared" si="104"/>
        <v>952291.07999999984</v>
      </c>
      <c r="L531" s="138">
        <v>11000</v>
      </c>
      <c r="M531" s="192">
        <f t="shared" si="114"/>
        <v>4983656.6519999998</v>
      </c>
      <c r="N531" s="193"/>
    </row>
    <row r="532" spans="1:14" customFormat="1" x14ac:dyDescent="0.25">
      <c r="A532" s="13">
        <f t="shared" si="106"/>
        <v>61</v>
      </c>
      <c r="B532" s="183" t="s">
        <v>669</v>
      </c>
      <c r="C532" s="52">
        <f>LEFT(B532,SUM(LEN(B532)-LEN(SUBSTITUTE(B532,{"0","1","2","3","4","5","6","7","8","9"},""))))*100+1</f>
        <v>2201</v>
      </c>
      <c r="D532" s="52" t="s">
        <v>100</v>
      </c>
      <c r="E532" s="60">
        <f>(29.49)*(10.764)</f>
        <v>317.43035999999995</v>
      </c>
      <c r="F532" s="60">
        <v>0</v>
      </c>
      <c r="G532" s="60">
        <f>E532+(IF(F532&lt;101,F532,IF(F532&lt;201,F532/2,IF(F532&lt;=301,F532/3,F532/4))))</f>
        <v>317.43035999999995</v>
      </c>
      <c r="H532" s="60">
        <f t="shared" si="99"/>
        <v>380.91643199999993</v>
      </c>
      <c r="I532" s="32">
        <f t="shared" si="102"/>
        <v>222201.25199999998</v>
      </c>
      <c r="J532" s="32">
        <f t="shared" si="103"/>
        <v>4761455.3999999994</v>
      </c>
      <c r="K532" s="137">
        <f t="shared" si="104"/>
        <v>952291.07999999984</v>
      </c>
      <c r="L532" s="138">
        <v>11000</v>
      </c>
      <c r="M532" s="192">
        <f>J532+I532</f>
        <v>4983656.6519999998</v>
      </c>
      <c r="N532" s="193"/>
    </row>
    <row r="533" spans="1:14" customFormat="1" x14ac:dyDescent="0.25">
      <c r="A533" s="13">
        <f t="shared" si="106"/>
        <v>62</v>
      </c>
      <c r="B533" s="184"/>
      <c r="C533" s="52">
        <f t="shared" si="100"/>
        <v>2202</v>
      </c>
      <c r="D533" s="52" t="s">
        <v>100</v>
      </c>
      <c r="E533" s="60">
        <f>(29.49)*(10.764)</f>
        <v>317.43035999999995</v>
      </c>
      <c r="F533" s="60">
        <v>0</v>
      </c>
      <c r="G533" s="60">
        <f t="shared" ref="G533:G543" si="115">E533+(IF(F533&lt;101,F533,IF(F533&lt;201,F533/2,IF(F533&lt;=301,F533/3,F533/4))))</f>
        <v>317.43035999999995</v>
      </c>
      <c r="H533" s="60">
        <f t="shared" si="99"/>
        <v>380.91643199999993</v>
      </c>
      <c r="I533" s="32">
        <f t="shared" si="102"/>
        <v>222201.25199999998</v>
      </c>
      <c r="J533" s="32">
        <f t="shared" si="103"/>
        <v>4761455.3999999994</v>
      </c>
      <c r="K533" s="137">
        <f t="shared" si="104"/>
        <v>952291.07999999984</v>
      </c>
      <c r="L533" s="138">
        <v>11000</v>
      </c>
      <c r="M533" s="192">
        <f t="shared" ref="M533:M543" si="116">J533+I533</f>
        <v>4983656.6519999998</v>
      </c>
      <c r="N533" s="193"/>
    </row>
    <row r="534" spans="1:14" customFormat="1" x14ac:dyDescent="0.25">
      <c r="A534" s="13">
        <f t="shared" si="106"/>
        <v>63</v>
      </c>
      <c r="B534" s="184"/>
      <c r="C534" s="52">
        <f t="shared" si="100"/>
        <v>2203</v>
      </c>
      <c r="D534" s="52" t="s">
        <v>100</v>
      </c>
      <c r="E534" s="60">
        <f>(29.72)*(10.764)</f>
        <v>319.90607999999997</v>
      </c>
      <c r="F534" s="60">
        <v>0</v>
      </c>
      <c r="G534" s="60">
        <f t="shared" si="115"/>
        <v>319.90607999999997</v>
      </c>
      <c r="H534" s="60">
        <f t="shared" si="99"/>
        <v>383.88729599999994</v>
      </c>
      <c r="I534" s="32">
        <f t="shared" si="102"/>
        <v>223934.25599999999</v>
      </c>
      <c r="J534" s="32">
        <f t="shared" si="103"/>
        <v>4798591.1999999993</v>
      </c>
      <c r="K534" s="137">
        <f t="shared" si="104"/>
        <v>959718.23999999987</v>
      </c>
      <c r="L534" s="138">
        <v>11000</v>
      </c>
      <c r="M534" s="192">
        <f t="shared" si="116"/>
        <v>5022525.4559999993</v>
      </c>
      <c r="N534" s="193"/>
    </row>
    <row r="535" spans="1:14" customFormat="1" x14ac:dyDescent="0.25">
      <c r="A535" s="13">
        <f t="shared" si="106"/>
        <v>64</v>
      </c>
      <c r="B535" s="184"/>
      <c r="C535" s="52">
        <f t="shared" si="100"/>
        <v>2204</v>
      </c>
      <c r="D535" s="52" t="s">
        <v>104</v>
      </c>
      <c r="E535" s="60">
        <f>(48.01)*(10.764)</f>
        <v>516.77963999999997</v>
      </c>
      <c r="F535" s="60">
        <v>0</v>
      </c>
      <c r="G535" s="60">
        <f t="shared" si="115"/>
        <v>516.77963999999997</v>
      </c>
      <c r="H535" s="60">
        <f t="shared" si="99"/>
        <v>620.13556799999992</v>
      </c>
      <c r="I535" s="32">
        <f t="shared" si="102"/>
        <v>361745.74799999996</v>
      </c>
      <c r="J535" s="32">
        <f t="shared" si="103"/>
        <v>7751694.5999999996</v>
      </c>
      <c r="K535" s="137">
        <f t="shared" si="104"/>
        <v>1550338.9199999997</v>
      </c>
      <c r="L535" s="138">
        <v>16000</v>
      </c>
      <c r="M535" s="192">
        <f t="shared" si="116"/>
        <v>8113440.3479999993</v>
      </c>
      <c r="N535" s="193"/>
    </row>
    <row r="536" spans="1:14" customFormat="1" x14ac:dyDescent="0.25">
      <c r="A536" s="13">
        <f t="shared" si="106"/>
        <v>65</v>
      </c>
      <c r="B536" s="184"/>
      <c r="C536" s="52">
        <f t="shared" si="100"/>
        <v>2205</v>
      </c>
      <c r="D536" s="52" t="s">
        <v>104</v>
      </c>
      <c r="E536" s="60">
        <f>(49.83)*(10.764)</f>
        <v>536.37011999999993</v>
      </c>
      <c r="F536" s="60">
        <v>0</v>
      </c>
      <c r="G536" s="60">
        <f t="shared" si="115"/>
        <v>536.37011999999993</v>
      </c>
      <c r="H536" s="60">
        <f t="shared" ref="H536:H555" si="117">G536*1.2</f>
        <v>643.64414399999987</v>
      </c>
      <c r="I536" s="32">
        <f t="shared" si="102"/>
        <v>375459.08399999997</v>
      </c>
      <c r="J536" s="32">
        <f t="shared" si="103"/>
        <v>8045551.7999999989</v>
      </c>
      <c r="K536" s="137">
        <f t="shared" si="104"/>
        <v>1609110.3599999996</v>
      </c>
      <c r="L536" s="138">
        <v>16000</v>
      </c>
      <c r="M536" s="192">
        <f t="shared" si="116"/>
        <v>8421010.8839999996</v>
      </c>
      <c r="N536" s="193"/>
    </row>
    <row r="537" spans="1:14" customFormat="1" x14ac:dyDescent="0.25">
      <c r="A537" s="13">
        <f t="shared" si="106"/>
        <v>66</v>
      </c>
      <c r="B537" s="184"/>
      <c r="C537" s="52">
        <f t="shared" ref="C537:C543" si="118">C536+1</f>
        <v>2206</v>
      </c>
      <c r="D537" s="52" t="s">
        <v>104</v>
      </c>
      <c r="E537" s="60">
        <f>(49.78)*(10.764)</f>
        <v>535.83191999999997</v>
      </c>
      <c r="F537" s="60">
        <v>0</v>
      </c>
      <c r="G537" s="60">
        <f t="shared" si="115"/>
        <v>535.83191999999997</v>
      </c>
      <c r="H537" s="60">
        <f t="shared" si="117"/>
        <v>642.99830399999996</v>
      </c>
      <c r="I537" s="32">
        <f t="shared" ref="I537:I555" si="119">G537*I$471</f>
        <v>375082.34399999998</v>
      </c>
      <c r="J537" s="32">
        <f t="shared" ref="J537:J555" si="120">G537*$J$471</f>
        <v>8037478.7999999998</v>
      </c>
      <c r="K537" s="137">
        <f t="shared" ref="K537:K555" si="121">$K$471*H537</f>
        <v>1607495.76</v>
      </c>
      <c r="L537" s="138">
        <v>16000</v>
      </c>
      <c r="M537" s="192">
        <f t="shared" si="116"/>
        <v>8412561.1439999994</v>
      </c>
      <c r="N537" s="193"/>
    </row>
    <row r="538" spans="1:14" customFormat="1" x14ac:dyDescent="0.25">
      <c r="A538" s="13">
        <f t="shared" ref="A538:A555" si="122">A537+1</f>
        <v>67</v>
      </c>
      <c r="B538" s="184"/>
      <c r="C538" s="52">
        <f t="shared" si="118"/>
        <v>2207</v>
      </c>
      <c r="D538" s="52" t="s">
        <v>104</v>
      </c>
      <c r="E538" s="60">
        <f>(49.78)*(10.764)</f>
        <v>535.83191999999997</v>
      </c>
      <c r="F538" s="60">
        <v>0</v>
      </c>
      <c r="G538" s="60">
        <f t="shared" si="115"/>
        <v>535.83191999999997</v>
      </c>
      <c r="H538" s="60">
        <f t="shared" si="117"/>
        <v>642.99830399999996</v>
      </c>
      <c r="I538" s="32">
        <f t="shared" si="119"/>
        <v>375082.34399999998</v>
      </c>
      <c r="J538" s="32">
        <f t="shared" si="120"/>
        <v>8037478.7999999998</v>
      </c>
      <c r="K538" s="137">
        <f t="shared" si="121"/>
        <v>1607495.76</v>
      </c>
      <c r="L538" s="138">
        <v>16000</v>
      </c>
      <c r="M538" s="192">
        <f t="shared" si="116"/>
        <v>8412561.1439999994</v>
      </c>
      <c r="N538" s="193"/>
    </row>
    <row r="539" spans="1:14" customFormat="1" x14ac:dyDescent="0.25">
      <c r="A539" s="13">
        <f t="shared" si="122"/>
        <v>68</v>
      </c>
      <c r="B539" s="184"/>
      <c r="C539" s="52">
        <f t="shared" si="118"/>
        <v>2208</v>
      </c>
      <c r="D539" s="52" t="s">
        <v>104</v>
      </c>
      <c r="E539" s="60">
        <f>(49.83)*(10.764)</f>
        <v>536.37011999999993</v>
      </c>
      <c r="F539" s="60">
        <v>0</v>
      </c>
      <c r="G539" s="60">
        <f t="shared" si="115"/>
        <v>536.37011999999993</v>
      </c>
      <c r="H539" s="60">
        <f t="shared" si="117"/>
        <v>643.64414399999987</v>
      </c>
      <c r="I539" s="32">
        <f t="shared" si="119"/>
        <v>375459.08399999997</v>
      </c>
      <c r="J539" s="32">
        <f t="shared" si="120"/>
        <v>8045551.7999999989</v>
      </c>
      <c r="K539" s="137">
        <f t="shared" si="121"/>
        <v>1609110.3599999996</v>
      </c>
      <c r="L539" s="138">
        <v>16000</v>
      </c>
      <c r="M539" s="192">
        <f t="shared" si="116"/>
        <v>8421010.8839999996</v>
      </c>
      <c r="N539" s="193"/>
    </row>
    <row r="540" spans="1:14" customFormat="1" x14ac:dyDescent="0.25">
      <c r="A540" s="13">
        <f t="shared" si="122"/>
        <v>69</v>
      </c>
      <c r="B540" s="184"/>
      <c r="C540" s="52">
        <f t="shared" si="118"/>
        <v>2209</v>
      </c>
      <c r="D540" s="52" t="s">
        <v>104</v>
      </c>
      <c r="E540" s="60">
        <f>(48.01)*(10.764)</f>
        <v>516.77963999999997</v>
      </c>
      <c r="F540" s="60">
        <v>0</v>
      </c>
      <c r="G540" s="60">
        <f t="shared" si="115"/>
        <v>516.77963999999997</v>
      </c>
      <c r="H540" s="60">
        <f t="shared" si="117"/>
        <v>620.13556799999992</v>
      </c>
      <c r="I540" s="32">
        <f t="shared" si="119"/>
        <v>361745.74799999996</v>
      </c>
      <c r="J540" s="32">
        <f t="shared" si="120"/>
        <v>7751694.5999999996</v>
      </c>
      <c r="K540" s="137">
        <f t="shared" si="121"/>
        <v>1550338.9199999997</v>
      </c>
      <c r="L540" s="138">
        <v>16000</v>
      </c>
      <c r="M540" s="192">
        <f t="shared" si="116"/>
        <v>8113440.3479999993</v>
      </c>
      <c r="N540" s="193"/>
    </row>
    <row r="541" spans="1:14" customFormat="1" x14ac:dyDescent="0.25">
      <c r="A541" s="13">
        <f t="shared" si="122"/>
        <v>70</v>
      </c>
      <c r="B541" s="184"/>
      <c r="C541" s="52">
        <f t="shared" si="118"/>
        <v>2210</v>
      </c>
      <c r="D541" s="52" t="s">
        <v>100</v>
      </c>
      <c r="E541" s="60">
        <f>(29.72)*(10.764)</f>
        <v>319.90607999999997</v>
      </c>
      <c r="F541" s="60">
        <v>0</v>
      </c>
      <c r="G541" s="60">
        <f t="shared" si="115"/>
        <v>319.90607999999997</v>
      </c>
      <c r="H541" s="60">
        <f t="shared" si="117"/>
        <v>383.88729599999994</v>
      </c>
      <c r="I541" s="32">
        <f t="shared" si="119"/>
        <v>223934.25599999999</v>
      </c>
      <c r="J541" s="32">
        <f t="shared" si="120"/>
        <v>4798591.1999999993</v>
      </c>
      <c r="K541" s="137">
        <f t="shared" si="121"/>
        <v>959718.23999999987</v>
      </c>
      <c r="L541" s="138">
        <v>11000</v>
      </c>
      <c r="M541" s="192">
        <f t="shared" si="116"/>
        <v>5022525.4559999993</v>
      </c>
      <c r="N541" s="193"/>
    </row>
    <row r="542" spans="1:14" customFormat="1" x14ac:dyDescent="0.25">
      <c r="A542" s="13">
        <f t="shared" si="122"/>
        <v>71</v>
      </c>
      <c r="B542" s="184"/>
      <c r="C542" s="52">
        <f t="shared" si="118"/>
        <v>2211</v>
      </c>
      <c r="D542" s="52" t="s">
        <v>100</v>
      </c>
      <c r="E542" s="60">
        <f>(29.49)*(10.764)</f>
        <v>317.43035999999995</v>
      </c>
      <c r="F542" s="60">
        <v>0</v>
      </c>
      <c r="G542" s="60">
        <f t="shared" si="115"/>
        <v>317.43035999999995</v>
      </c>
      <c r="H542" s="60">
        <f t="shared" si="117"/>
        <v>380.91643199999993</v>
      </c>
      <c r="I542" s="32">
        <f t="shared" si="119"/>
        <v>222201.25199999998</v>
      </c>
      <c r="J542" s="32">
        <f t="shared" si="120"/>
        <v>4761455.3999999994</v>
      </c>
      <c r="K542" s="137">
        <f t="shared" si="121"/>
        <v>952291.07999999984</v>
      </c>
      <c r="L542" s="138">
        <v>11000</v>
      </c>
      <c r="M542" s="192">
        <f t="shared" si="116"/>
        <v>4983656.6519999998</v>
      </c>
      <c r="N542" s="193"/>
    </row>
    <row r="543" spans="1:14" customFormat="1" x14ac:dyDescent="0.25">
      <c r="A543" s="13">
        <f t="shared" si="122"/>
        <v>72</v>
      </c>
      <c r="B543" s="185"/>
      <c r="C543" s="52">
        <f t="shared" si="118"/>
        <v>2212</v>
      </c>
      <c r="D543" s="52" t="s">
        <v>100</v>
      </c>
      <c r="E543" s="60">
        <f>(29.49)*(10.764)</f>
        <v>317.43035999999995</v>
      </c>
      <c r="F543" s="60">
        <v>0</v>
      </c>
      <c r="G543" s="60">
        <f t="shared" si="115"/>
        <v>317.43035999999995</v>
      </c>
      <c r="H543" s="60">
        <f t="shared" si="117"/>
        <v>380.91643199999993</v>
      </c>
      <c r="I543" s="32">
        <f t="shared" si="119"/>
        <v>222201.25199999998</v>
      </c>
      <c r="J543" s="32">
        <f t="shared" si="120"/>
        <v>4761455.3999999994</v>
      </c>
      <c r="K543" s="137">
        <f t="shared" si="121"/>
        <v>952291.07999999984</v>
      </c>
      <c r="L543" s="138">
        <v>11000</v>
      </c>
      <c r="M543" s="192">
        <f t="shared" si="116"/>
        <v>4983656.6519999998</v>
      </c>
      <c r="N543" s="193"/>
    </row>
    <row r="544" spans="1:14" customFormat="1" x14ac:dyDescent="0.25">
      <c r="A544" s="13">
        <f t="shared" si="122"/>
        <v>73</v>
      </c>
      <c r="B544" s="183" t="s">
        <v>670</v>
      </c>
      <c r="C544" s="52">
        <f>LEFT(B544,SUM(LEN(B544)-LEN(SUBSTITUTE(B544,{"0","1","2","3","4","5","6","7","8","9"},""))))*100+1</f>
        <v>2301</v>
      </c>
      <c r="D544" s="52" t="s">
        <v>100</v>
      </c>
      <c r="E544" s="60">
        <f>(29.49)*(10.764)</f>
        <v>317.43035999999995</v>
      </c>
      <c r="F544" s="60">
        <v>0</v>
      </c>
      <c r="G544" s="60">
        <f>E544+(IF(F544&lt;101,F544,IF(F544&lt;201,F544/2,IF(F544&lt;=301,F544/3,F544/4))))</f>
        <v>317.43035999999995</v>
      </c>
      <c r="H544" s="60">
        <f t="shared" si="117"/>
        <v>380.91643199999993</v>
      </c>
      <c r="I544" s="32">
        <f t="shared" si="119"/>
        <v>222201.25199999998</v>
      </c>
      <c r="J544" s="32">
        <f t="shared" si="120"/>
        <v>4761455.3999999994</v>
      </c>
      <c r="K544" s="137">
        <f t="shared" si="121"/>
        <v>952291.07999999984</v>
      </c>
      <c r="L544" s="138">
        <v>11000</v>
      </c>
      <c r="M544" s="192">
        <f>J544+I544</f>
        <v>4983656.6519999998</v>
      </c>
      <c r="N544" s="193"/>
    </row>
    <row r="545" spans="1:17" customFormat="1" x14ac:dyDescent="0.25">
      <c r="A545" s="13">
        <f t="shared" si="122"/>
        <v>74</v>
      </c>
      <c r="B545" s="184"/>
      <c r="C545" s="52">
        <f t="shared" ref="C545:C555" si="123">C544+1</f>
        <v>2302</v>
      </c>
      <c r="D545" s="52" t="s">
        <v>100</v>
      </c>
      <c r="E545" s="60">
        <f>(29.49)*(10.764)</f>
        <v>317.43035999999995</v>
      </c>
      <c r="F545" s="60">
        <v>0</v>
      </c>
      <c r="G545" s="60">
        <f t="shared" ref="G545:G555" si="124">E545+(IF(F545&lt;101,F545,IF(F545&lt;201,F545/2,IF(F545&lt;=301,F545/3,F545/4))))</f>
        <v>317.43035999999995</v>
      </c>
      <c r="H545" s="60">
        <f t="shared" si="117"/>
        <v>380.91643199999993</v>
      </c>
      <c r="I545" s="32">
        <f t="shared" si="119"/>
        <v>222201.25199999998</v>
      </c>
      <c r="J545" s="32">
        <f t="shared" si="120"/>
        <v>4761455.3999999994</v>
      </c>
      <c r="K545" s="137">
        <f t="shared" si="121"/>
        <v>952291.07999999984</v>
      </c>
      <c r="L545" s="138">
        <v>11000</v>
      </c>
      <c r="M545" s="192">
        <f t="shared" ref="M545:M555" si="125">J545+I545</f>
        <v>4983656.6519999998</v>
      </c>
      <c r="N545" s="193"/>
    </row>
    <row r="546" spans="1:17" customFormat="1" x14ac:dyDescent="0.25">
      <c r="A546" s="13">
        <f t="shared" si="122"/>
        <v>75</v>
      </c>
      <c r="B546" s="184"/>
      <c r="C546" s="52">
        <f t="shared" si="123"/>
        <v>2303</v>
      </c>
      <c r="D546" s="52" t="s">
        <v>100</v>
      </c>
      <c r="E546" s="60">
        <f>(29.72)*(10.764)</f>
        <v>319.90607999999997</v>
      </c>
      <c r="F546" s="60">
        <v>0</v>
      </c>
      <c r="G546" s="60">
        <f t="shared" si="124"/>
        <v>319.90607999999997</v>
      </c>
      <c r="H546" s="60">
        <f t="shared" si="117"/>
        <v>383.88729599999994</v>
      </c>
      <c r="I546" s="32">
        <f t="shared" si="119"/>
        <v>223934.25599999999</v>
      </c>
      <c r="J546" s="32">
        <f t="shared" si="120"/>
        <v>4798591.1999999993</v>
      </c>
      <c r="K546" s="137">
        <f t="shared" si="121"/>
        <v>959718.23999999987</v>
      </c>
      <c r="L546" s="138">
        <v>11000</v>
      </c>
      <c r="M546" s="192">
        <f t="shared" si="125"/>
        <v>5022525.4559999993</v>
      </c>
      <c r="N546" s="193"/>
    </row>
    <row r="547" spans="1:17" customFormat="1" x14ac:dyDescent="0.25">
      <c r="A547" s="13">
        <f t="shared" si="122"/>
        <v>76</v>
      </c>
      <c r="B547" s="184"/>
      <c r="C547" s="52">
        <f t="shared" si="123"/>
        <v>2304</v>
      </c>
      <c r="D547" s="52" t="s">
        <v>104</v>
      </c>
      <c r="E547" s="60">
        <f>(48.01)*(10.764)</f>
        <v>516.77963999999997</v>
      </c>
      <c r="F547" s="60">
        <v>0</v>
      </c>
      <c r="G547" s="60">
        <f t="shared" si="124"/>
        <v>516.77963999999997</v>
      </c>
      <c r="H547" s="60">
        <f t="shared" si="117"/>
        <v>620.13556799999992</v>
      </c>
      <c r="I547" s="32">
        <f t="shared" si="119"/>
        <v>361745.74799999996</v>
      </c>
      <c r="J547" s="32">
        <f t="shared" si="120"/>
        <v>7751694.5999999996</v>
      </c>
      <c r="K547" s="137">
        <f t="shared" si="121"/>
        <v>1550338.9199999997</v>
      </c>
      <c r="L547" s="138">
        <v>16000</v>
      </c>
      <c r="M547" s="192">
        <f t="shared" si="125"/>
        <v>8113440.3479999993</v>
      </c>
      <c r="N547" s="193"/>
    </row>
    <row r="548" spans="1:17" customFormat="1" x14ac:dyDescent="0.25">
      <c r="A548" s="13">
        <f t="shared" si="122"/>
        <v>77</v>
      </c>
      <c r="B548" s="184"/>
      <c r="C548" s="52">
        <f t="shared" si="123"/>
        <v>2305</v>
      </c>
      <c r="D548" s="52" t="s">
        <v>104</v>
      </c>
      <c r="E548" s="60">
        <f>(49.83)*(10.764)</f>
        <v>536.37011999999993</v>
      </c>
      <c r="F548" s="60">
        <v>0</v>
      </c>
      <c r="G548" s="60">
        <f t="shared" si="124"/>
        <v>536.37011999999993</v>
      </c>
      <c r="H548" s="60">
        <f t="shared" si="117"/>
        <v>643.64414399999987</v>
      </c>
      <c r="I548" s="32">
        <f t="shared" si="119"/>
        <v>375459.08399999997</v>
      </c>
      <c r="J548" s="32">
        <f t="shared" si="120"/>
        <v>8045551.7999999989</v>
      </c>
      <c r="K548" s="137">
        <f t="shared" si="121"/>
        <v>1609110.3599999996</v>
      </c>
      <c r="L548" s="138">
        <v>16000</v>
      </c>
      <c r="M548" s="192">
        <f t="shared" si="125"/>
        <v>8421010.8839999996</v>
      </c>
      <c r="N548" s="193"/>
    </row>
    <row r="549" spans="1:17" customFormat="1" x14ac:dyDescent="0.25">
      <c r="A549" s="13">
        <f t="shared" si="122"/>
        <v>78</v>
      </c>
      <c r="B549" s="184"/>
      <c r="C549" s="52">
        <f t="shared" si="123"/>
        <v>2306</v>
      </c>
      <c r="D549" s="52" t="s">
        <v>104</v>
      </c>
      <c r="E549" s="60">
        <f>(49.78)*(10.764)</f>
        <v>535.83191999999997</v>
      </c>
      <c r="F549" s="60">
        <v>0</v>
      </c>
      <c r="G549" s="60">
        <f t="shared" si="124"/>
        <v>535.83191999999997</v>
      </c>
      <c r="H549" s="60">
        <f t="shared" si="117"/>
        <v>642.99830399999996</v>
      </c>
      <c r="I549" s="32">
        <f t="shared" si="119"/>
        <v>375082.34399999998</v>
      </c>
      <c r="J549" s="32">
        <f t="shared" si="120"/>
        <v>8037478.7999999998</v>
      </c>
      <c r="K549" s="137">
        <f t="shared" si="121"/>
        <v>1607495.76</v>
      </c>
      <c r="L549" s="138">
        <v>16000</v>
      </c>
      <c r="M549" s="192">
        <f t="shared" si="125"/>
        <v>8412561.1439999994</v>
      </c>
      <c r="N549" s="193"/>
    </row>
    <row r="550" spans="1:17" customFormat="1" x14ac:dyDescent="0.25">
      <c r="A550" s="13">
        <f t="shared" si="122"/>
        <v>79</v>
      </c>
      <c r="B550" s="184"/>
      <c r="C550" s="52">
        <f t="shared" si="123"/>
        <v>2307</v>
      </c>
      <c r="D550" s="52" t="s">
        <v>104</v>
      </c>
      <c r="E550" s="60">
        <f>(49.78)*(10.764)</f>
        <v>535.83191999999997</v>
      </c>
      <c r="F550" s="60">
        <v>0</v>
      </c>
      <c r="G550" s="60">
        <f t="shared" si="124"/>
        <v>535.83191999999997</v>
      </c>
      <c r="H550" s="60">
        <f t="shared" si="117"/>
        <v>642.99830399999996</v>
      </c>
      <c r="I550" s="32">
        <f t="shared" si="119"/>
        <v>375082.34399999998</v>
      </c>
      <c r="J550" s="32">
        <f t="shared" si="120"/>
        <v>8037478.7999999998</v>
      </c>
      <c r="K550" s="137">
        <f t="shared" si="121"/>
        <v>1607495.76</v>
      </c>
      <c r="L550" s="138">
        <v>16000</v>
      </c>
      <c r="M550" s="192">
        <f t="shared" si="125"/>
        <v>8412561.1439999994</v>
      </c>
      <c r="N550" s="193"/>
    </row>
    <row r="551" spans="1:17" customFormat="1" x14ac:dyDescent="0.25">
      <c r="A551" s="13">
        <f t="shared" si="122"/>
        <v>80</v>
      </c>
      <c r="B551" s="184"/>
      <c r="C551" s="52">
        <f t="shared" si="123"/>
        <v>2308</v>
      </c>
      <c r="D551" s="52" t="s">
        <v>104</v>
      </c>
      <c r="E551" s="60">
        <f>(49.83)*(10.764)</f>
        <v>536.37011999999993</v>
      </c>
      <c r="F551" s="60">
        <v>0</v>
      </c>
      <c r="G551" s="60">
        <f t="shared" si="124"/>
        <v>536.37011999999993</v>
      </c>
      <c r="H551" s="60">
        <f t="shared" si="117"/>
        <v>643.64414399999987</v>
      </c>
      <c r="I551" s="32">
        <f t="shared" si="119"/>
        <v>375459.08399999997</v>
      </c>
      <c r="J551" s="32">
        <f t="shared" si="120"/>
        <v>8045551.7999999989</v>
      </c>
      <c r="K551" s="137">
        <f t="shared" si="121"/>
        <v>1609110.3599999996</v>
      </c>
      <c r="L551" s="138">
        <v>16000</v>
      </c>
      <c r="M551" s="192">
        <f t="shared" si="125"/>
        <v>8421010.8839999996</v>
      </c>
      <c r="N551" s="193"/>
    </row>
    <row r="552" spans="1:17" customFormat="1" x14ac:dyDescent="0.25">
      <c r="A552" s="13">
        <f t="shared" si="122"/>
        <v>81</v>
      </c>
      <c r="B552" s="184"/>
      <c r="C552" s="52">
        <f t="shared" si="123"/>
        <v>2309</v>
      </c>
      <c r="D552" s="52" t="s">
        <v>104</v>
      </c>
      <c r="E552" s="60">
        <f>(48.01)*(10.764)</f>
        <v>516.77963999999997</v>
      </c>
      <c r="F552" s="60">
        <v>0</v>
      </c>
      <c r="G552" s="60">
        <f t="shared" si="124"/>
        <v>516.77963999999997</v>
      </c>
      <c r="H552" s="60">
        <f t="shared" si="117"/>
        <v>620.13556799999992</v>
      </c>
      <c r="I552" s="32">
        <f t="shared" si="119"/>
        <v>361745.74799999996</v>
      </c>
      <c r="J552" s="32">
        <f t="shared" si="120"/>
        <v>7751694.5999999996</v>
      </c>
      <c r="K552" s="137">
        <f t="shared" si="121"/>
        <v>1550338.9199999997</v>
      </c>
      <c r="L552" s="138">
        <v>16000</v>
      </c>
      <c r="M552" s="192">
        <f t="shared" si="125"/>
        <v>8113440.3479999993</v>
      </c>
      <c r="N552" s="193"/>
    </row>
    <row r="553" spans="1:17" customFormat="1" x14ac:dyDescent="0.25">
      <c r="A553" s="13">
        <f t="shared" si="122"/>
        <v>82</v>
      </c>
      <c r="B553" s="184"/>
      <c r="C553" s="52">
        <f t="shared" si="123"/>
        <v>2310</v>
      </c>
      <c r="D553" s="52" t="s">
        <v>100</v>
      </c>
      <c r="E553" s="60">
        <f>(29.72)*(10.764)</f>
        <v>319.90607999999997</v>
      </c>
      <c r="F553" s="60">
        <v>0</v>
      </c>
      <c r="G553" s="60">
        <f t="shared" si="124"/>
        <v>319.90607999999997</v>
      </c>
      <c r="H553" s="60">
        <f t="shared" si="117"/>
        <v>383.88729599999994</v>
      </c>
      <c r="I553" s="32">
        <f t="shared" si="119"/>
        <v>223934.25599999999</v>
      </c>
      <c r="J553" s="32">
        <f t="shared" si="120"/>
        <v>4798591.1999999993</v>
      </c>
      <c r="K553" s="137">
        <f t="shared" si="121"/>
        <v>959718.23999999987</v>
      </c>
      <c r="L553" s="138">
        <v>11000</v>
      </c>
      <c r="M553" s="192">
        <f t="shared" si="125"/>
        <v>5022525.4559999993</v>
      </c>
      <c r="N553" s="193"/>
    </row>
    <row r="554" spans="1:17" customFormat="1" x14ac:dyDescent="0.25">
      <c r="A554" s="13">
        <f t="shared" si="122"/>
        <v>83</v>
      </c>
      <c r="B554" s="184"/>
      <c r="C554" s="52">
        <f t="shared" si="123"/>
        <v>2311</v>
      </c>
      <c r="D554" s="52" t="s">
        <v>100</v>
      </c>
      <c r="E554" s="60">
        <f>(29.49)*(10.764)</f>
        <v>317.43035999999995</v>
      </c>
      <c r="F554" s="60">
        <v>0</v>
      </c>
      <c r="G554" s="60">
        <f t="shared" si="124"/>
        <v>317.43035999999995</v>
      </c>
      <c r="H554" s="60">
        <f t="shared" si="117"/>
        <v>380.91643199999993</v>
      </c>
      <c r="I554" s="32">
        <f t="shared" si="119"/>
        <v>222201.25199999998</v>
      </c>
      <c r="J554" s="32">
        <f t="shared" si="120"/>
        <v>4761455.3999999994</v>
      </c>
      <c r="K554" s="137">
        <f t="shared" si="121"/>
        <v>952291.07999999984</v>
      </c>
      <c r="L554" s="138">
        <v>11000</v>
      </c>
      <c r="M554" s="192">
        <f t="shared" si="125"/>
        <v>4983656.6519999998</v>
      </c>
      <c r="N554" s="193"/>
    </row>
    <row r="555" spans="1:17" customFormat="1" x14ac:dyDescent="0.25">
      <c r="A555" s="13">
        <f t="shared" si="122"/>
        <v>84</v>
      </c>
      <c r="B555" s="185"/>
      <c r="C555" s="52">
        <f t="shared" si="123"/>
        <v>2312</v>
      </c>
      <c r="D555" s="52" t="s">
        <v>100</v>
      </c>
      <c r="E555" s="60">
        <f>(29.49)*(10.764)</f>
        <v>317.43035999999995</v>
      </c>
      <c r="F555" s="60">
        <v>0</v>
      </c>
      <c r="G555" s="60">
        <f t="shared" si="124"/>
        <v>317.43035999999995</v>
      </c>
      <c r="H555" s="60">
        <f t="shared" si="117"/>
        <v>380.91643199999993</v>
      </c>
      <c r="I555" s="32">
        <f t="shared" si="119"/>
        <v>222201.25199999998</v>
      </c>
      <c r="J555" s="32">
        <f t="shared" si="120"/>
        <v>4761455.3999999994</v>
      </c>
      <c r="K555" s="137">
        <f t="shared" si="121"/>
        <v>952291.07999999984</v>
      </c>
      <c r="L555" s="138">
        <v>11000</v>
      </c>
      <c r="M555" s="192">
        <f t="shared" si="125"/>
        <v>4983656.6519999998</v>
      </c>
      <c r="N555" s="193"/>
      <c r="Q555">
        <f>Q554*2</f>
        <v>0</v>
      </c>
    </row>
    <row r="556" spans="1:17" customFormat="1" hidden="1" x14ac:dyDescent="0.25">
      <c r="A556" s="13">
        <v>1</v>
      </c>
      <c r="B556" s="447" t="s">
        <v>605</v>
      </c>
      <c r="C556" s="52">
        <f>LEFT(B556,SUM(LEN(B556)-LEN(SUBSTITUTE(B556,{"0","1","2","3","4","5","6","7","8","9"},""))))*100+1</f>
        <v>1401</v>
      </c>
      <c r="D556" s="52" t="s">
        <v>428</v>
      </c>
      <c r="E556" s="52"/>
      <c r="F556" s="52"/>
      <c r="G556" s="52">
        <f t="shared" ref="G556:G577" si="126">E556+(IF(F556&lt;101,F556,IF(F556&lt;201,F556/2,IF(F556&lt;=301,F556/3,F556/4))))</f>
        <v>0</v>
      </c>
      <c r="H556" s="60">
        <f t="shared" ref="H556:H577" si="127">G556*1.2</f>
        <v>0</v>
      </c>
      <c r="I556" s="32">
        <f t="shared" ref="I556:I577" si="128">G556*I$288</f>
        <v>0</v>
      </c>
      <c r="J556" s="32">
        <f t="shared" ref="J556:J577" si="129">G556*$J$288</f>
        <v>0</v>
      </c>
      <c r="K556" s="137">
        <f t="shared" ref="K556:K577" si="130">$K$288*H556</f>
        <v>0</v>
      </c>
      <c r="L556" s="138"/>
      <c r="M556" s="192">
        <f t="shared" ref="M556:M577" si="131">J556+I556</f>
        <v>0</v>
      </c>
      <c r="N556" s="193"/>
    </row>
    <row r="557" spans="1:17" customFormat="1" hidden="1" x14ac:dyDescent="0.25">
      <c r="A557" s="13">
        <f t="shared" ref="A557:A577" si="132">A556+1</f>
        <v>2</v>
      </c>
      <c r="B557" s="448"/>
      <c r="C557" s="52">
        <f>C556+1</f>
        <v>1402</v>
      </c>
      <c r="D557" s="52" t="s">
        <v>104</v>
      </c>
      <c r="E557" s="52"/>
      <c r="F557" s="52"/>
      <c r="G557" s="52">
        <f t="shared" si="126"/>
        <v>0</v>
      </c>
      <c r="H557" s="60">
        <f t="shared" si="127"/>
        <v>0</v>
      </c>
      <c r="I557" s="32">
        <f t="shared" si="128"/>
        <v>0</v>
      </c>
      <c r="J557" s="32">
        <f t="shared" si="129"/>
        <v>0</v>
      </c>
      <c r="K557" s="137">
        <f t="shared" si="130"/>
        <v>0</v>
      </c>
      <c r="L557" s="138"/>
      <c r="M557" s="192">
        <f t="shared" si="131"/>
        <v>0</v>
      </c>
      <c r="N557" s="193"/>
    </row>
    <row r="558" spans="1:17" customFormat="1" hidden="1" x14ac:dyDescent="0.25">
      <c r="A558" s="13">
        <f t="shared" si="132"/>
        <v>3</v>
      </c>
      <c r="B558" s="448"/>
      <c r="C558" s="52">
        <f t="shared" ref="C558:C561" si="133">C557+1</f>
        <v>1403</v>
      </c>
      <c r="D558" s="52" t="s">
        <v>104</v>
      </c>
      <c r="E558" s="52"/>
      <c r="F558" s="52"/>
      <c r="G558" s="52">
        <f t="shared" si="126"/>
        <v>0</v>
      </c>
      <c r="H558" s="60">
        <f t="shared" si="127"/>
        <v>0</v>
      </c>
      <c r="I558" s="32">
        <f t="shared" si="128"/>
        <v>0</v>
      </c>
      <c r="J558" s="32">
        <f t="shared" si="129"/>
        <v>0</v>
      </c>
      <c r="K558" s="137">
        <f t="shared" si="130"/>
        <v>0</v>
      </c>
      <c r="L558" s="138"/>
      <c r="M558" s="192">
        <f t="shared" si="131"/>
        <v>0</v>
      </c>
      <c r="N558" s="193"/>
    </row>
    <row r="559" spans="1:17" customFormat="1" hidden="1" x14ac:dyDescent="0.25">
      <c r="A559" s="13">
        <f t="shared" si="132"/>
        <v>4</v>
      </c>
      <c r="B559" s="448"/>
      <c r="C559" s="52">
        <f t="shared" si="133"/>
        <v>1404</v>
      </c>
      <c r="D559" s="52" t="s">
        <v>428</v>
      </c>
      <c r="E559" s="52"/>
      <c r="F559" s="52"/>
      <c r="G559" s="52">
        <f t="shared" si="126"/>
        <v>0</v>
      </c>
      <c r="H559" s="60">
        <f t="shared" si="127"/>
        <v>0</v>
      </c>
      <c r="I559" s="32">
        <f t="shared" si="128"/>
        <v>0</v>
      </c>
      <c r="J559" s="32">
        <f t="shared" si="129"/>
        <v>0</v>
      </c>
      <c r="K559" s="137">
        <f t="shared" si="130"/>
        <v>0</v>
      </c>
      <c r="L559" s="138"/>
      <c r="M559" s="192">
        <f t="shared" si="131"/>
        <v>0</v>
      </c>
      <c r="N559" s="193"/>
    </row>
    <row r="560" spans="1:17" customFormat="1" hidden="1" x14ac:dyDescent="0.25">
      <c r="A560" s="13">
        <f t="shared" si="132"/>
        <v>5</v>
      </c>
      <c r="B560" s="448"/>
      <c r="C560" s="52">
        <f t="shared" si="133"/>
        <v>1405</v>
      </c>
      <c r="D560" s="52" t="s">
        <v>104</v>
      </c>
      <c r="E560" s="52"/>
      <c r="F560" s="52"/>
      <c r="G560" s="52">
        <f t="shared" si="126"/>
        <v>0</v>
      </c>
      <c r="H560" s="60">
        <f t="shared" si="127"/>
        <v>0</v>
      </c>
      <c r="I560" s="32">
        <f t="shared" si="128"/>
        <v>0</v>
      </c>
      <c r="J560" s="32">
        <f t="shared" si="129"/>
        <v>0</v>
      </c>
      <c r="K560" s="137">
        <f t="shared" si="130"/>
        <v>0</v>
      </c>
      <c r="L560" s="138"/>
      <c r="M560" s="192">
        <f t="shared" si="131"/>
        <v>0</v>
      </c>
      <c r="N560" s="193"/>
    </row>
    <row r="561" spans="1:14" customFormat="1" hidden="1" x14ac:dyDescent="0.25">
      <c r="A561" s="13">
        <f t="shared" si="132"/>
        <v>6</v>
      </c>
      <c r="B561" s="449"/>
      <c r="C561" s="52">
        <f t="shared" si="133"/>
        <v>1406</v>
      </c>
      <c r="D561" s="52" t="s">
        <v>104</v>
      </c>
      <c r="E561" s="52"/>
      <c r="F561" s="52"/>
      <c r="G561" s="52">
        <f t="shared" si="126"/>
        <v>0</v>
      </c>
      <c r="H561" s="60">
        <f t="shared" si="127"/>
        <v>0</v>
      </c>
      <c r="I561" s="32">
        <f t="shared" si="128"/>
        <v>0</v>
      </c>
      <c r="J561" s="32">
        <f t="shared" si="129"/>
        <v>0</v>
      </c>
      <c r="K561" s="137">
        <f t="shared" si="130"/>
        <v>0</v>
      </c>
      <c r="L561" s="138"/>
      <c r="M561" s="192">
        <f t="shared" si="131"/>
        <v>0</v>
      </c>
      <c r="N561" s="193"/>
    </row>
    <row r="562" spans="1:14" customFormat="1" hidden="1" x14ac:dyDescent="0.25">
      <c r="A562" s="13">
        <f>A561+1</f>
        <v>7</v>
      </c>
      <c r="B562" s="447" t="s">
        <v>606</v>
      </c>
      <c r="C562" s="52">
        <f>LEFT(B562,SUM(LEN(B562)-LEN(SUBSTITUTE(B562,{"0","1","2","3","4","5","6","7","8","9"},""))))*100+1</f>
        <v>1501</v>
      </c>
      <c r="D562" s="52" t="s">
        <v>428</v>
      </c>
      <c r="E562" s="52"/>
      <c r="F562" s="52"/>
      <c r="G562" s="52">
        <f t="shared" si="126"/>
        <v>0</v>
      </c>
      <c r="H562" s="60">
        <f t="shared" si="127"/>
        <v>0</v>
      </c>
      <c r="I562" s="32">
        <f t="shared" si="128"/>
        <v>0</v>
      </c>
      <c r="J562" s="32">
        <f t="shared" si="129"/>
        <v>0</v>
      </c>
      <c r="K562" s="137">
        <f t="shared" si="130"/>
        <v>0</v>
      </c>
      <c r="L562" s="138"/>
      <c r="M562" s="192">
        <f t="shared" si="131"/>
        <v>0</v>
      </c>
      <c r="N562" s="193"/>
    </row>
    <row r="563" spans="1:14" customFormat="1" hidden="1" x14ac:dyDescent="0.25">
      <c r="A563" s="13">
        <f t="shared" si="132"/>
        <v>8</v>
      </c>
      <c r="B563" s="448"/>
      <c r="C563" s="52">
        <f>C562+1</f>
        <v>1502</v>
      </c>
      <c r="D563" s="52" t="s">
        <v>104</v>
      </c>
      <c r="E563" s="52"/>
      <c r="F563" s="52"/>
      <c r="G563" s="52">
        <f t="shared" si="126"/>
        <v>0</v>
      </c>
      <c r="H563" s="60">
        <f t="shared" si="127"/>
        <v>0</v>
      </c>
      <c r="I563" s="32">
        <f t="shared" si="128"/>
        <v>0</v>
      </c>
      <c r="J563" s="32">
        <f t="shared" si="129"/>
        <v>0</v>
      </c>
      <c r="K563" s="137">
        <f t="shared" si="130"/>
        <v>0</v>
      </c>
      <c r="L563" s="138"/>
      <c r="M563" s="192">
        <f t="shared" si="131"/>
        <v>0</v>
      </c>
      <c r="N563" s="193"/>
    </row>
    <row r="564" spans="1:14" customFormat="1" hidden="1" x14ac:dyDescent="0.25">
      <c r="A564" s="13">
        <f t="shared" si="132"/>
        <v>9</v>
      </c>
      <c r="B564" s="448"/>
      <c r="C564" s="52">
        <f t="shared" ref="C564:C567" si="134">C563+1</f>
        <v>1503</v>
      </c>
      <c r="D564" s="52" t="s">
        <v>104</v>
      </c>
      <c r="E564" s="52"/>
      <c r="F564" s="52"/>
      <c r="G564" s="52">
        <f t="shared" si="126"/>
        <v>0</v>
      </c>
      <c r="H564" s="60">
        <f t="shared" si="127"/>
        <v>0</v>
      </c>
      <c r="I564" s="32">
        <f t="shared" si="128"/>
        <v>0</v>
      </c>
      <c r="J564" s="32">
        <f t="shared" si="129"/>
        <v>0</v>
      </c>
      <c r="K564" s="137">
        <f t="shared" si="130"/>
        <v>0</v>
      </c>
      <c r="L564" s="138"/>
      <c r="M564" s="192">
        <f t="shared" si="131"/>
        <v>0</v>
      </c>
      <c r="N564" s="193"/>
    </row>
    <row r="565" spans="1:14" customFormat="1" hidden="1" x14ac:dyDescent="0.25">
      <c r="A565" s="13">
        <f t="shared" si="132"/>
        <v>10</v>
      </c>
      <c r="B565" s="448"/>
      <c r="C565" s="52">
        <f t="shared" si="134"/>
        <v>1504</v>
      </c>
      <c r="D565" s="52" t="s">
        <v>428</v>
      </c>
      <c r="E565" s="52"/>
      <c r="F565" s="52"/>
      <c r="G565" s="52">
        <f t="shared" si="126"/>
        <v>0</v>
      </c>
      <c r="H565" s="60">
        <f t="shared" si="127"/>
        <v>0</v>
      </c>
      <c r="I565" s="32">
        <f t="shared" si="128"/>
        <v>0</v>
      </c>
      <c r="J565" s="32">
        <f t="shared" si="129"/>
        <v>0</v>
      </c>
      <c r="K565" s="137">
        <f t="shared" si="130"/>
        <v>0</v>
      </c>
      <c r="L565" s="138"/>
      <c r="M565" s="192">
        <f t="shared" si="131"/>
        <v>0</v>
      </c>
      <c r="N565" s="193"/>
    </row>
    <row r="566" spans="1:14" customFormat="1" hidden="1" x14ac:dyDescent="0.25">
      <c r="A566" s="13">
        <f t="shared" si="132"/>
        <v>11</v>
      </c>
      <c r="B566" s="448"/>
      <c r="C566" s="52">
        <f t="shared" si="134"/>
        <v>1505</v>
      </c>
      <c r="D566" s="52" t="s">
        <v>104</v>
      </c>
      <c r="E566" s="52"/>
      <c r="F566" s="52"/>
      <c r="G566" s="52">
        <f t="shared" si="126"/>
        <v>0</v>
      </c>
      <c r="H566" s="60">
        <f t="shared" si="127"/>
        <v>0</v>
      </c>
      <c r="I566" s="32">
        <f t="shared" si="128"/>
        <v>0</v>
      </c>
      <c r="J566" s="32">
        <f t="shared" si="129"/>
        <v>0</v>
      </c>
      <c r="K566" s="137">
        <f t="shared" si="130"/>
        <v>0</v>
      </c>
      <c r="L566" s="138"/>
      <c r="M566" s="192">
        <f t="shared" si="131"/>
        <v>0</v>
      </c>
      <c r="N566" s="193"/>
    </row>
    <row r="567" spans="1:14" customFormat="1" hidden="1" x14ac:dyDescent="0.25">
      <c r="A567" s="13">
        <f t="shared" si="132"/>
        <v>12</v>
      </c>
      <c r="B567" s="449"/>
      <c r="C567" s="52">
        <f t="shared" si="134"/>
        <v>1506</v>
      </c>
      <c r="D567" s="52" t="s">
        <v>104</v>
      </c>
      <c r="E567" s="52"/>
      <c r="F567" s="52"/>
      <c r="G567" s="52">
        <f t="shared" si="126"/>
        <v>0</v>
      </c>
      <c r="H567" s="60">
        <f t="shared" si="127"/>
        <v>0</v>
      </c>
      <c r="I567" s="32">
        <f t="shared" si="128"/>
        <v>0</v>
      </c>
      <c r="J567" s="32">
        <f t="shared" si="129"/>
        <v>0</v>
      </c>
      <c r="K567" s="137">
        <f t="shared" si="130"/>
        <v>0</v>
      </c>
      <c r="L567" s="138"/>
      <c r="M567" s="192">
        <f t="shared" si="131"/>
        <v>0</v>
      </c>
      <c r="N567" s="193"/>
    </row>
    <row r="568" spans="1:14" customFormat="1" hidden="1" x14ac:dyDescent="0.25">
      <c r="A568" s="13">
        <f>A567+1</f>
        <v>13</v>
      </c>
      <c r="B568" s="447" t="s">
        <v>607</v>
      </c>
      <c r="C568" s="52">
        <f>LEFT(B568,SUM(LEN(B568)-LEN(SUBSTITUTE(B568,{"0","1","2","3","4","5","6","7","8","9"},""))))*100+1</f>
        <v>1601</v>
      </c>
      <c r="D568" s="52" t="s">
        <v>428</v>
      </c>
      <c r="E568" s="52"/>
      <c r="F568" s="52"/>
      <c r="G568" s="52">
        <f t="shared" si="126"/>
        <v>0</v>
      </c>
      <c r="H568" s="60">
        <f t="shared" si="127"/>
        <v>0</v>
      </c>
      <c r="I568" s="32">
        <f t="shared" si="128"/>
        <v>0</v>
      </c>
      <c r="J568" s="32">
        <f t="shared" si="129"/>
        <v>0</v>
      </c>
      <c r="K568" s="137">
        <f t="shared" si="130"/>
        <v>0</v>
      </c>
      <c r="L568" s="138"/>
      <c r="M568" s="192">
        <f t="shared" si="131"/>
        <v>0</v>
      </c>
      <c r="N568" s="193"/>
    </row>
    <row r="569" spans="1:14" customFormat="1" hidden="1" x14ac:dyDescent="0.25">
      <c r="A569" s="13">
        <f t="shared" si="132"/>
        <v>14</v>
      </c>
      <c r="B569" s="448"/>
      <c r="C569" s="52">
        <f>C568+1</f>
        <v>1602</v>
      </c>
      <c r="D569" s="52" t="s">
        <v>104</v>
      </c>
      <c r="E569" s="52"/>
      <c r="F569" s="52"/>
      <c r="G569" s="52">
        <f t="shared" si="126"/>
        <v>0</v>
      </c>
      <c r="H569" s="60">
        <f t="shared" si="127"/>
        <v>0</v>
      </c>
      <c r="I569" s="32">
        <f t="shared" si="128"/>
        <v>0</v>
      </c>
      <c r="J569" s="32">
        <f t="shared" si="129"/>
        <v>0</v>
      </c>
      <c r="K569" s="137">
        <f t="shared" si="130"/>
        <v>0</v>
      </c>
      <c r="L569" s="138"/>
      <c r="M569" s="192">
        <f t="shared" si="131"/>
        <v>0</v>
      </c>
      <c r="N569" s="193"/>
    </row>
    <row r="570" spans="1:14" customFormat="1" hidden="1" x14ac:dyDescent="0.25">
      <c r="A570" s="13">
        <f t="shared" si="132"/>
        <v>15</v>
      </c>
      <c r="B570" s="448"/>
      <c r="C570" s="52">
        <f t="shared" ref="C570:C573" si="135">C569+1</f>
        <v>1603</v>
      </c>
      <c r="D570" s="52" t="s">
        <v>104</v>
      </c>
      <c r="E570" s="52"/>
      <c r="F570" s="52"/>
      <c r="G570" s="52">
        <f t="shared" si="126"/>
        <v>0</v>
      </c>
      <c r="H570" s="60">
        <f t="shared" si="127"/>
        <v>0</v>
      </c>
      <c r="I570" s="32">
        <f t="shared" si="128"/>
        <v>0</v>
      </c>
      <c r="J570" s="32">
        <f t="shared" si="129"/>
        <v>0</v>
      </c>
      <c r="K570" s="137">
        <f t="shared" si="130"/>
        <v>0</v>
      </c>
      <c r="L570" s="138"/>
      <c r="M570" s="192">
        <f t="shared" si="131"/>
        <v>0</v>
      </c>
      <c r="N570" s="193"/>
    </row>
    <row r="571" spans="1:14" customFormat="1" hidden="1" x14ac:dyDescent="0.25">
      <c r="A571" s="13">
        <f t="shared" si="132"/>
        <v>16</v>
      </c>
      <c r="B571" s="448"/>
      <c r="C571" s="52">
        <f t="shared" si="135"/>
        <v>1604</v>
      </c>
      <c r="D571" s="52" t="s">
        <v>428</v>
      </c>
      <c r="E571" s="52"/>
      <c r="F571" s="52"/>
      <c r="G571" s="52">
        <f t="shared" si="126"/>
        <v>0</v>
      </c>
      <c r="H571" s="60">
        <f t="shared" si="127"/>
        <v>0</v>
      </c>
      <c r="I571" s="32">
        <f t="shared" si="128"/>
        <v>0</v>
      </c>
      <c r="J571" s="32">
        <f t="shared" si="129"/>
        <v>0</v>
      </c>
      <c r="K571" s="137">
        <f t="shared" si="130"/>
        <v>0</v>
      </c>
      <c r="L571" s="138"/>
      <c r="M571" s="192">
        <f t="shared" si="131"/>
        <v>0</v>
      </c>
      <c r="N571" s="193"/>
    </row>
    <row r="572" spans="1:14" customFormat="1" hidden="1" x14ac:dyDescent="0.25">
      <c r="A572" s="13">
        <f t="shared" si="132"/>
        <v>17</v>
      </c>
      <c r="B572" s="448"/>
      <c r="C572" s="52">
        <f t="shared" si="135"/>
        <v>1605</v>
      </c>
      <c r="D572" s="52" t="s">
        <v>104</v>
      </c>
      <c r="E572" s="52"/>
      <c r="F572" s="52"/>
      <c r="G572" s="52">
        <f t="shared" si="126"/>
        <v>0</v>
      </c>
      <c r="H572" s="60">
        <f t="shared" si="127"/>
        <v>0</v>
      </c>
      <c r="I572" s="32">
        <f t="shared" si="128"/>
        <v>0</v>
      </c>
      <c r="J572" s="32">
        <f t="shared" si="129"/>
        <v>0</v>
      </c>
      <c r="K572" s="137">
        <f t="shared" si="130"/>
        <v>0</v>
      </c>
      <c r="L572" s="138"/>
      <c r="M572" s="192">
        <f t="shared" si="131"/>
        <v>0</v>
      </c>
      <c r="N572" s="193"/>
    </row>
    <row r="573" spans="1:14" customFormat="1" hidden="1" x14ac:dyDescent="0.25">
      <c r="A573" s="13">
        <f t="shared" si="132"/>
        <v>18</v>
      </c>
      <c r="B573" s="449"/>
      <c r="C573" s="52">
        <f t="shared" si="135"/>
        <v>1606</v>
      </c>
      <c r="D573" s="52" t="s">
        <v>104</v>
      </c>
      <c r="E573" s="52"/>
      <c r="F573" s="52"/>
      <c r="G573" s="52">
        <f t="shared" si="126"/>
        <v>0</v>
      </c>
      <c r="H573" s="60">
        <f t="shared" si="127"/>
        <v>0</v>
      </c>
      <c r="I573" s="32">
        <f t="shared" si="128"/>
        <v>0</v>
      </c>
      <c r="J573" s="32">
        <f t="shared" si="129"/>
        <v>0</v>
      </c>
      <c r="K573" s="137">
        <f t="shared" si="130"/>
        <v>0</v>
      </c>
      <c r="L573" s="138"/>
      <c r="M573" s="192">
        <f t="shared" si="131"/>
        <v>0</v>
      </c>
      <c r="N573" s="193"/>
    </row>
    <row r="574" spans="1:14" customFormat="1" hidden="1" x14ac:dyDescent="0.25">
      <c r="A574" s="13">
        <f>A573+1</f>
        <v>19</v>
      </c>
      <c r="B574" s="447" t="s">
        <v>608</v>
      </c>
      <c r="C574" s="52">
        <f>LEFT(B574,SUM(LEN(B574)-LEN(SUBSTITUTE(B574,{"0","1","2","3","4","5","6","7","8","9"},""))))*100+1</f>
        <v>1701</v>
      </c>
      <c r="D574" s="52" t="s">
        <v>428</v>
      </c>
      <c r="E574" s="52"/>
      <c r="F574" s="52"/>
      <c r="G574" s="52">
        <f t="shared" si="126"/>
        <v>0</v>
      </c>
      <c r="H574" s="60">
        <f t="shared" si="127"/>
        <v>0</v>
      </c>
      <c r="I574" s="32">
        <f t="shared" si="128"/>
        <v>0</v>
      </c>
      <c r="J574" s="32">
        <f t="shared" si="129"/>
        <v>0</v>
      </c>
      <c r="K574" s="137">
        <f t="shared" si="130"/>
        <v>0</v>
      </c>
      <c r="L574" s="138"/>
      <c r="M574" s="192">
        <f t="shared" si="131"/>
        <v>0</v>
      </c>
      <c r="N574" s="193"/>
    </row>
    <row r="575" spans="1:14" customFormat="1" hidden="1" x14ac:dyDescent="0.25">
      <c r="A575" s="13">
        <f t="shared" si="132"/>
        <v>20</v>
      </c>
      <c r="B575" s="448"/>
      <c r="C575" s="52">
        <f>C574+1</f>
        <v>1702</v>
      </c>
      <c r="D575" s="52" t="s">
        <v>104</v>
      </c>
      <c r="E575" s="52"/>
      <c r="F575" s="52"/>
      <c r="G575" s="52">
        <f t="shared" si="126"/>
        <v>0</v>
      </c>
      <c r="H575" s="60">
        <f t="shared" si="127"/>
        <v>0</v>
      </c>
      <c r="I575" s="32">
        <f t="shared" si="128"/>
        <v>0</v>
      </c>
      <c r="J575" s="32">
        <f t="shared" si="129"/>
        <v>0</v>
      </c>
      <c r="K575" s="137">
        <f t="shared" si="130"/>
        <v>0</v>
      </c>
      <c r="L575" s="138"/>
      <c r="M575" s="192">
        <f t="shared" si="131"/>
        <v>0</v>
      </c>
      <c r="N575" s="193"/>
    </row>
    <row r="576" spans="1:14" customFormat="1" hidden="1" x14ac:dyDescent="0.25">
      <c r="A576" s="13">
        <f t="shared" si="132"/>
        <v>21</v>
      </c>
      <c r="B576" s="448"/>
      <c r="C576" s="52">
        <f t="shared" ref="C576:C577" si="136">C575+1</f>
        <v>1703</v>
      </c>
      <c r="D576" s="52" t="s">
        <v>104</v>
      </c>
      <c r="E576" s="52"/>
      <c r="F576" s="52"/>
      <c r="G576" s="52">
        <f t="shared" si="126"/>
        <v>0</v>
      </c>
      <c r="H576" s="60">
        <f t="shared" si="127"/>
        <v>0</v>
      </c>
      <c r="I576" s="32">
        <f t="shared" si="128"/>
        <v>0</v>
      </c>
      <c r="J576" s="32">
        <f t="shared" si="129"/>
        <v>0</v>
      </c>
      <c r="K576" s="137">
        <f t="shared" si="130"/>
        <v>0</v>
      </c>
      <c r="L576" s="138"/>
      <c r="M576" s="192">
        <f t="shared" si="131"/>
        <v>0</v>
      </c>
      <c r="N576" s="193"/>
    </row>
    <row r="577" spans="1:14" customFormat="1" hidden="1" x14ac:dyDescent="0.25">
      <c r="A577" s="13">
        <f t="shared" si="132"/>
        <v>22</v>
      </c>
      <c r="B577" s="448"/>
      <c r="C577" s="52">
        <f t="shared" si="136"/>
        <v>1704</v>
      </c>
      <c r="D577" s="52" t="s">
        <v>428</v>
      </c>
      <c r="E577" s="52"/>
      <c r="F577" s="52"/>
      <c r="G577" s="52">
        <f t="shared" si="126"/>
        <v>0</v>
      </c>
      <c r="H577" s="60">
        <f t="shared" si="127"/>
        <v>0</v>
      </c>
      <c r="I577" s="32">
        <f t="shared" si="128"/>
        <v>0</v>
      </c>
      <c r="J577" s="32">
        <f t="shared" si="129"/>
        <v>0</v>
      </c>
      <c r="K577" s="137">
        <f t="shared" si="130"/>
        <v>0</v>
      </c>
      <c r="L577" s="138"/>
      <c r="M577" s="192">
        <f t="shared" si="131"/>
        <v>0</v>
      </c>
      <c r="N577" s="193"/>
    </row>
    <row r="578" spans="1:14" customFormat="1" hidden="1" x14ac:dyDescent="0.25">
      <c r="A578" s="13" t="s">
        <v>171</v>
      </c>
      <c r="B578" s="448"/>
      <c r="C578" s="52" t="s">
        <v>171</v>
      </c>
      <c r="D578" s="186" t="s">
        <v>429</v>
      </c>
      <c r="E578" s="187"/>
      <c r="F578" s="187"/>
      <c r="G578" s="187"/>
      <c r="H578" s="187"/>
      <c r="I578" s="187"/>
      <c r="J578" s="187"/>
      <c r="K578" s="187"/>
      <c r="L578" s="187"/>
      <c r="M578" s="187"/>
      <c r="N578" s="188"/>
    </row>
    <row r="579" spans="1:14" customFormat="1" hidden="1" x14ac:dyDescent="0.25">
      <c r="A579" s="13">
        <v>23</v>
      </c>
      <c r="B579" s="449"/>
      <c r="C579" s="52">
        <v>1705</v>
      </c>
      <c r="D579" s="52" t="s">
        <v>104</v>
      </c>
      <c r="E579" s="52"/>
      <c r="F579" s="52"/>
      <c r="G579" s="52">
        <f>E579+(IF(F579&lt;101,F579,IF(F579&lt;201,F579/2,IF(F579&lt;=301,F579/3,F579/4))))</f>
        <v>0</v>
      </c>
      <c r="H579" s="60">
        <f>G579*1.2</f>
        <v>0</v>
      </c>
      <c r="I579" s="32">
        <f>G579*I$288</f>
        <v>0</v>
      </c>
      <c r="J579" s="32">
        <f>G579*$J$288</f>
        <v>0</v>
      </c>
      <c r="K579" s="137">
        <f t="shared" ref="K579" si="137">$K$288*H579</f>
        <v>0</v>
      </c>
      <c r="L579" s="138"/>
      <c r="M579" s="192">
        <f t="shared" ref="M579" si="138">J579+I579</f>
        <v>0</v>
      </c>
      <c r="N579" s="193"/>
    </row>
    <row r="580" spans="1:14" customFormat="1" hidden="1" x14ac:dyDescent="0.25">
      <c r="A580" s="403" t="s">
        <v>414</v>
      </c>
      <c r="B580" s="403"/>
      <c r="C580" s="403"/>
      <c r="D580" s="403"/>
      <c r="E580" s="403"/>
      <c r="F580" s="403"/>
      <c r="G580" s="403"/>
      <c r="H580" s="403"/>
      <c r="I580" s="403"/>
      <c r="J580" s="403"/>
      <c r="K580" s="403"/>
      <c r="L580" s="403"/>
      <c r="M580" s="403"/>
      <c r="N580" s="403"/>
    </row>
    <row r="581" spans="1:14" customFormat="1" hidden="1" x14ac:dyDescent="0.25">
      <c r="A581" s="13">
        <v>1</v>
      </c>
      <c r="B581" s="183" t="s">
        <v>609</v>
      </c>
      <c r="C581" s="52">
        <f>LEFT(B581,SUM(LEN(B581)-LEN(SUBSTITUTE(B581,{"0","1","2","3","4","5","6","7","8","9"},""))))*100+1</f>
        <v>1401</v>
      </c>
      <c r="D581" s="52" t="s">
        <v>428</v>
      </c>
      <c r="E581" s="52"/>
      <c r="F581" s="52"/>
      <c r="G581" s="52">
        <f t="shared" ref="G581:G602" si="139">E581+(IF(F581&lt;101,F581,IF(F581&lt;201,F581/2,IF(F581&lt;=301,F581/3,F581/4))))</f>
        <v>0</v>
      </c>
      <c r="H581" s="60">
        <f t="shared" ref="H581:H602" si="140">G581*1.2</f>
        <v>0</v>
      </c>
      <c r="I581" s="32">
        <f t="shared" ref="I581:I602" si="141">G581*I$288</f>
        <v>0</v>
      </c>
      <c r="J581" s="32">
        <f t="shared" ref="J581:J602" si="142">G581*$J$288</f>
        <v>0</v>
      </c>
      <c r="K581" s="137">
        <f t="shared" ref="K581:K602" si="143">$K$288*H581</f>
        <v>0</v>
      </c>
      <c r="L581" s="138"/>
      <c r="M581" s="192">
        <f t="shared" ref="M581:M602" si="144">J581+I581</f>
        <v>0</v>
      </c>
      <c r="N581" s="193"/>
    </row>
    <row r="582" spans="1:14" customFormat="1" hidden="1" x14ac:dyDescent="0.25">
      <c r="A582" s="13">
        <f t="shared" ref="A582:A610" si="145">A581+1</f>
        <v>2</v>
      </c>
      <c r="B582" s="184"/>
      <c r="C582" s="52">
        <f>C581+1</f>
        <v>1402</v>
      </c>
      <c r="D582" s="52" t="s">
        <v>104</v>
      </c>
      <c r="E582" s="52"/>
      <c r="F582" s="52"/>
      <c r="G582" s="52">
        <f t="shared" si="139"/>
        <v>0</v>
      </c>
      <c r="H582" s="60">
        <f t="shared" si="140"/>
        <v>0</v>
      </c>
      <c r="I582" s="32">
        <f t="shared" si="141"/>
        <v>0</v>
      </c>
      <c r="J582" s="32">
        <f t="shared" si="142"/>
        <v>0</v>
      </c>
      <c r="K582" s="137">
        <f t="shared" si="143"/>
        <v>0</v>
      </c>
      <c r="L582" s="138"/>
      <c r="M582" s="192">
        <f t="shared" si="144"/>
        <v>0</v>
      </c>
      <c r="N582" s="193"/>
    </row>
    <row r="583" spans="1:14" customFormat="1" hidden="1" x14ac:dyDescent="0.25">
      <c r="A583" s="13">
        <f t="shared" si="145"/>
        <v>3</v>
      </c>
      <c r="B583" s="184"/>
      <c r="C583" s="52">
        <f t="shared" ref="C583:C586" si="146">C582+1</f>
        <v>1403</v>
      </c>
      <c r="D583" s="52" t="s">
        <v>104</v>
      </c>
      <c r="E583" s="52"/>
      <c r="F583" s="52"/>
      <c r="G583" s="52">
        <f t="shared" si="139"/>
        <v>0</v>
      </c>
      <c r="H583" s="60">
        <f t="shared" si="140"/>
        <v>0</v>
      </c>
      <c r="I583" s="32">
        <f t="shared" si="141"/>
        <v>0</v>
      </c>
      <c r="J583" s="32">
        <f t="shared" si="142"/>
        <v>0</v>
      </c>
      <c r="K583" s="137">
        <f t="shared" si="143"/>
        <v>0</v>
      </c>
      <c r="L583" s="138"/>
      <c r="M583" s="192">
        <f t="shared" si="144"/>
        <v>0</v>
      </c>
      <c r="N583" s="193"/>
    </row>
    <row r="584" spans="1:14" customFormat="1" hidden="1" x14ac:dyDescent="0.25">
      <c r="A584" s="13">
        <f t="shared" si="145"/>
        <v>4</v>
      </c>
      <c r="B584" s="184"/>
      <c r="C584" s="52">
        <f t="shared" si="146"/>
        <v>1404</v>
      </c>
      <c r="D584" s="52" t="s">
        <v>428</v>
      </c>
      <c r="E584" s="52"/>
      <c r="F584" s="52"/>
      <c r="G584" s="52">
        <f t="shared" si="139"/>
        <v>0</v>
      </c>
      <c r="H584" s="60">
        <f t="shared" si="140"/>
        <v>0</v>
      </c>
      <c r="I584" s="32">
        <f t="shared" si="141"/>
        <v>0</v>
      </c>
      <c r="J584" s="32">
        <f t="shared" si="142"/>
        <v>0</v>
      </c>
      <c r="K584" s="137">
        <f t="shared" si="143"/>
        <v>0</v>
      </c>
      <c r="L584" s="138"/>
      <c r="M584" s="192">
        <f t="shared" si="144"/>
        <v>0</v>
      </c>
      <c r="N584" s="193"/>
    </row>
    <row r="585" spans="1:14" customFormat="1" hidden="1" x14ac:dyDescent="0.25">
      <c r="A585" s="13">
        <f t="shared" si="145"/>
        <v>5</v>
      </c>
      <c r="B585" s="184"/>
      <c r="C585" s="52">
        <f t="shared" si="146"/>
        <v>1405</v>
      </c>
      <c r="D585" s="52" t="s">
        <v>104</v>
      </c>
      <c r="E585" s="52"/>
      <c r="F585" s="52"/>
      <c r="G585" s="52">
        <f t="shared" si="139"/>
        <v>0</v>
      </c>
      <c r="H585" s="60">
        <f t="shared" si="140"/>
        <v>0</v>
      </c>
      <c r="I585" s="32">
        <f t="shared" si="141"/>
        <v>0</v>
      </c>
      <c r="J585" s="32">
        <f t="shared" si="142"/>
        <v>0</v>
      </c>
      <c r="K585" s="137">
        <f t="shared" si="143"/>
        <v>0</v>
      </c>
      <c r="L585" s="138"/>
      <c r="M585" s="192">
        <f t="shared" si="144"/>
        <v>0</v>
      </c>
      <c r="N585" s="193"/>
    </row>
    <row r="586" spans="1:14" customFormat="1" hidden="1" x14ac:dyDescent="0.25">
      <c r="A586" s="13">
        <f t="shared" si="145"/>
        <v>6</v>
      </c>
      <c r="B586" s="185"/>
      <c r="C586" s="52">
        <f t="shared" si="146"/>
        <v>1406</v>
      </c>
      <c r="D586" s="52" t="s">
        <v>104</v>
      </c>
      <c r="E586" s="52"/>
      <c r="F586" s="52"/>
      <c r="G586" s="52">
        <f t="shared" si="139"/>
        <v>0</v>
      </c>
      <c r="H586" s="60">
        <f t="shared" si="140"/>
        <v>0</v>
      </c>
      <c r="I586" s="32">
        <f t="shared" si="141"/>
        <v>0</v>
      </c>
      <c r="J586" s="32">
        <f t="shared" si="142"/>
        <v>0</v>
      </c>
      <c r="K586" s="137">
        <f t="shared" si="143"/>
        <v>0</v>
      </c>
      <c r="L586" s="138"/>
      <c r="M586" s="192">
        <f t="shared" si="144"/>
        <v>0</v>
      </c>
      <c r="N586" s="193"/>
    </row>
    <row r="587" spans="1:14" customFormat="1" hidden="1" x14ac:dyDescent="0.25">
      <c r="A587" s="13">
        <f>A586+1</f>
        <v>7</v>
      </c>
      <c r="B587" s="183" t="s">
        <v>610</v>
      </c>
      <c r="C587" s="52">
        <f>LEFT(B587,SUM(LEN(B587)-LEN(SUBSTITUTE(B587,{"0","1","2","3","4","5","6","7","8","9"},""))))*100+1</f>
        <v>1501</v>
      </c>
      <c r="D587" s="52" t="s">
        <v>428</v>
      </c>
      <c r="E587" s="52"/>
      <c r="F587" s="52"/>
      <c r="G587" s="52">
        <f t="shared" si="139"/>
        <v>0</v>
      </c>
      <c r="H587" s="60">
        <f t="shared" si="140"/>
        <v>0</v>
      </c>
      <c r="I587" s="32">
        <f t="shared" si="141"/>
        <v>0</v>
      </c>
      <c r="J587" s="32">
        <f t="shared" si="142"/>
        <v>0</v>
      </c>
      <c r="K587" s="137">
        <f t="shared" si="143"/>
        <v>0</v>
      </c>
      <c r="L587" s="138"/>
      <c r="M587" s="192">
        <f t="shared" si="144"/>
        <v>0</v>
      </c>
      <c r="N587" s="193"/>
    </row>
    <row r="588" spans="1:14" customFormat="1" hidden="1" x14ac:dyDescent="0.25">
      <c r="A588" s="13">
        <f t="shared" si="145"/>
        <v>8</v>
      </c>
      <c r="B588" s="184"/>
      <c r="C588" s="52">
        <f>C587+1</f>
        <v>1502</v>
      </c>
      <c r="D588" s="52" t="s">
        <v>104</v>
      </c>
      <c r="E588" s="52"/>
      <c r="F588" s="52"/>
      <c r="G588" s="52">
        <f t="shared" si="139"/>
        <v>0</v>
      </c>
      <c r="H588" s="60">
        <f t="shared" si="140"/>
        <v>0</v>
      </c>
      <c r="I588" s="32">
        <f t="shared" si="141"/>
        <v>0</v>
      </c>
      <c r="J588" s="32">
        <f t="shared" si="142"/>
        <v>0</v>
      </c>
      <c r="K588" s="137">
        <f t="shared" si="143"/>
        <v>0</v>
      </c>
      <c r="L588" s="138"/>
      <c r="M588" s="192">
        <f t="shared" si="144"/>
        <v>0</v>
      </c>
      <c r="N588" s="193"/>
    </row>
    <row r="589" spans="1:14" customFormat="1" hidden="1" x14ac:dyDescent="0.25">
      <c r="A589" s="13">
        <f t="shared" si="145"/>
        <v>9</v>
      </c>
      <c r="B589" s="184"/>
      <c r="C589" s="52">
        <f t="shared" ref="C589:C592" si="147">C588+1</f>
        <v>1503</v>
      </c>
      <c r="D589" s="52" t="s">
        <v>104</v>
      </c>
      <c r="E589" s="52"/>
      <c r="F589" s="52"/>
      <c r="G589" s="52">
        <f t="shared" si="139"/>
        <v>0</v>
      </c>
      <c r="H589" s="60">
        <f t="shared" si="140"/>
        <v>0</v>
      </c>
      <c r="I589" s="32">
        <f t="shared" si="141"/>
        <v>0</v>
      </c>
      <c r="J589" s="32">
        <f t="shared" si="142"/>
        <v>0</v>
      </c>
      <c r="K589" s="137">
        <f t="shared" si="143"/>
        <v>0</v>
      </c>
      <c r="L589" s="138"/>
      <c r="M589" s="192">
        <f t="shared" si="144"/>
        <v>0</v>
      </c>
      <c r="N589" s="193"/>
    </row>
    <row r="590" spans="1:14" customFormat="1" hidden="1" x14ac:dyDescent="0.25">
      <c r="A590" s="13">
        <f t="shared" si="145"/>
        <v>10</v>
      </c>
      <c r="B590" s="184"/>
      <c r="C590" s="52">
        <f t="shared" si="147"/>
        <v>1504</v>
      </c>
      <c r="D590" s="52" t="s">
        <v>428</v>
      </c>
      <c r="E590" s="52"/>
      <c r="F590" s="52"/>
      <c r="G590" s="52">
        <f t="shared" si="139"/>
        <v>0</v>
      </c>
      <c r="H590" s="60">
        <f t="shared" si="140"/>
        <v>0</v>
      </c>
      <c r="I590" s="32">
        <f t="shared" si="141"/>
        <v>0</v>
      </c>
      <c r="J590" s="32">
        <f t="shared" si="142"/>
        <v>0</v>
      </c>
      <c r="K590" s="137">
        <f t="shared" si="143"/>
        <v>0</v>
      </c>
      <c r="L590" s="138"/>
      <c r="M590" s="192">
        <f t="shared" si="144"/>
        <v>0</v>
      </c>
      <c r="N590" s="193"/>
    </row>
    <row r="591" spans="1:14" customFormat="1" hidden="1" x14ac:dyDescent="0.25">
      <c r="A591" s="13">
        <f t="shared" si="145"/>
        <v>11</v>
      </c>
      <c r="B591" s="184"/>
      <c r="C591" s="52">
        <f t="shared" si="147"/>
        <v>1505</v>
      </c>
      <c r="D591" s="52" t="s">
        <v>104</v>
      </c>
      <c r="E591" s="52"/>
      <c r="F591" s="52"/>
      <c r="G591" s="52">
        <f t="shared" si="139"/>
        <v>0</v>
      </c>
      <c r="H591" s="60">
        <f t="shared" si="140"/>
        <v>0</v>
      </c>
      <c r="I591" s="32">
        <f t="shared" si="141"/>
        <v>0</v>
      </c>
      <c r="J591" s="32">
        <f t="shared" si="142"/>
        <v>0</v>
      </c>
      <c r="K591" s="137">
        <f t="shared" si="143"/>
        <v>0</v>
      </c>
      <c r="L591" s="138"/>
      <c r="M591" s="192">
        <f t="shared" si="144"/>
        <v>0</v>
      </c>
      <c r="N591" s="193"/>
    </row>
    <row r="592" spans="1:14" customFormat="1" hidden="1" x14ac:dyDescent="0.25">
      <c r="A592" s="13">
        <f t="shared" si="145"/>
        <v>12</v>
      </c>
      <c r="B592" s="185"/>
      <c r="C592" s="52">
        <f t="shared" si="147"/>
        <v>1506</v>
      </c>
      <c r="D592" s="52" t="s">
        <v>104</v>
      </c>
      <c r="E592" s="52"/>
      <c r="F592" s="52"/>
      <c r="G592" s="52">
        <f t="shared" si="139"/>
        <v>0</v>
      </c>
      <c r="H592" s="60">
        <f t="shared" si="140"/>
        <v>0</v>
      </c>
      <c r="I592" s="32">
        <f t="shared" si="141"/>
        <v>0</v>
      </c>
      <c r="J592" s="32">
        <f t="shared" si="142"/>
        <v>0</v>
      </c>
      <c r="K592" s="137">
        <f t="shared" si="143"/>
        <v>0</v>
      </c>
      <c r="L592" s="138"/>
      <c r="M592" s="192">
        <f t="shared" si="144"/>
        <v>0</v>
      </c>
      <c r="N592" s="193"/>
    </row>
    <row r="593" spans="1:14" customFormat="1" hidden="1" x14ac:dyDescent="0.25">
      <c r="A593" s="13">
        <f>A592+1</f>
        <v>13</v>
      </c>
      <c r="B593" s="183" t="s">
        <v>611</v>
      </c>
      <c r="C593" s="52">
        <f>LEFT(B593,SUM(LEN(B593)-LEN(SUBSTITUTE(B593,{"0","1","2","3","4","5","6","7","8","9"},""))))*100+1</f>
        <v>1601</v>
      </c>
      <c r="D593" s="52" t="s">
        <v>428</v>
      </c>
      <c r="E593" s="52"/>
      <c r="F593" s="52"/>
      <c r="G593" s="52">
        <f t="shared" si="139"/>
        <v>0</v>
      </c>
      <c r="H593" s="60">
        <f t="shared" si="140"/>
        <v>0</v>
      </c>
      <c r="I593" s="32">
        <f t="shared" si="141"/>
        <v>0</v>
      </c>
      <c r="J593" s="32">
        <f t="shared" si="142"/>
        <v>0</v>
      </c>
      <c r="K593" s="137">
        <f t="shared" si="143"/>
        <v>0</v>
      </c>
      <c r="L593" s="138"/>
      <c r="M593" s="192">
        <f t="shared" si="144"/>
        <v>0</v>
      </c>
      <c r="N593" s="193"/>
    </row>
    <row r="594" spans="1:14" customFormat="1" hidden="1" x14ac:dyDescent="0.25">
      <c r="A594" s="13">
        <f t="shared" si="145"/>
        <v>14</v>
      </c>
      <c r="B594" s="184"/>
      <c r="C594" s="52">
        <f>C593+1</f>
        <v>1602</v>
      </c>
      <c r="D594" s="52" t="s">
        <v>104</v>
      </c>
      <c r="E594" s="52"/>
      <c r="F594" s="52"/>
      <c r="G594" s="52">
        <f t="shared" si="139"/>
        <v>0</v>
      </c>
      <c r="H594" s="60">
        <f t="shared" si="140"/>
        <v>0</v>
      </c>
      <c r="I594" s="32">
        <f t="shared" si="141"/>
        <v>0</v>
      </c>
      <c r="J594" s="32">
        <f t="shared" si="142"/>
        <v>0</v>
      </c>
      <c r="K594" s="137">
        <f t="shared" si="143"/>
        <v>0</v>
      </c>
      <c r="L594" s="138"/>
      <c r="M594" s="192">
        <f t="shared" si="144"/>
        <v>0</v>
      </c>
      <c r="N594" s="193"/>
    </row>
    <row r="595" spans="1:14" customFormat="1" hidden="1" x14ac:dyDescent="0.25">
      <c r="A595" s="13">
        <f t="shared" si="145"/>
        <v>15</v>
      </c>
      <c r="B595" s="184"/>
      <c r="C595" s="52">
        <f t="shared" ref="C595:C598" si="148">C594+1</f>
        <v>1603</v>
      </c>
      <c r="D595" s="52" t="s">
        <v>104</v>
      </c>
      <c r="E595" s="52"/>
      <c r="F595" s="52"/>
      <c r="G595" s="52">
        <f t="shared" si="139"/>
        <v>0</v>
      </c>
      <c r="H595" s="60">
        <f t="shared" si="140"/>
        <v>0</v>
      </c>
      <c r="I595" s="32">
        <f t="shared" si="141"/>
        <v>0</v>
      </c>
      <c r="J595" s="32">
        <f t="shared" si="142"/>
        <v>0</v>
      </c>
      <c r="K595" s="137">
        <f t="shared" si="143"/>
        <v>0</v>
      </c>
      <c r="L595" s="138"/>
      <c r="M595" s="192">
        <f t="shared" si="144"/>
        <v>0</v>
      </c>
      <c r="N595" s="193"/>
    </row>
    <row r="596" spans="1:14" customFormat="1" hidden="1" x14ac:dyDescent="0.25">
      <c r="A596" s="13">
        <f t="shared" si="145"/>
        <v>16</v>
      </c>
      <c r="B596" s="184"/>
      <c r="C596" s="52">
        <f t="shared" si="148"/>
        <v>1604</v>
      </c>
      <c r="D596" s="52" t="s">
        <v>428</v>
      </c>
      <c r="E596" s="52"/>
      <c r="F596" s="52"/>
      <c r="G596" s="52">
        <f t="shared" si="139"/>
        <v>0</v>
      </c>
      <c r="H596" s="60">
        <f t="shared" si="140"/>
        <v>0</v>
      </c>
      <c r="I596" s="32">
        <f t="shared" si="141"/>
        <v>0</v>
      </c>
      <c r="J596" s="32">
        <f t="shared" si="142"/>
        <v>0</v>
      </c>
      <c r="K596" s="137">
        <f t="shared" si="143"/>
        <v>0</v>
      </c>
      <c r="L596" s="138"/>
      <c r="M596" s="192">
        <f t="shared" si="144"/>
        <v>0</v>
      </c>
      <c r="N596" s="193"/>
    </row>
    <row r="597" spans="1:14" customFormat="1" hidden="1" x14ac:dyDescent="0.25">
      <c r="A597" s="13">
        <f t="shared" si="145"/>
        <v>17</v>
      </c>
      <c r="B597" s="184"/>
      <c r="C597" s="52">
        <f t="shared" si="148"/>
        <v>1605</v>
      </c>
      <c r="D597" s="52" t="s">
        <v>104</v>
      </c>
      <c r="E597" s="52"/>
      <c r="F597" s="52"/>
      <c r="G597" s="52">
        <f t="shared" si="139"/>
        <v>0</v>
      </c>
      <c r="H597" s="60">
        <f t="shared" si="140"/>
        <v>0</v>
      </c>
      <c r="I597" s="32">
        <f t="shared" si="141"/>
        <v>0</v>
      </c>
      <c r="J597" s="32">
        <f t="shared" si="142"/>
        <v>0</v>
      </c>
      <c r="K597" s="137">
        <f t="shared" si="143"/>
        <v>0</v>
      </c>
      <c r="L597" s="138"/>
      <c r="M597" s="192">
        <f t="shared" si="144"/>
        <v>0</v>
      </c>
      <c r="N597" s="193"/>
    </row>
    <row r="598" spans="1:14" customFormat="1" hidden="1" x14ac:dyDescent="0.25">
      <c r="A598" s="13">
        <f t="shared" si="145"/>
        <v>18</v>
      </c>
      <c r="B598" s="185"/>
      <c r="C598" s="52">
        <f t="shared" si="148"/>
        <v>1606</v>
      </c>
      <c r="D598" s="52" t="s">
        <v>104</v>
      </c>
      <c r="E598" s="52"/>
      <c r="F598" s="52"/>
      <c r="G598" s="52">
        <f t="shared" si="139"/>
        <v>0</v>
      </c>
      <c r="H598" s="60">
        <f t="shared" si="140"/>
        <v>0</v>
      </c>
      <c r="I598" s="32">
        <f t="shared" si="141"/>
        <v>0</v>
      </c>
      <c r="J598" s="32">
        <f t="shared" si="142"/>
        <v>0</v>
      </c>
      <c r="K598" s="137">
        <f t="shared" si="143"/>
        <v>0</v>
      </c>
      <c r="L598" s="138"/>
      <c r="M598" s="192">
        <f t="shared" si="144"/>
        <v>0</v>
      </c>
      <c r="N598" s="193"/>
    </row>
    <row r="599" spans="1:14" customFormat="1" hidden="1" x14ac:dyDescent="0.25">
      <c r="A599" s="13">
        <f>A598+1</f>
        <v>19</v>
      </c>
      <c r="B599" s="183" t="s">
        <v>612</v>
      </c>
      <c r="C599" s="52">
        <f>LEFT(B599,SUM(LEN(B599)-LEN(SUBSTITUTE(B599,{"0","1","2","3","4","5","6","7","8","9"},""))))*100+1</f>
        <v>1701</v>
      </c>
      <c r="D599" s="52" t="s">
        <v>428</v>
      </c>
      <c r="E599" s="52"/>
      <c r="F599" s="52"/>
      <c r="G599" s="52">
        <f t="shared" si="139"/>
        <v>0</v>
      </c>
      <c r="H599" s="60">
        <f t="shared" si="140"/>
        <v>0</v>
      </c>
      <c r="I599" s="32">
        <f t="shared" si="141"/>
        <v>0</v>
      </c>
      <c r="J599" s="32">
        <f t="shared" si="142"/>
        <v>0</v>
      </c>
      <c r="K599" s="137">
        <f t="shared" si="143"/>
        <v>0</v>
      </c>
      <c r="L599" s="138"/>
      <c r="M599" s="192">
        <f t="shared" si="144"/>
        <v>0</v>
      </c>
      <c r="N599" s="193"/>
    </row>
    <row r="600" spans="1:14" customFormat="1" hidden="1" x14ac:dyDescent="0.25">
      <c r="A600" s="13">
        <f t="shared" si="145"/>
        <v>20</v>
      </c>
      <c r="B600" s="184"/>
      <c r="C600" s="52">
        <f>C599+1</f>
        <v>1702</v>
      </c>
      <c r="D600" s="52" t="s">
        <v>104</v>
      </c>
      <c r="E600" s="52"/>
      <c r="F600" s="52"/>
      <c r="G600" s="52">
        <f t="shared" si="139"/>
        <v>0</v>
      </c>
      <c r="H600" s="60">
        <f t="shared" si="140"/>
        <v>0</v>
      </c>
      <c r="I600" s="32">
        <f t="shared" si="141"/>
        <v>0</v>
      </c>
      <c r="J600" s="32">
        <f t="shared" si="142"/>
        <v>0</v>
      </c>
      <c r="K600" s="137">
        <f t="shared" si="143"/>
        <v>0</v>
      </c>
      <c r="L600" s="138"/>
      <c r="M600" s="192">
        <f t="shared" si="144"/>
        <v>0</v>
      </c>
      <c r="N600" s="193"/>
    </row>
    <row r="601" spans="1:14" customFormat="1" hidden="1" x14ac:dyDescent="0.25">
      <c r="A601" s="13">
        <f t="shared" si="145"/>
        <v>21</v>
      </c>
      <c r="B601" s="184"/>
      <c r="C601" s="52">
        <f t="shared" ref="C601:C602" si="149">C600+1</f>
        <v>1703</v>
      </c>
      <c r="D601" s="52" t="s">
        <v>104</v>
      </c>
      <c r="E601" s="52"/>
      <c r="F601" s="52"/>
      <c r="G601" s="52">
        <f t="shared" si="139"/>
        <v>0</v>
      </c>
      <c r="H601" s="60">
        <f t="shared" si="140"/>
        <v>0</v>
      </c>
      <c r="I601" s="32">
        <f t="shared" si="141"/>
        <v>0</v>
      </c>
      <c r="J601" s="32">
        <f t="shared" si="142"/>
        <v>0</v>
      </c>
      <c r="K601" s="137">
        <f t="shared" si="143"/>
        <v>0</v>
      </c>
      <c r="L601" s="138"/>
      <c r="M601" s="192">
        <f t="shared" si="144"/>
        <v>0</v>
      </c>
      <c r="N601" s="193"/>
    </row>
    <row r="602" spans="1:14" customFormat="1" hidden="1" x14ac:dyDescent="0.25">
      <c r="A602" s="13">
        <f t="shared" si="145"/>
        <v>22</v>
      </c>
      <c r="B602" s="184"/>
      <c r="C602" s="52">
        <f t="shared" si="149"/>
        <v>1704</v>
      </c>
      <c r="D602" s="52" t="s">
        <v>428</v>
      </c>
      <c r="E602" s="52"/>
      <c r="F602" s="52"/>
      <c r="G602" s="52">
        <f t="shared" si="139"/>
        <v>0</v>
      </c>
      <c r="H602" s="60">
        <f t="shared" si="140"/>
        <v>0</v>
      </c>
      <c r="I602" s="32">
        <f t="shared" si="141"/>
        <v>0</v>
      </c>
      <c r="J602" s="32">
        <f t="shared" si="142"/>
        <v>0</v>
      </c>
      <c r="K602" s="137">
        <f t="shared" si="143"/>
        <v>0</v>
      </c>
      <c r="L602" s="138"/>
      <c r="M602" s="192">
        <f t="shared" si="144"/>
        <v>0</v>
      </c>
      <c r="N602" s="193"/>
    </row>
    <row r="603" spans="1:14" customFormat="1" hidden="1" x14ac:dyDescent="0.25">
      <c r="A603" s="13" t="s">
        <v>171</v>
      </c>
      <c r="B603" s="184"/>
      <c r="C603" s="52" t="s">
        <v>171</v>
      </c>
      <c r="D603" s="186" t="s">
        <v>429</v>
      </c>
      <c r="E603" s="187"/>
      <c r="F603" s="187"/>
      <c r="G603" s="187"/>
      <c r="H603" s="187"/>
      <c r="I603" s="187"/>
      <c r="J603" s="187"/>
      <c r="K603" s="187"/>
      <c r="L603" s="187"/>
      <c r="M603" s="187"/>
      <c r="N603" s="188"/>
    </row>
    <row r="604" spans="1:14" customFormat="1" hidden="1" x14ac:dyDescent="0.25">
      <c r="A604" s="13">
        <v>23</v>
      </c>
      <c r="B604" s="185"/>
      <c r="C604" s="52">
        <v>1705</v>
      </c>
      <c r="D604" s="52" t="s">
        <v>104</v>
      </c>
      <c r="E604" s="52"/>
      <c r="F604" s="52"/>
      <c r="G604" s="52">
        <f t="shared" ref="G604:G610" si="150">E604+(IF(F604&lt;101,F604,IF(F604&lt;201,F604/2,IF(F604&lt;=301,F604/3,F604/4))))</f>
        <v>0</v>
      </c>
      <c r="H604" s="60">
        <f t="shared" ref="H604:H610" si="151">G604*1.2</f>
        <v>0</v>
      </c>
      <c r="I604" s="32">
        <f t="shared" ref="I604:I610" si="152">G604*I$288</f>
        <v>0</v>
      </c>
      <c r="J604" s="32">
        <f t="shared" ref="J604:J610" si="153">G604*$J$288</f>
        <v>0</v>
      </c>
      <c r="K604" s="137">
        <f t="shared" ref="K604:K610" si="154">$K$288*H604</f>
        <v>0</v>
      </c>
      <c r="L604" s="138"/>
      <c r="M604" s="192">
        <f t="shared" ref="M604:M610" si="155">J604+I604</f>
        <v>0</v>
      </c>
      <c r="N604" s="193"/>
    </row>
    <row r="605" spans="1:14" customFormat="1" hidden="1" x14ac:dyDescent="0.25">
      <c r="A605" s="13">
        <f>A604+1</f>
        <v>24</v>
      </c>
      <c r="B605" s="183" t="s">
        <v>613</v>
      </c>
      <c r="C605" s="52">
        <f>LEFT(B605,SUM(LEN(B605)-LEN(SUBSTITUTE(B605,{"0","1","2","3","4","5","6","7","8","9"},""))))*100+1</f>
        <v>1801</v>
      </c>
      <c r="D605" s="52" t="s">
        <v>428</v>
      </c>
      <c r="E605" s="52"/>
      <c r="F605" s="52"/>
      <c r="G605" s="52">
        <f t="shared" si="150"/>
        <v>0</v>
      </c>
      <c r="H605" s="60">
        <f t="shared" si="151"/>
        <v>0</v>
      </c>
      <c r="I605" s="32">
        <f t="shared" si="152"/>
        <v>0</v>
      </c>
      <c r="J605" s="32">
        <f t="shared" si="153"/>
        <v>0</v>
      </c>
      <c r="K605" s="137">
        <f t="shared" si="154"/>
        <v>0</v>
      </c>
      <c r="L605" s="138"/>
      <c r="M605" s="192">
        <f t="shared" si="155"/>
        <v>0</v>
      </c>
      <c r="N605" s="193"/>
    </row>
    <row r="606" spans="1:14" customFormat="1" hidden="1" x14ac:dyDescent="0.25">
      <c r="A606" s="13">
        <f t="shared" si="145"/>
        <v>25</v>
      </c>
      <c r="B606" s="184"/>
      <c r="C606" s="52">
        <f>C605+1</f>
        <v>1802</v>
      </c>
      <c r="D606" s="52" t="s">
        <v>104</v>
      </c>
      <c r="E606" s="52"/>
      <c r="F606" s="52"/>
      <c r="G606" s="52">
        <f t="shared" si="150"/>
        <v>0</v>
      </c>
      <c r="H606" s="60">
        <f t="shared" si="151"/>
        <v>0</v>
      </c>
      <c r="I606" s="32">
        <f t="shared" si="152"/>
        <v>0</v>
      </c>
      <c r="J606" s="32">
        <f t="shared" si="153"/>
        <v>0</v>
      </c>
      <c r="K606" s="137">
        <f t="shared" si="154"/>
        <v>0</v>
      </c>
      <c r="L606" s="138"/>
      <c r="M606" s="192">
        <f t="shared" si="155"/>
        <v>0</v>
      </c>
      <c r="N606" s="193"/>
    </row>
    <row r="607" spans="1:14" customFormat="1" hidden="1" x14ac:dyDescent="0.25">
      <c r="A607" s="13">
        <f t="shared" si="145"/>
        <v>26</v>
      </c>
      <c r="B607" s="184"/>
      <c r="C607" s="52">
        <f t="shared" ref="C607:C610" si="156">C606+1</f>
        <v>1803</v>
      </c>
      <c r="D607" s="52" t="s">
        <v>104</v>
      </c>
      <c r="E607" s="52"/>
      <c r="F607" s="52"/>
      <c r="G607" s="52">
        <f t="shared" si="150"/>
        <v>0</v>
      </c>
      <c r="H607" s="60">
        <f t="shared" si="151"/>
        <v>0</v>
      </c>
      <c r="I607" s="32">
        <f t="shared" si="152"/>
        <v>0</v>
      </c>
      <c r="J607" s="32">
        <f t="shared" si="153"/>
        <v>0</v>
      </c>
      <c r="K607" s="137">
        <f t="shared" si="154"/>
        <v>0</v>
      </c>
      <c r="L607" s="138"/>
      <c r="M607" s="192">
        <f t="shared" si="155"/>
        <v>0</v>
      </c>
      <c r="N607" s="193"/>
    </row>
    <row r="608" spans="1:14" customFormat="1" hidden="1" x14ac:dyDescent="0.25">
      <c r="A608" s="13">
        <f t="shared" si="145"/>
        <v>27</v>
      </c>
      <c r="B608" s="184"/>
      <c r="C608" s="52">
        <f t="shared" si="156"/>
        <v>1804</v>
      </c>
      <c r="D608" s="52" t="s">
        <v>428</v>
      </c>
      <c r="E608" s="52"/>
      <c r="F608" s="52"/>
      <c r="G608" s="52">
        <f t="shared" si="150"/>
        <v>0</v>
      </c>
      <c r="H608" s="60">
        <f t="shared" si="151"/>
        <v>0</v>
      </c>
      <c r="I608" s="32">
        <f t="shared" si="152"/>
        <v>0</v>
      </c>
      <c r="J608" s="32">
        <f t="shared" si="153"/>
        <v>0</v>
      </c>
      <c r="K608" s="137">
        <f t="shared" si="154"/>
        <v>0</v>
      </c>
      <c r="L608" s="138"/>
      <c r="M608" s="192">
        <f t="shared" si="155"/>
        <v>0</v>
      </c>
      <c r="N608" s="193"/>
    </row>
    <row r="609" spans="1:16" customFormat="1" hidden="1" x14ac:dyDescent="0.25">
      <c r="A609" s="13">
        <f t="shared" si="145"/>
        <v>28</v>
      </c>
      <c r="B609" s="184"/>
      <c r="C609" s="52">
        <f t="shared" si="156"/>
        <v>1805</v>
      </c>
      <c r="D609" s="52" t="s">
        <v>104</v>
      </c>
      <c r="E609" s="52"/>
      <c r="F609" s="52"/>
      <c r="G609" s="52">
        <f t="shared" si="150"/>
        <v>0</v>
      </c>
      <c r="H609" s="60">
        <f t="shared" si="151"/>
        <v>0</v>
      </c>
      <c r="I609" s="32">
        <f t="shared" si="152"/>
        <v>0</v>
      </c>
      <c r="J609" s="32">
        <f t="shared" si="153"/>
        <v>0</v>
      </c>
      <c r="K609" s="137">
        <f t="shared" si="154"/>
        <v>0</v>
      </c>
      <c r="L609" s="138"/>
      <c r="M609" s="192">
        <f t="shared" si="155"/>
        <v>0</v>
      </c>
      <c r="N609" s="193"/>
    </row>
    <row r="610" spans="1:16" customFormat="1" hidden="1" x14ac:dyDescent="0.25">
      <c r="A610" s="13">
        <f t="shared" si="145"/>
        <v>29</v>
      </c>
      <c r="B610" s="185"/>
      <c r="C610" s="52">
        <f t="shared" si="156"/>
        <v>1806</v>
      </c>
      <c r="D610" s="52" t="s">
        <v>104</v>
      </c>
      <c r="E610" s="52"/>
      <c r="F610" s="52"/>
      <c r="G610" s="52">
        <f t="shared" si="150"/>
        <v>0</v>
      </c>
      <c r="H610" s="60">
        <f t="shared" si="151"/>
        <v>0</v>
      </c>
      <c r="I610" s="32">
        <f t="shared" si="152"/>
        <v>0</v>
      </c>
      <c r="J610" s="32">
        <f t="shared" si="153"/>
        <v>0</v>
      </c>
      <c r="K610" s="137">
        <f t="shared" si="154"/>
        <v>0</v>
      </c>
      <c r="L610" s="138"/>
      <c r="M610" s="192">
        <f t="shared" si="155"/>
        <v>0</v>
      </c>
      <c r="N610" s="193"/>
    </row>
    <row r="611" spans="1:16" x14ac:dyDescent="0.25">
      <c r="A611" s="189" t="s">
        <v>75</v>
      </c>
      <c r="B611" s="190"/>
      <c r="C611" s="190"/>
      <c r="D611" s="190"/>
      <c r="E611" s="190"/>
      <c r="F611" s="190"/>
      <c r="G611" s="190"/>
      <c r="H611" s="190"/>
      <c r="I611" s="190"/>
      <c r="J611" s="190"/>
      <c r="K611" s="190"/>
      <c r="L611" s="190"/>
      <c r="M611" s="190"/>
      <c r="N611" s="191"/>
    </row>
    <row r="612" spans="1:16" s="68" customFormat="1" ht="31.5" customHeight="1" x14ac:dyDescent="0.25">
      <c r="A612" s="454" t="s">
        <v>241</v>
      </c>
      <c r="B612" s="455"/>
      <c r="C612" s="133" t="s">
        <v>46</v>
      </c>
      <c r="D612" s="147" t="s">
        <v>627</v>
      </c>
      <c r="E612" s="148"/>
      <c r="F612" s="147" t="s">
        <v>242</v>
      </c>
      <c r="G612" s="148"/>
      <c r="H612" s="147" t="s">
        <v>97</v>
      </c>
      <c r="I612" s="148"/>
      <c r="J612" s="132" t="s">
        <v>243</v>
      </c>
      <c r="K612" s="454" t="s">
        <v>444</v>
      </c>
      <c r="L612" s="455"/>
      <c r="M612" s="147" t="s">
        <v>617</v>
      </c>
      <c r="N612" s="148"/>
      <c r="P612" s="68">
        <f>8200*1.5</f>
        <v>12300</v>
      </c>
    </row>
    <row r="613" spans="1:16" x14ac:dyDescent="0.25">
      <c r="A613" s="483" t="s">
        <v>476</v>
      </c>
      <c r="B613" s="484"/>
      <c r="C613" s="484"/>
      <c r="D613" s="484"/>
      <c r="E613" s="484"/>
      <c r="F613" s="484"/>
      <c r="G613" s="484"/>
      <c r="H613" s="484"/>
      <c r="I613" s="484"/>
      <c r="J613" s="484"/>
      <c r="K613" s="484"/>
      <c r="L613" s="484"/>
      <c r="M613" s="484"/>
      <c r="N613" s="485"/>
    </row>
    <row r="614" spans="1:16" x14ac:dyDescent="0.25">
      <c r="A614" s="355" t="s">
        <v>430</v>
      </c>
      <c r="B614" s="356"/>
      <c r="C614" s="32" t="s">
        <v>433</v>
      </c>
      <c r="D614" s="149" t="s">
        <v>171</v>
      </c>
      <c r="E614" s="150"/>
      <c r="F614" s="149">
        <f>COUNT(E236:E253)</f>
        <v>18</v>
      </c>
      <c r="G614" s="150"/>
      <c r="H614" s="286">
        <f>SUM(I236:I253)</f>
        <v>5013.4406399999989</v>
      </c>
      <c r="I614" s="286"/>
      <c r="J614" s="146">
        <f>SUM(J236:J253)</f>
        <v>7770.8329920000006</v>
      </c>
      <c r="K614" s="357" t="s">
        <v>171</v>
      </c>
      <c r="L614" s="358"/>
      <c r="M614" s="149" t="s">
        <v>171</v>
      </c>
      <c r="N614" s="150"/>
    </row>
    <row r="615" spans="1:16" x14ac:dyDescent="0.25">
      <c r="A615" s="355" t="s">
        <v>430</v>
      </c>
      <c r="B615" s="356"/>
      <c r="C615" s="32" t="s">
        <v>434</v>
      </c>
      <c r="D615" s="149" t="s">
        <v>100</v>
      </c>
      <c r="E615" s="150"/>
      <c r="F615" s="149">
        <f>COUNT(E292:E294,E301:E303,E305:E307,E314:E319,E326:E331,E338:E343,E350:E355,E362:E364,E366:E368,E375:E380,E387:E392,E399:E404,E411:E416,E423:E425)</f>
        <v>66</v>
      </c>
      <c r="G615" s="150"/>
      <c r="H615" s="286">
        <f>SUM(G292:G294,G301:G303,G305:G307,G314:G319,G326:G331,G338:G343,G350:G355,G362:G364,G366:G368,G375:G380,G387:G392,G399:G404,G411:G416,G423:G425)</f>
        <v>21004.869599999998</v>
      </c>
      <c r="I615" s="286"/>
      <c r="J615" s="146">
        <f>SUM(H292:H294,H301:H303,H305:H307,H314:H319,H326:H331,H338:H343,H350:H355,H362:H364,H366:H368,H375:H380,H387:H392,H399:H404,H411:H416,H423:H425)</f>
        <v>25205.84351999998</v>
      </c>
      <c r="K615" s="357">
        <v>15700</v>
      </c>
      <c r="L615" s="358"/>
      <c r="M615" s="149">
        <f>(H615*K615)</f>
        <v>329776452.71999997</v>
      </c>
      <c r="N615" s="150"/>
    </row>
    <row r="616" spans="1:16" x14ac:dyDescent="0.25">
      <c r="A616" s="355" t="s">
        <v>430</v>
      </c>
      <c r="B616" s="356"/>
      <c r="C616" s="32" t="s">
        <v>434</v>
      </c>
      <c r="D616" s="149" t="s">
        <v>104</v>
      </c>
      <c r="E616" s="150"/>
      <c r="F616" s="149">
        <f>COUNT(E295:E300,E308:E313,E320:E325,E332:E337,E344:E349,E356:E361,E369:E374,E381:E386,E393:E398,E405:E410,E417:E422)</f>
        <v>66</v>
      </c>
      <c r="G616" s="150"/>
      <c r="H616" s="286">
        <f>SUM(G295:G300,G308:G313,G320:G325,G332:G337,G344:G349,G356:G361,G369:G374,G381:G386,G393:G398,G405:G410,G417:G422)</f>
        <v>34957.596960000003</v>
      </c>
      <c r="I616" s="286"/>
      <c r="J616" s="146">
        <f>SUM(H295:H300,H308:H313,H320:H325,H332:H337,H344:H349,H356:H361,H369:H374,H381:H386,H393:H398,H405:H410,H417:H422)</f>
        <v>41949.116351999983</v>
      </c>
      <c r="K616" s="357">
        <v>15700</v>
      </c>
      <c r="L616" s="358"/>
      <c r="M616" s="149">
        <f>(H616*K616)</f>
        <v>548834272.27200007</v>
      </c>
      <c r="N616" s="150"/>
    </row>
    <row r="617" spans="1:16" x14ac:dyDescent="0.25">
      <c r="A617" s="353" t="s">
        <v>238</v>
      </c>
      <c r="B617" s="354"/>
      <c r="C617" s="50"/>
      <c r="D617" s="298"/>
      <c r="E617" s="299"/>
      <c r="F617" s="298">
        <f>SUM(F614:G616)</f>
        <v>150</v>
      </c>
      <c r="G617" s="299"/>
      <c r="H617" s="298">
        <f>SUM(H614:I616)</f>
        <v>60975.907200000001</v>
      </c>
      <c r="I617" s="299"/>
      <c r="J617" s="51">
        <f>SUM(J614:J616)</f>
        <v>74925.792863999959</v>
      </c>
      <c r="K617" s="298"/>
      <c r="L617" s="299"/>
      <c r="M617" s="486">
        <f>M615+M616</f>
        <v>878610724.9920001</v>
      </c>
      <c r="N617" s="487"/>
      <c r="P617" s="5">
        <v>2411860438.7280002</v>
      </c>
    </row>
    <row r="618" spans="1:16" x14ac:dyDescent="0.25">
      <c r="A618" s="483" t="s">
        <v>477</v>
      </c>
      <c r="B618" s="484"/>
      <c r="C618" s="484"/>
      <c r="D618" s="484"/>
      <c r="E618" s="484"/>
      <c r="F618" s="484"/>
      <c r="G618" s="484"/>
      <c r="H618" s="484"/>
      <c r="I618" s="484"/>
      <c r="J618" s="484"/>
      <c r="K618" s="484"/>
      <c r="L618" s="484"/>
      <c r="M618" s="484"/>
      <c r="N618" s="485"/>
    </row>
    <row r="619" spans="1:16" x14ac:dyDescent="0.25">
      <c r="A619" s="355" t="s">
        <v>430</v>
      </c>
      <c r="B619" s="356"/>
      <c r="C619" s="32" t="s">
        <v>434</v>
      </c>
      <c r="D619" s="149" t="s">
        <v>100</v>
      </c>
      <c r="E619" s="150"/>
      <c r="F619" s="149">
        <f>COUNT(E472:E474,E481:E486,E493:E498,E505:E510,E517:E522,E529:E534,E541:E546,E553:E555)</f>
        <v>42</v>
      </c>
      <c r="G619" s="150"/>
      <c r="H619" s="149">
        <f>SUM(G472:G474,G481:G486,G493:G498,G505:G510,G517:G522,G529:G534,G541:G546,G553:G555)</f>
        <v>13366.735200000006</v>
      </c>
      <c r="I619" s="150"/>
      <c r="J619" s="146">
        <f>SUM(H472:H474,H481:H486,H493:H498,H505:H510,H517:H522,H529:H534,H541:H546,H553:H555)</f>
        <v>16040.082240000003</v>
      </c>
      <c r="K619" s="357">
        <v>15700</v>
      </c>
      <c r="L619" s="358"/>
      <c r="M619" s="149">
        <f>(H619*K619)</f>
        <v>209857742.6400001</v>
      </c>
      <c r="N619" s="150"/>
    </row>
    <row r="620" spans="1:16" x14ac:dyDescent="0.25">
      <c r="A620" s="355" t="s">
        <v>431</v>
      </c>
      <c r="B620" s="356"/>
      <c r="C620" s="32" t="s">
        <v>434</v>
      </c>
      <c r="D620" s="149" t="s">
        <v>104</v>
      </c>
      <c r="E620" s="150"/>
      <c r="F620" s="149">
        <f>COUNT(E475:E480,E487:E492,E499:E504,E511:E516,E523:E528,E535:E540,E547:E552)</f>
        <v>42</v>
      </c>
      <c r="G620" s="150"/>
      <c r="H620" s="149">
        <f>SUM(G475:G480,G487:G492,G499:G504,G511:G516,G523:G528,G535:G540,G547:G552)</f>
        <v>22245.743520000004</v>
      </c>
      <c r="I620" s="150"/>
      <c r="J620" s="146">
        <f>SUM(H475:H480,H487:H492,H499:H504,H511:H516,H523:H528,H535:H540,H547:H552)</f>
        <v>26694.892223999999</v>
      </c>
      <c r="K620" s="357">
        <v>15700</v>
      </c>
      <c r="L620" s="358"/>
      <c r="M620" s="149">
        <f>(H620*K620)</f>
        <v>349258173.26400006</v>
      </c>
      <c r="N620" s="150"/>
    </row>
    <row r="621" spans="1:16" x14ac:dyDescent="0.25">
      <c r="A621" s="353" t="s">
        <v>238</v>
      </c>
      <c r="B621" s="354"/>
      <c r="C621" s="50"/>
      <c r="D621" s="298"/>
      <c r="E621" s="299"/>
      <c r="F621" s="298">
        <f>SUM(F619:G620)</f>
        <v>84</v>
      </c>
      <c r="G621" s="299"/>
      <c r="H621" s="298">
        <f>SUM(H619:H620)</f>
        <v>35612.478720000014</v>
      </c>
      <c r="I621" s="299"/>
      <c r="J621" s="51">
        <f>SUM(J619:J620)</f>
        <v>42734.974463999999</v>
      </c>
      <c r="K621" s="488"/>
      <c r="L621" s="489"/>
      <c r="M621" s="486">
        <f>SUM(M619:N620)</f>
        <v>559115915.90400016</v>
      </c>
      <c r="N621" s="487"/>
      <c r="P621" s="5">
        <v>2411860438.7280002</v>
      </c>
    </row>
    <row r="622" spans="1:16" x14ac:dyDescent="0.25">
      <c r="A622" s="453"/>
      <c r="B622" s="453"/>
      <c r="C622" s="453"/>
      <c r="D622" s="453"/>
      <c r="E622" s="453"/>
      <c r="F622" s="453"/>
      <c r="G622" s="453"/>
      <c r="H622" s="453"/>
      <c r="I622" s="453"/>
      <c r="J622" s="453"/>
      <c r="K622" s="453"/>
      <c r="L622" s="453"/>
      <c r="M622" s="453"/>
      <c r="N622" s="453"/>
    </row>
    <row r="623" spans="1:16" x14ac:dyDescent="0.25">
      <c r="A623" s="434" t="s">
        <v>481</v>
      </c>
      <c r="B623" s="434"/>
      <c r="C623" s="434"/>
      <c r="D623" s="434"/>
      <c r="E623" s="434"/>
      <c r="F623" s="434"/>
      <c r="G623" s="434"/>
      <c r="H623" s="434"/>
      <c r="I623" s="435" t="s">
        <v>65</v>
      </c>
      <c r="J623" s="435"/>
      <c r="K623" s="435"/>
      <c r="L623" s="435"/>
      <c r="M623" s="435"/>
      <c r="N623" s="436"/>
    </row>
    <row r="624" spans="1:16" x14ac:dyDescent="0.25">
      <c r="A624" s="437" t="s">
        <v>245</v>
      </c>
      <c r="B624" s="437"/>
      <c r="C624" s="437"/>
      <c r="D624" s="437"/>
      <c r="E624" s="437"/>
      <c r="F624" s="437"/>
      <c r="G624" s="437"/>
      <c r="H624" s="437"/>
      <c r="I624" s="438">
        <f>M617</f>
        <v>878610724.9920001</v>
      </c>
      <c r="J624" s="438"/>
      <c r="K624" s="438"/>
      <c r="L624" s="438"/>
      <c r="M624" s="438"/>
      <c r="N624" s="439"/>
    </row>
    <row r="625" spans="1:15" ht="32.25" customHeight="1" x14ac:dyDescent="0.25">
      <c r="A625" s="440" t="s">
        <v>692</v>
      </c>
      <c r="B625" s="441"/>
      <c r="C625" s="441"/>
      <c r="D625" s="441"/>
      <c r="E625" s="441"/>
      <c r="F625" s="441"/>
      <c r="G625" s="441"/>
      <c r="H625" s="441"/>
      <c r="I625" s="442">
        <f>J617*2500</f>
        <v>187314482.15999991</v>
      </c>
      <c r="J625" s="442"/>
      <c r="K625" s="442"/>
      <c r="L625" s="442"/>
      <c r="M625" s="442"/>
      <c r="N625" s="443"/>
    </row>
    <row r="626" spans="1:15" x14ac:dyDescent="0.25">
      <c r="A626" s="340"/>
      <c r="B626" s="287"/>
      <c r="C626" s="287"/>
      <c r="D626" s="287"/>
      <c r="E626" s="287"/>
      <c r="F626" s="287"/>
      <c r="G626" s="287"/>
      <c r="H626" s="287"/>
      <c r="I626" s="287"/>
      <c r="J626" s="287"/>
      <c r="K626" s="287"/>
      <c r="L626" s="287"/>
      <c r="M626" s="287"/>
      <c r="N626" s="288"/>
    </row>
    <row r="627" spans="1:15" x14ac:dyDescent="0.25">
      <c r="A627" s="434" t="s">
        <v>482</v>
      </c>
      <c r="B627" s="434"/>
      <c r="C627" s="434"/>
      <c r="D627" s="434"/>
      <c r="E627" s="434"/>
      <c r="F627" s="434"/>
      <c r="G627" s="434"/>
      <c r="H627" s="434"/>
      <c r="I627" s="435" t="s">
        <v>65</v>
      </c>
      <c r="J627" s="435"/>
      <c r="K627" s="435"/>
      <c r="L627" s="435"/>
      <c r="M627" s="435"/>
      <c r="N627" s="436"/>
    </row>
    <row r="628" spans="1:15" x14ac:dyDescent="0.25">
      <c r="A628" s="437" t="s">
        <v>245</v>
      </c>
      <c r="B628" s="437"/>
      <c r="C628" s="437"/>
      <c r="D628" s="437"/>
      <c r="E628" s="437"/>
      <c r="F628" s="437"/>
      <c r="G628" s="437"/>
      <c r="H628" s="437"/>
      <c r="I628" s="438">
        <f>M621</f>
        <v>559115915.90400016</v>
      </c>
      <c r="J628" s="438"/>
      <c r="K628" s="438"/>
      <c r="L628" s="438"/>
      <c r="M628" s="438"/>
      <c r="N628" s="439"/>
    </row>
    <row r="629" spans="1:15" ht="30.75" customHeight="1" x14ac:dyDescent="0.25">
      <c r="A629" s="440" t="s">
        <v>692</v>
      </c>
      <c r="B629" s="441"/>
      <c r="C629" s="441"/>
      <c r="D629" s="441"/>
      <c r="E629" s="441"/>
      <c r="F629" s="441"/>
      <c r="G629" s="441"/>
      <c r="H629" s="441"/>
      <c r="I629" s="442">
        <f>J621*2500</f>
        <v>106837436.16</v>
      </c>
      <c r="J629" s="442"/>
      <c r="K629" s="442"/>
      <c r="L629" s="442"/>
      <c r="M629" s="442"/>
      <c r="N629" s="443"/>
      <c r="O629" s="5">
        <f>49291*2500</f>
        <v>123227500</v>
      </c>
    </row>
    <row r="630" spans="1:15" customFormat="1" x14ac:dyDescent="0.25">
      <c r="A630" s="339" t="s">
        <v>443</v>
      </c>
      <c r="B630" s="339"/>
      <c r="C630" s="339"/>
      <c r="D630" s="339"/>
      <c r="E630" s="339"/>
      <c r="F630" s="339"/>
      <c r="G630" s="339"/>
      <c r="H630" s="339"/>
      <c r="I630" s="339" t="s">
        <v>270</v>
      </c>
      <c r="J630" s="339"/>
      <c r="K630" s="339"/>
      <c r="L630" s="339"/>
      <c r="M630" s="339"/>
      <c r="N630" s="339"/>
    </row>
    <row r="631" spans="1:15" customFormat="1" x14ac:dyDescent="0.25">
      <c r="A631" s="279">
        <v>1</v>
      </c>
      <c r="B631" s="280"/>
      <c r="C631" s="281" t="s">
        <v>246</v>
      </c>
      <c r="D631" s="282"/>
      <c r="E631" s="282"/>
      <c r="F631" s="282"/>
      <c r="G631" s="282"/>
      <c r="H631" s="283"/>
      <c r="I631" s="341" t="s">
        <v>208</v>
      </c>
      <c r="J631" s="342"/>
      <c r="K631" s="342"/>
      <c r="L631" s="342"/>
      <c r="M631" s="342"/>
      <c r="N631" s="343"/>
    </row>
    <row r="632" spans="1:15" customFormat="1" x14ac:dyDescent="0.25">
      <c r="A632" s="279">
        <v>2</v>
      </c>
      <c r="B632" s="280"/>
      <c r="C632" s="281" t="s">
        <v>247</v>
      </c>
      <c r="D632" s="282"/>
      <c r="E632" s="282"/>
      <c r="F632" s="282"/>
      <c r="G632" s="282"/>
      <c r="H632" s="283"/>
      <c r="I632" s="344"/>
      <c r="J632" s="345"/>
      <c r="K632" s="345"/>
      <c r="L632" s="345"/>
      <c r="M632" s="345"/>
      <c r="N632" s="346"/>
    </row>
    <row r="633" spans="1:15" customFormat="1" x14ac:dyDescent="0.25">
      <c r="A633" s="279">
        <v>3</v>
      </c>
      <c r="B633" s="280"/>
      <c r="C633" s="281" t="s">
        <v>248</v>
      </c>
      <c r="D633" s="282"/>
      <c r="E633" s="282"/>
      <c r="F633" s="282"/>
      <c r="G633" s="282"/>
      <c r="H633" s="283"/>
      <c r="I633" s="344"/>
      <c r="J633" s="345"/>
      <c r="K633" s="345"/>
      <c r="L633" s="345"/>
      <c r="M633" s="345"/>
      <c r="N633" s="346"/>
    </row>
    <row r="634" spans="1:15" customFormat="1" x14ac:dyDescent="0.25">
      <c r="A634" s="279">
        <v>4</v>
      </c>
      <c r="B634" s="280"/>
      <c r="C634" s="281" t="s">
        <v>249</v>
      </c>
      <c r="D634" s="282"/>
      <c r="E634" s="282"/>
      <c r="F634" s="282"/>
      <c r="G634" s="282"/>
      <c r="H634" s="283"/>
      <c r="I634" s="344"/>
      <c r="J634" s="345"/>
      <c r="K634" s="345"/>
      <c r="L634" s="345"/>
      <c r="M634" s="345"/>
      <c r="N634" s="346"/>
    </row>
    <row r="635" spans="1:15" customFormat="1" x14ac:dyDescent="0.25">
      <c r="A635" s="279">
        <v>5</v>
      </c>
      <c r="B635" s="280"/>
      <c r="C635" s="281" t="s">
        <v>250</v>
      </c>
      <c r="D635" s="282"/>
      <c r="E635" s="282"/>
      <c r="F635" s="282"/>
      <c r="G635" s="282"/>
      <c r="H635" s="283"/>
      <c r="I635" s="347"/>
      <c r="J635" s="348"/>
      <c r="K635" s="348"/>
      <c r="L635" s="348"/>
      <c r="M635" s="348"/>
      <c r="N635" s="349"/>
    </row>
    <row r="636" spans="1:15" x14ac:dyDescent="0.25">
      <c r="A636" s="340"/>
      <c r="B636" s="287"/>
      <c r="C636" s="287"/>
      <c r="D636" s="287"/>
      <c r="E636" s="287"/>
      <c r="F636" s="287"/>
      <c r="G636" s="287"/>
      <c r="H636" s="287"/>
      <c r="I636" s="287"/>
      <c r="J636" s="287"/>
      <c r="K636" s="287"/>
      <c r="L636" s="287"/>
      <c r="M636" s="287"/>
      <c r="N636" s="288"/>
    </row>
    <row r="637" spans="1:15" customFormat="1" x14ac:dyDescent="0.25">
      <c r="A637" s="339" t="s">
        <v>442</v>
      </c>
      <c r="B637" s="339"/>
      <c r="C637" s="339"/>
      <c r="D637" s="339"/>
      <c r="E637" s="339"/>
      <c r="F637" s="339"/>
      <c r="G637" s="339"/>
      <c r="H637" s="339"/>
      <c r="I637" s="339" t="s">
        <v>270</v>
      </c>
      <c r="J637" s="339"/>
      <c r="K637" s="339"/>
      <c r="L637" s="339"/>
      <c r="M637" s="339"/>
      <c r="N637" s="339"/>
    </row>
    <row r="638" spans="1:15" customFormat="1" x14ac:dyDescent="0.25">
      <c r="A638" s="279">
        <v>1</v>
      </c>
      <c r="B638" s="280"/>
      <c r="C638" s="281" t="s">
        <v>251</v>
      </c>
      <c r="D638" s="282"/>
      <c r="E638" s="282"/>
      <c r="F638" s="282"/>
      <c r="G638" s="282"/>
      <c r="H638" s="283"/>
      <c r="I638" s="341" t="s">
        <v>208</v>
      </c>
      <c r="J638" s="342"/>
      <c r="K638" s="342"/>
      <c r="L638" s="342"/>
      <c r="M638" s="342"/>
      <c r="N638" s="343"/>
    </row>
    <row r="639" spans="1:15" customFormat="1" x14ac:dyDescent="0.25">
      <c r="A639" s="279">
        <v>2</v>
      </c>
      <c r="B639" s="280"/>
      <c r="C639" s="281" t="s">
        <v>252</v>
      </c>
      <c r="D639" s="282"/>
      <c r="E639" s="282"/>
      <c r="F639" s="282"/>
      <c r="G639" s="282"/>
      <c r="H639" s="283"/>
      <c r="I639" s="344"/>
      <c r="J639" s="345"/>
      <c r="K639" s="345"/>
      <c r="L639" s="345"/>
      <c r="M639" s="345"/>
      <c r="N639" s="346"/>
    </row>
    <row r="640" spans="1:15" customFormat="1" x14ac:dyDescent="0.25">
      <c r="A640" s="279">
        <v>3</v>
      </c>
      <c r="B640" s="280"/>
      <c r="C640" s="281" t="s">
        <v>253</v>
      </c>
      <c r="D640" s="282"/>
      <c r="E640" s="282"/>
      <c r="F640" s="282"/>
      <c r="G640" s="282"/>
      <c r="H640" s="283"/>
      <c r="I640" s="344"/>
      <c r="J640" s="345"/>
      <c r="K640" s="345"/>
      <c r="L640" s="345"/>
      <c r="M640" s="345"/>
      <c r="N640" s="346"/>
    </row>
    <row r="641" spans="1:14" customFormat="1" x14ac:dyDescent="0.25">
      <c r="A641" s="279">
        <v>4</v>
      </c>
      <c r="B641" s="280"/>
      <c r="C641" s="281" t="s">
        <v>254</v>
      </c>
      <c r="D641" s="282"/>
      <c r="E641" s="282"/>
      <c r="F641" s="282"/>
      <c r="G641" s="282"/>
      <c r="H641" s="283"/>
      <c r="I641" s="344"/>
      <c r="J641" s="345"/>
      <c r="K641" s="345"/>
      <c r="L641" s="345"/>
      <c r="M641" s="345"/>
      <c r="N641" s="346"/>
    </row>
    <row r="642" spans="1:14" customFormat="1" x14ac:dyDescent="0.25">
      <c r="A642" s="279">
        <v>5</v>
      </c>
      <c r="B642" s="280"/>
      <c r="C642" s="281" t="s">
        <v>255</v>
      </c>
      <c r="D642" s="282"/>
      <c r="E642" s="282"/>
      <c r="F642" s="282"/>
      <c r="G642" s="282"/>
      <c r="H642" s="283"/>
      <c r="I642" s="344"/>
      <c r="J642" s="345"/>
      <c r="K642" s="345"/>
      <c r="L642" s="345"/>
      <c r="M642" s="345"/>
      <c r="N642" s="346"/>
    </row>
    <row r="643" spans="1:14" customFormat="1" x14ac:dyDescent="0.25">
      <c r="A643" s="279">
        <v>6</v>
      </c>
      <c r="B643" s="280"/>
      <c r="C643" s="281" t="s">
        <v>256</v>
      </c>
      <c r="D643" s="282"/>
      <c r="E643" s="282"/>
      <c r="F643" s="282"/>
      <c r="G643" s="282"/>
      <c r="H643" s="283"/>
      <c r="I643" s="344"/>
      <c r="J643" s="345"/>
      <c r="K643" s="345"/>
      <c r="L643" s="345"/>
      <c r="M643" s="345"/>
      <c r="N643" s="346"/>
    </row>
    <row r="644" spans="1:14" customFormat="1" x14ac:dyDescent="0.25">
      <c r="A644" s="279">
        <v>7</v>
      </c>
      <c r="B644" s="280"/>
      <c r="C644" s="281" t="s">
        <v>257</v>
      </c>
      <c r="D644" s="282"/>
      <c r="E644" s="282"/>
      <c r="F644" s="282"/>
      <c r="G644" s="282"/>
      <c r="H644" s="283"/>
      <c r="I644" s="344"/>
      <c r="J644" s="345"/>
      <c r="K644" s="345"/>
      <c r="L644" s="345"/>
      <c r="M644" s="345"/>
      <c r="N644" s="346"/>
    </row>
    <row r="645" spans="1:14" customFormat="1" x14ac:dyDescent="0.25">
      <c r="A645" s="279">
        <v>8</v>
      </c>
      <c r="B645" s="280"/>
      <c r="C645" s="281" t="s">
        <v>258</v>
      </c>
      <c r="D645" s="282"/>
      <c r="E645" s="282"/>
      <c r="F645" s="282"/>
      <c r="G645" s="282"/>
      <c r="H645" s="283"/>
      <c r="I645" s="344"/>
      <c r="J645" s="345"/>
      <c r="K645" s="345"/>
      <c r="L645" s="345"/>
      <c r="M645" s="345"/>
      <c r="N645" s="346"/>
    </row>
    <row r="646" spans="1:14" customFormat="1" x14ac:dyDescent="0.25">
      <c r="A646" s="279">
        <v>9</v>
      </c>
      <c r="B646" s="280"/>
      <c r="C646" s="281" t="s">
        <v>259</v>
      </c>
      <c r="D646" s="282"/>
      <c r="E646" s="282"/>
      <c r="F646" s="282"/>
      <c r="G646" s="282"/>
      <c r="H646" s="283"/>
      <c r="I646" s="344"/>
      <c r="J646" s="345"/>
      <c r="K646" s="345"/>
      <c r="L646" s="345"/>
      <c r="M646" s="345"/>
      <c r="N646" s="346"/>
    </row>
    <row r="647" spans="1:14" customFormat="1" x14ac:dyDescent="0.25">
      <c r="A647" s="279">
        <v>10</v>
      </c>
      <c r="B647" s="280"/>
      <c r="C647" s="281" t="s">
        <v>260</v>
      </c>
      <c r="D647" s="282"/>
      <c r="E647" s="282"/>
      <c r="F647" s="282"/>
      <c r="G647" s="282"/>
      <c r="H647" s="283"/>
      <c r="I647" s="347"/>
      <c r="J647" s="348"/>
      <c r="K647" s="348"/>
      <c r="L647" s="348"/>
      <c r="M647" s="348"/>
      <c r="N647" s="349"/>
    </row>
    <row r="648" spans="1:14" x14ac:dyDescent="0.25">
      <c r="A648" s="340"/>
      <c r="B648" s="287"/>
      <c r="C648" s="287"/>
      <c r="D648" s="287"/>
      <c r="E648" s="287"/>
      <c r="F648" s="287"/>
      <c r="G648" s="287"/>
      <c r="H648" s="287"/>
      <c r="I648" s="287"/>
      <c r="J648" s="287"/>
      <c r="K648" s="287"/>
      <c r="L648" s="287"/>
      <c r="M648" s="287"/>
      <c r="N648" s="288"/>
    </row>
    <row r="649" spans="1:14" customFormat="1" x14ac:dyDescent="0.25">
      <c r="A649" s="339" t="s">
        <v>441</v>
      </c>
      <c r="B649" s="339"/>
      <c r="C649" s="339"/>
      <c r="D649" s="339"/>
      <c r="E649" s="339"/>
      <c r="F649" s="339"/>
      <c r="G649" s="339"/>
      <c r="H649" s="339"/>
      <c r="I649" s="339" t="s">
        <v>270</v>
      </c>
      <c r="J649" s="339"/>
      <c r="K649" s="339"/>
      <c r="L649" s="339"/>
      <c r="M649" s="339"/>
      <c r="N649" s="339"/>
    </row>
    <row r="650" spans="1:14" customFormat="1" x14ac:dyDescent="0.25">
      <c r="A650" s="279">
        <v>1</v>
      </c>
      <c r="B650" s="280"/>
      <c r="C650" s="281" t="s">
        <v>261</v>
      </c>
      <c r="D650" s="282"/>
      <c r="E650" s="282"/>
      <c r="F650" s="282"/>
      <c r="G650" s="282"/>
      <c r="H650" s="283"/>
      <c r="I650" s="341" t="s">
        <v>208</v>
      </c>
      <c r="J650" s="342"/>
      <c r="K650" s="342"/>
      <c r="L650" s="342"/>
      <c r="M650" s="342"/>
      <c r="N650" s="343"/>
    </row>
    <row r="651" spans="1:14" customFormat="1" x14ac:dyDescent="0.25">
      <c r="A651" s="279">
        <v>2</v>
      </c>
      <c r="B651" s="280"/>
      <c r="C651" s="281" t="s">
        <v>262</v>
      </c>
      <c r="D651" s="282"/>
      <c r="E651" s="282"/>
      <c r="F651" s="282"/>
      <c r="G651" s="282"/>
      <c r="H651" s="283"/>
      <c r="I651" s="344"/>
      <c r="J651" s="345"/>
      <c r="K651" s="345"/>
      <c r="L651" s="345"/>
      <c r="M651" s="345"/>
      <c r="N651" s="346"/>
    </row>
    <row r="652" spans="1:14" customFormat="1" x14ac:dyDescent="0.25">
      <c r="A652" s="279">
        <v>3</v>
      </c>
      <c r="B652" s="280"/>
      <c r="C652" s="281" t="s">
        <v>263</v>
      </c>
      <c r="D652" s="282"/>
      <c r="E652" s="282"/>
      <c r="F652" s="282"/>
      <c r="G652" s="282"/>
      <c r="H652" s="283"/>
      <c r="I652" s="344"/>
      <c r="J652" s="345"/>
      <c r="K652" s="345"/>
      <c r="L652" s="345"/>
      <c r="M652" s="345"/>
      <c r="N652" s="346"/>
    </row>
    <row r="653" spans="1:14" customFormat="1" x14ac:dyDescent="0.25">
      <c r="A653" s="279">
        <v>4</v>
      </c>
      <c r="B653" s="280"/>
      <c r="C653" s="281" t="s">
        <v>264</v>
      </c>
      <c r="D653" s="282"/>
      <c r="E653" s="282"/>
      <c r="F653" s="282"/>
      <c r="G653" s="282"/>
      <c r="H653" s="283"/>
      <c r="I653" s="347"/>
      <c r="J653" s="348"/>
      <c r="K653" s="348"/>
      <c r="L653" s="348"/>
      <c r="M653" s="348"/>
      <c r="N653" s="349"/>
    </row>
    <row r="654" spans="1:14" x14ac:dyDescent="0.25">
      <c r="A654" s="340"/>
      <c r="B654" s="287"/>
      <c r="C654" s="287"/>
      <c r="D654" s="287"/>
      <c r="E654" s="287"/>
      <c r="F654" s="287"/>
      <c r="G654" s="287"/>
      <c r="H654" s="287"/>
      <c r="I654" s="287"/>
      <c r="J654" s="287"/>
      <c r="K654" s="287"/>
      <c r="L654" s="287"/>
      <c r="M654" s="287"/>
      <c r="N654" s="288"/>
    </row>
    <row r="655" spans="1:14" customFormat="1" x14ac:dyDescent="0.25">
      <c r="A655" s="339" t="s">
        <v>440</v>
      </c>
      <c r="B655" s="339"/>
      <c r="C655" s="339"/>
      <c r="D655" s="339"/>
      <c r="E655" s="339"/>
      <c r="F655" s="339"/>
      <c r="G655" s="339"/>
      <c r="H655" s="339"/>
      <c r="I655" s="339" t="s">
        <v>270</v>
      </c>
      <c r="J655" s="339"/>
      <c r="K655" s="339"/>
      <c r="L655" s="339"/>
      <c r="M655" s="339"/>
      <c r="N655" s="339"/>
    </row>
    <row r="656" spans="1:14" customFormat="1" x14ac:dyDescent="0.25">
      <c r="A656" s="279">
        <v>1</v>
      </c>
      <c r="B656" s="280"/>
      <c r="C656" s="281" t="s">
        <v>265</v>
      </c>
      <c r="D656" s="282"/>
      <c r="E656" s="282"/>
      <c r="F656" s="282"/>
      <c r="G656" s="282"/>
      <c r="H656" s="283"/>
      <c r="I656" s="341" t="s">
        <v>208</v>
      </c>
      <c r="J656" s="342"/>
      <c r="K656" s="342"/>
      <c r="L656" s="342"/>
      <c r="M656" s="342"/>
      <c r="N656" s="343"/>
    </row>
    <row r="657" spans="1:20" customFormat="1" x14ac:dyDescent="0.25">
      <c r="A657" s="279">
        <v>2</v>
      </c>
      <c r="B657" s="280"/>
      <c r="C657" s="281" t="s">
        <v>266</v>
      </c>
      <c r="D657" s="282"/>
      <c r="E657" s="282"/>
      <c r="F657" s="282"/>
      <c r="G657" s="282"/>
      <c r="H657" s="283"/>
      <c r="I657" s="344"/>
      <c r="J657" s="345"/>
      <c r="K657" s="345"/>
      <c r="L657" s="345"/>
      <c r="M657" s="345"/>
      <c r="N657" s="346"/>
    </row>
    <row r="658" spans="1:20" customFormat="1" x14ac:dyDescent="0.25">
      <c r="A658" s="279">
        <v>3</v>
      </c>
      <c r="B658" s="280"/>
      <c r="C658" s="281" t="s">
        <v>267</v>
      </c>
      <c r="D658" s="282"/>
      <c r="E658" s="282"/>
      <c r="F658" s="282"/>
      <c r="G658" s="282"/>
      <c r="H658" s="283"/>
      <c r="I658" s="344"/>
      <c r="J658" s="345"/>
      <c r="K658" s="345"/>
      <c r="L658" s="345"/>
      <c r="M658" s="345"/>
      <c r="N658" s="346"/>
    </row>
    <row r="659" spans="1:20" customFormat="1" x14ac:dyDescent="0.25">
      <c r="A659" s="279">
        <v>4</v>
      </c>
      <c r="B659" s="280"/>
      <c r="C659" s="281" t="s">
        <v>269</v>
      </c>
      <c r="D659" s="282"/>
      <c r="E659" s="282"/>
      <c r="F659" s="282"/>
      <c r="G659" s="282"/>
      <c r="H659" s="283"/>
      <c r="I659" s="344"/>
      <c r="J659" s="345"/>
      <c r="K659" s="345"/>
      <c r="L659" s="345"/>
      <c r="M659" s="345"/>
      <c r="N659" s="346"/>
    </row>
    <row r="660" spans="1:20" customFormat="1" x14ac:dyDescent="0.25">
      <c r="A660" s="279">
        <v>5</v>
      </c>
      <c r="B660" s="280"/>
      <c r="C660" s="281" t="s">
        <v>268</v>
      </c>
      <c r="D660" s="282"/>
      <c r="E660" s="282"/>
      <c r="F660" s="282"/>
      <c r="G660" s="282"/>
      <c r="H660" s="283"/>
      <c r="I660" s="347"/>
      <c r="J660" s="348"/>
      <c r="K660" s="348"/>
      <c r="L660" s="348"/>
      <c r="M660" s="348"/>
      <c r="N660" s="349"/>
    </row>
    <row r="661" spans="1:20" customFormat="1" x14ac:dyDescent="0.25">
      <c r="A661" s="279"/>
      <c r="B661" s="289"/>
      <c r="C661" s="289"/>
      <c r="D661" s="289"/>
      <c r="E661" s="289"/>
      <c r="F661" s="289"/>
      <c r="G661" s="289"/>
      <c r="H661" s="289"/>
      <c r="I661" s="289"/>
      <c r="J661" s="289"/>
      <c r="K661" s="289"/>
      <c r="L661" s="289"/>
      <c r="M661" s="289"/>
      <c r="N661" s="280"/>
    </row>
    <row r="662" spans="1:20" customFormat="1" x14ac:dyDescent="0.25">
      <c r="A662" s="295" t="s">
        <v>271</v>
      </c>
      <c r="B662" s="296"/>
      <c r="C662" s="296"/>
      <c r="D662" s="296"/>
      <c r="E662" s="296"/>
      <c r="F662" s="296"/>
      <c r="G662" s="296"/>
      <c r="H662" s="296"/>
      <c r="I662" s="296"/>
      <c r="J662" s="296"/>
      <c r="K662" s="296"/>
      <c r="L662" s="296"/>
      <c r="M662" s="296"/>
      <c r="N662" s="297"/>
    </row>
    <row r="663" spans="1:20" customFormat="1" x14ac:dyDescent="0.25">
      <c r="A663" s="279" t="s">
        <v>272</v>
      </c>
      <c r="B663" s="280"/>
      <c r="C663" s="281" t="s">
        <v>278</v>
      </c>
      <c r="D663" s="282"/>
      <c r="E663" s="282"/>
      <c r="F663" s="282"/>
      <c r="G663" s="282"/>
      <c r="H663" s="283"/>
      <c r="I663" s="278" t="s">
        <v>435</v>
      </c>
      <c r="J663" s="278"/>
      <c r="K663" s="278"/>
      <c r="L663" s="278"/>
      <c r="M663" s="278"/>
      <c r="N663" s="278"/>
    </row>
    <row r="664" spans="1:20" customFormat="1" x14ac:dyDescent="0.25">
      <c r="A664" s="279" t="s">
        <v>273</v>
      </c>
      <c r="B664" s="280"/>
      <c r="C664" s="281" t="s">
        <v>279</v>
      </c>
      <c r="D664" s="282"/>
      <c r="E664" s="282"/>
      <c r="F664" s="282"/>
      <c r="G664" s="282"/>
      <c r="H664" s="283"/>
      <c r="I664" s="278" t="s">
        <v>435</v>
      </c>
      <c r="J664" s="278"/>
      <c r="K664" s="278"/>
      <c r="L664" s="278"/>
      <c r="M664" s="278"/>
      <c r="N664" s="278"/>
    </row>
    <row r="665" spans="1:20" customFormat="1" x14ac:dyDescent="0.25">
      <c r="A665" s="279" t="s">
        <v>274</v>
      </c>
      <c r="B665" s="280"/>
      <c r="C665" s="281" t="s">
        <v>280</v>
      </c>
      <c r="D665" s="282"/>
      <c r="E665" s="282"/>
      <c r="F665" s="282"/>
      <c r="G665" s="282"/>
      <c r="H665" s="283"/>
      <c r="I665" s="278" t="s">
        <v>435</v>
      </c>
      <c r="J665" s="278"/>
      <c r="K665" s="278"/>
      <c r="L665" s="278"/>
      <c r="M665" s="278"/>
      <c r="N665" s="278"/>
    </row>
    <row r="666" spans="1:20" customFormat="1" x14ac:dyDescent="0.25">
      <c r="A666" s="279" t="s">
        <v>275</v>
      </c>
      <c r="B666" s="280"/>
      <c r="C666" s="281" t="s">
        <v>281</v>
      </c>
      <c r="D666" s="282"/>
      <c r="E666" s="282"/>
      <c r="F666" s="282"/>
      <c r="G666" s="282"/>
      <c r="H666" s="283"/>
      <c r="I666" s="278" t="s">
        <v>435</v>
      </c>
      <c r="J666" s="278"/>
      <c r="K666" s="278"/>
      <c r="L666" s="278"/>
      <c r="M666" s="278"/>
      <c r="N666" s="278"/>
    </row>
    <row r="667" spans="1:20" customFormat="1" x14ac:dyDescent="0.25">
      <c r="A667" s="279" t="s">
        <v>276</v>
      </c>
      <c r="B667" s="280"/>
      <c r="C667" s="281" t="s">
        <v>282</v>
      </c>
      <c r="D667" s="282"/>
      <c r="E667" s="282"/>
      <c r="F667" s="282"/>
      <c r="G667" s="282"/>
      <c r="H667" s="283"/>
      <c r="I667" s="278" t="s">
        <v>435</v>
      </c>
      <c r="J667" s="278"/>
      <c r="K667" s="278"/>
      <c r="L667" s="278"/>
      <c r="M667" s="278"/>
      <c r="N667" s="278"/>
    </row>
    <row r="668" spans="1:20" customFormat="1" x14ac:dyDescent="0.25">
      <c r="A668" s="279" t="s">
        <v>277</v>
      </c>
      <c r="B668" s="280"/>
      <c r="C668" s="281" t="s">
        <v>283</v>
      </c>
      <c r="D668" s="282"/>
      <c r="E668" s="282"/>
      <c r="F668" s="282"/>
      <c r="G668" s="282"/>
      <c r="H668" s="283"/>
      <c r="I668" s="278" t="s">
        <v>435</v>
      </c>
      <c r="J668" s="278"/>
      <c r="K668" s="278"/>
      <c r="L668" s="278"/>
      <c r="M668" s="278"/>
      <c r="N668" s="278"/>
    </row>
    <row r="669" spans="1:20" s="70" customFormat="1" x14ac:dyDescent="0.25">
      <c r="A669" s="293" t="s">
        <v>445</v>
      </c>
      <c r="B669" s="293"/>
      <c r="C669" s="293"/>
      <c r="D669" s="293"/>
      <c r="E669" s="293"/>
      <c r="F669" s="293"/>
      <c r="G669" s="293"/>
      <c r="H669" s="293"/>
      <c r="I669" s="294">
        <f>I624+I628</f>
        <v>1437726640.8960004</v>
      </c>
      <c r="J669" s="294"/>
      <c r="K669" s="294"/>
      <c r="L669" s="294"/>
      <c r="M669" s="294"/>
      <c r="N669" s="294"/>
      <c r="P669" s="72">
        <v>1437726641</v>
      </c>
    </row>
    <row r="670" spans="1:20" s="70" customFormat="1" ht="28.5" customHeight="1" x14ac:dyDescent="0.25">
      <c r="A670" s="293" t="s">
        <v>446</v>
      </c>
      <c r="B670" s="293"/>
      <c r="C670" s="293"/>
      <c r="D670" s="293"/>
      <c r="E670" s="293"/>
      <c r="F670" s="293"/>
      <c r="G670" s="293"/>
      <c r="H670" s="293"/>
      <c r="I670" s="350" t="s">
        <v>702</v>
      </c>
      <c r="J670" s="350"/>
      <c r="K670" s="350"/>
      <c r="L670" s="350"/>
      <c r="M670" s="350"/>
      <c r="N670" s="350"/>
      <c r="O670" s="496" t="e">
        <f ca="1">NumToWords(O669)</f>
        <v>#NAME?</v>
      </c>
      <c r="P670" s="496"/>
      <c r="Q670" s="496"/>
      <c r="R670" s="496"/>
      <c r="S670" s="496"/>
      <c r="T670" s="496"/>
    </row>
    <row r="671" spans="1:20" customFormat="1" x14ac:dyDescent="0.25">
      <c r="A671" s="279"/>
      <c r="B671" s="289"/>
      <c r="C671" s="289"/>
      <c r="D671" s="289"/>
      <c r="E671" s="289"/>
      <c r="F671" s="289"/>
      <c r="G671" s="289"/>
      <c r="H671" s="289"/>
      <c r="I671" s="289"/>
      <c r="J671" s="289"/>
      <c r="K671" s="289"/>
      <c r="L671" s="289"/>
      <c r="M671" s="289"/>
      <c r="N671" s="280"/>
    </row>
    <row r="672" spans="1:20" customFormat="1" ht="76.5" customHeight="1" x14ac:dyDescent="0.25">
      <c r="A672" s="290" t="s">
        <v>703</v>
      </c>
      <c r="B672" s="291"/>
      <c r="C672" s="291"/>
      <c r="D672" s="291"/>
      <c r="E672" s="291"/>
      <c r="F672" s="291"/>
      <c r="G672" s="291"/>
      <c r="H672" s="291"/>
      <c r="I672" s="291"/>
      <c r="J672" s="291"/>
      <c r="K672" s="291"/>
      <c r="L672" s="291"/>
      <c r="M672" s="291"/>
      <c r="N672" s="292"/>
    </row>
    <row r="673" spans="1:14" customFormat="1" ht="52.5" hidden="1" customHeight="1" x14ac:dyDescent="0.25">
      <c r="A673" s="290" t="s">
        <v>329</v>
      </c>
      <c r="B673" s="291"/>
      <c r="C673" s="291"/>
      <c r="D673" s="291"/>
      <c r="E673" s="291"/>
      <c r="F673" s="291"/>
      <c r="G673" s="291"/>
      <c r="H673" s="291"/>
      <c r="I673" s="291"/>
      <c r="J673" s="291"/>
      <c r="K673" s="291"/>
      <c r="L673" s="101"/>
      <c r="M673" s="287"/>
      <c r="N673" s="288"/>
    </row>
    <row r="674" spans="1:14" ht="15" customHeight="1" x14ac:dyDescent="0.25">
      <c r="A674" s="444" t="s">
        <v>57</v>
      </c>
      <c r="B674" s="445"/>
      <c r="C674" s="445"/>
      <c r="D674" s="445"/>
      <c r="E674" s="445"/>
      <c r="F674" s="445"/>
      <c r="G674" s="445"/>
      <c r="H674" s="445"/>
      <c r="I674" s="445"/>
      <c r="J674" s="445"/>
      <c r="K674" s="445"/>
      <c r="L674" s="445"/>
      <c r="M674" s="445"/>
      <c r="N674" s="446"/>
    </row>
    <row r="675" spans="1:14" x14ac:dyDescent="0.25">
      <c r="A675" s="131">
        <v>1</v>
      </c>
      <c r="B675" s="284" t="s">
        <v>436</v>
      </c>
      <c r="C675" s="285"/>
      <c r="D675" s="285"/>
      <c r="E675" s="285"/>
      <c r="F675" s="285"/>
      <c r="G675" s="285"/>
      <c r="H675" s="285"/>
      <c r="I675" s="285"/>
      <c r="J675" s="285"/>
      <c r="K675" s="285"/>
      <c r="L675" s="285"/>
      <c r="M675" s="285"/>
      <c r="N675" s="285"/>
    </row>
    <row r="676" spans="1:14" x14ac:dyDescent="0.25">
      <c r="A676" s="131">
        <f>A675+1</f>
        <v>2</v>
      </c>
      <c r="B676" s="284" t="s">
        <v>437</v>
      </c>
      <c r="C676" s="285"/>
      <c r="D676" s="285"/>
      <c r="E676" s="285"/>
      <c r="F676" s="285"/>
      <c r="G676" s="285"/>
      <c r="H676" s="285"/>
      <c r="I676" s="285"/>
      <c r="J676" s="285"/>
      <c r="K676" s="285"/>
      <c r="L676" s="285"/>
      <c r="M676" s="285"/>
      <c r="N676" s="285"/>
    </row>
    <row r="677" spans="1:14" x14ac:dyDescent="0.25">
      <c r="A677" s="131">
        <f t="shared" ref="A677:A684" si="157">A676+1</f>
        <v>3</v>
      </c>
      <c r="B677" s="284" t="s">
        <v>704</v>
      </c>
      <c r="C677" s="285"/>
      <c r="D677" s="285"/>
      <c r="E677" s="285"/>
      <c r="F677" s="285"/>
      <c r="G677" s="285"/>
      <c r="H677" s="285"/>
      <c r="I677" s="285"/>
      <c r="J677" s="285"/>
      <c r="K677" s="285"/>
      <c r="L677" s="285"/>
      <c r="M677" s="285"/>
      <c r="N677" s="285"/>
    </row>
    <row r="678" spans="1:14" x14ac:dyDescent="0.25">
      <c r="A678" s="131">
        <f t="shared" si="157"/>
        <v>4</v>
      </c>
      <c r="B678" s="285" t="s">
        <v>438</v>
      </c>
      <c r="C678" s="285"/>
      <c r="D678" s="285"/>
      <c r="E678" s="285"/>
      <c r="F678" s="285"/>
      <c r="G678" s="285"/>
      <c r="H678" s="285"/>
      <c r="I678" s="285"/>
      <c r="J678" s="285"/>
      <c r="K678" s="285"/>
      <c r="L678" s="285"/>
      <c r="M678" s="285"/>
      <c r="N678" s="285"/>
    </row>
    <row r="679" spans="1:14" x14ac:dyDescent="0.25">
      <c r="A679" s="131">
        <f t="shared" si="157"/>
        <v>5</v>
      </c>
      <c r="B679" s="285" t="s">
        <v>109</v>
      </c>
      <c r="C679" s="285"/>
      <c r="D679" s="285"/>
      <c r="E679" s="285"/>
      <c r="F679" s="285"/>
      <c r="G679" s="285"/>
      <c r="H679" s="285"/>
      <c r="I679" s="285"/>
      <c r="J679" s="285"/>
      <c r="K679" s="285"/>
      <c r="L679" s="285"/>
      <c r="M679" s="285"/>
      <c r="N679" s="285"/>
    </row>
    <row r="680" spans="1:14" ht="15" customHeight="1" x14ac:dyDescent="0.25">
      <c r="A680" s="131">
        <f t="shared" si="157"/>
        <v>6</v>
      </c>
      <c r="B680" s="309" t="s">
        <v>700</v>
      </c>
      <c r="C680" s="310"/>
      <c r="D680" s="310"/>
      <c r="E680" s="310"/>
      <c r="F680" s="310"/>
      <c r="G680" s="310"/>
      <c r="H680" s="310"/>
      <c r="I680" s="310"/>
      <c r="J680" s="310"/>
      <c r="K680" s="310"/>
      <c r="L680" s="310"/>
      <c r="M680" s="310"/>
      <c r="N680" s="311"/>
    </row>
    <row r="681" spans="1:14" ht="30.75" customHeight="1" x14ac:dyDescent="0.25">
      <c r="A681" s="131">
        <f t="shared" si="157"/>
        <v>7</v>
      </c>
      <c r="B681" s="284" t="s">
        <v>693</v>
      </c>
      <c r="C681" s="284"/>
      <c r="D681" s="284"/>
      <c r="E681" s="284"/>
      <c r="F681" s="284"/>
      <c r="G681" s="284"/>
      <c r="H681" s="284"/>
      <c r="I681" s="284"/>
      <c r="J681" s="284"/>
      <c r="K681" s="284"/>
      <c r="L681" s="284"/>
      <c r="M681" s="284"/>
      <c r="N681" s="284"/>
    </row>
    <row r="682" spans="1:14" ht="30" customHeight="1" x14ac:dyDescent="0.25">
      <c r="A682" s="131">
        <f t="shared" si="157"/>
        <v>8</v>
      </c>
      <c r="B682" s="351" t="s">
        <v>620</v>
      </c>
      <c r="C682" s="351"/>
      <c r="D682" s="351"/>
      <c r="E682" s="351"/>
      <c r="F682" s="351"/>
      <c r="G682" s="351"/>
      <c r="H682" s="351"/>
      <c r="I682" s="351"/>
      <c r="J682" s="351"/>
      <c r="K682" s="351"/>
      <c r="L682" s="351"/>
      <c r="M682" s="351"/>
      <c r="N682" s="351"/>
    </row>
    <row r="683" spans="1:14" x14ac:dyDescent="0.25">
      <c r="A683" s="131">
        <f t="shared" si="157"/>
        <v>9</v>
      </c>
      <c r="B683" s="284" t="s">
        <v>439</v>
      </c>
      <c r="C683" s="284"/>
      <c r="D683" s="284"/>
      <c r="E683" s="284"/>
      <c r="F683" s="284"/>
      <c r="G683" s="284"/>
      <c r="H683" s="284"/>
      <c r="I683" s="284"/>
      <c r="J683" s="284"/>
      <c r="K683" s="284"/>
      <c r="L683" s="284"/>
      <c r="M683" s="284"/>
      <c r="N683" s="284"/>
    </row>
    <row r="684" spans="1:14" x14ac:dyDescent="0.25">
      <c r="A684" s="131">
        <f t="shared" si="157"/>
        <v>10</v>
      </c>
      <c r="B684" s="285" t="s">
        <v>682</v>
      </c>
      <c r="C684" s="285"/>
      <c r="D684" s="285"/>
      <c r="E684" s="285"/>
      <c r="F684" s="285"/>
      <c r="G684" s="285"/>
      <c r="H684" s="285"/>
      <c r="I684" s="285"/>
      <c r="J684" s="285"/>
      <c r="K684" s="285"/>
      <c r="L684" s="285"/>
      <c r="M684" s="285"/>
      <c r="N684" s="285"/>
    </row>
    <row r="685" spans="1:14" x14ac:dyDescent="0.25">
      <c r="A685" s="16" t="s">
        <v>58</v>
      </c>
      <c r="B685" s="10"/>
      <c r="C685" s="4"/>
      <c r="D685" s="4"/>
      <c r="E685" s="4"/>
      <c r="F685" s="4"/>
      <c r="G685" s="4"/>
      <c r="H685" s="47" t="str">
        <f>I52</f>
        <v>Bhaveshwar Callista 3</v>
      </c>
      <c r="I685" s="2"/>
      <c r="J685" s="2"/>
      <c r="K685" s="2"/>
      <c r="L685" s="2"/>
      <c r="M685" s="2"/>
      <c r="N685" s="2"/>
    </row>
    <row r="686" spans="1:14" x14ac:dyDescent="0.25">
      <c r="A686" s="4"/>
      <c r="B686" s="10"/>
      <c r="C686" s="4"/>
      <c r="D686" s="4"/>
      <c r="E686" s="4"/>
      <c r="F686" s="4"/>
      <c r="G686" s="4"/>
      <c r="H686" s="4"/>
      <c r="I686" s="4"/>
      <c r="J686" s="4"/>
      <c r="K686" s="4"/>
      <c r="L686" s="4"/>
      <c r="M686" s="4"/>
      <c r="N686" s="4"/>
    </row>
    <row r="687" spans="1:14" x14ac:dyDescent="0.25">
      <c r="A687" s="4"/>
      <c r="B687" s="10"/>
      <c r="C687" s="4"/>
      <c r="D687" s="4"/>
      <c r="E687" s="4"/>
      <c r="F687" s="4"/>
      <c r="G687" s="4"/>
      <c r="H687" s="4"/>
      <c r="I687" s="4"/>
      <c r="J687" s="4"/>
      <c r="K687" s="4"/>
      <c r="L687" s="4"/>
      <c r="M687" s="4"/>
      <c r="N687" s="4"/>
    </row>
    <row r="731" spans="1:2" ht="18.75" x14ac:dyDescent="0.25">
      <c r="A731" s="312" t="s">
        <v>284</v>
      </c>
      <c r="B731" s="312"/>
    </row>
    <row r="777" spans="1:1" x14ac:dyDescent="0.25">
      <c r="A777" s="3" t="s">
        <v>0</v>
      </c>
    </row>
    <row r="823" spans="1:14" x14ac:dyDescent="0.25">
      <c r="A823" s="27" t="s">
        <v>330</v>
      </c>
      <c r="B823" s="27"/>
      <c r="C823" s="27"/>
      <c r="D823" s="27"/>
      <c r="E823" s="27"/>
      <c r="F823" s="27"/>
      <c r="G823" s="27"/>
      <c r="H823" s="27"/>
      <c r="I823" s="27"/>
      <c r="J823" s="27"/>
      <c r="K823" s="27"/>
      <c r="L823" s="27"/>
      <c r="M823" s="27"/>
      <c r="N823" s="27"/>
    </row>
    <row r="824" spans="1:14" ht="15" customHeight="1" x14ac:dyDescent="0.25">
      <c r="A824" s="334"/>
      <c r="B824" s="334"/>
      <c r="C824" s="334"/>
      <c r="D824" s="334"/>
      <c r="E824" s="66"/>
      <c r="F824" s="66"/>
      <c r="G824" s="66"/>
      <c r="H824" s="66"/>
      <c r="I824" s="66"/>
      <c r="J824" s="66"/>
      <c r="K824" s="66"/>
      <c r="L824" s="66"/>
      <c r="M824" s="334"/>
      <c r="N824" s="334"/>
    </row>
    <row r="825" spans="1:14" ht="15" customHeight="1" x14ac:dyDescent="0.25">
      <c r="A825" s="334"/>
      <c r="B825" s="334"/>
      <c r="C825" s="334"/>
      <c r="D825" s="334"/>
      <c r="E825" s="66"/>
      <c r="F825" s="66"/>
      <c r="G825" s="66"/>
      <c r="H825" s="68"/>
      <c r="I825" s="12"/>
      <c r="J825" s="12"/>
      <c r="K825" s="61"/>
      <c r="L825" s="61"/>
      <c r="M825" s="334"/>
      <c r="N825" s="334"/>
    </row>
    <row r="826" spans="1:14" ht="15" customHeight="1" x14ac:dyDescent="0.25">
      <c r="A826" s="334"/>
      <c r="B826" s="334"/>
      <c r="C826" s="334"/>
      <c r="D826" s="334"/>
      <c r="E826" s="66"/>
      <c r="F826" s="66"/>
      <c r="G826" s="66"/>
      <c r="H826" s="68"/>
      <c r="I826" s="12"/>
      <c r="J826" s="12"/>
      <c r="K826" s="61"/>
      <c r="L826" s="61"/>
      <c r="M826" s="334"/>
      <c r="N826" s="334"/>
    </row>
    <row r="827" spans="1:14" ht="15" customHeight="1" x14ac:dyDescent="0.25">
      <c r="A827" s="334"/>
      <c r="B827" s="334"/>
      <c r="C827" s="334"/>
      <c r="D827" s="334"/>
      <c r="E827" s="66"/>
      <c r="F827" s="66"/>
      <c r="G827" s="66"/>
      <c r="H827" s="68"/>
      <c r="I827" s="12"/>
      <c r="J827" s="12"/>
      <c r="K827" s="61"/>
      <c r="L827" s="61"/>
      <c r="M827" s="334"/>
      <c r="N827" s="334"/>
    </row>
    <row r="828" spans="1:14" ht="15" customHeight="1" x14ac:dyDescent="0.25">
      <c r="A828" s="334"/>
      <c r="B828" s="334"/>
      <c r="C828" s="334"/>
      <c r="D828" s="334"/>
      <c r="E828" s="66"/>
      <c r="F828" s="66"/>
      <c r="G828" s="66"/>
      <c r="H828" s="68"/>
      <c r="I828" s="61"/>
      <c r="J828" s="12"/>
      <c r="K828" s="61"/>
      <c r="L828" s="61"/>
      <c r="M828" s="334"/>
      <c r="N828" s="334"/>
    </row>
    <row r="829" spans="1:14" ht="15" customHeight="1" x14ac:dyDescent="0.25">
      <c r="A829" s="334"/>
      <c r="B829" s="334"/>
      <c r="C829" s="334"/>
      <c r="D829" s="334"/>
      <c r="E829" s="66"/>
      <c r="F829" s="66"/>
      <c r="G829" s="66"/>
      <c r="H829" s="68"/>
      <c r="I829" s="12"/>
      <c r="J829" s="12"/>
      <c r="K829" s="61"/>
      <c r="L829" s="61"/>
      <c r="M829" s="334"/>
      <c r="N829" s="334"/>
    </row>
    <row r="830" spans="1:14" ht="15" customHeight="1" x14ac:dyDescent="0.25">
      <c r="A830" s="334"/>
      <c r="B830" s="334"/>
      <c r="C830" s="334"/>
      <c r="D830" s="334"/>
      <c r="E830" s="66"/>
      <c r="F830" s="66"/>
      <c r="G830" s="66"/>
      <c r="H830" s="68"/>
      <c r="I830" s="12"/>
      <c r="J830" s="12"/>
      <c r="K830" s="61"/>
      <c r="L830" s="61"/>
      <c r="M830" s="334"/>
      <c r="N830" s="334"/>
    </row>
    <row r="831" spans="1:14" ht="15" customHeight="1" x14ac:dyDescent="0.25">
      <c r="A831" s="334"/>
      <c r="B831" s="334"/>
      <c r="C831" s="334"/>
      <c r="D831" s="334"/>
      <c r="E831" s="66"/>
      <c r="F831" s="66"/>
      <c r="G831" s="66"/>
      <c r="H831" s="68"/>
      <c r="I831" s="61"/>
      <c r="J831" s="12"/>
      <c r="K831" s="61"/>
      <c r="L831" s="61"/>
      <c r="M831" s="334"/>
      <c r="N831" s="334"/>
    </row>
    <row r="832" spans="1:14" ht="15" customHeight="1" x14ac:dyDescent="0.25">
      <c r="A832" s="334"/>
      <c r="B832" s="334"/>
      <c r="C832" s="334"/>
      <c r="D832" s="334"/>
      <c r="E832" s="334"/>
      <c r="F832" s="334"/>
      <c r="G832" s="334"/>
      <c r="H832" s="334"/>
      <c r="I832" s="334"/>
      <c r="J832" s="334"/>
      <c r="K832" s="62"/>
      <c r="L832" s="62"/>
      <c r="M832" s="334"/>
      <c r="N832" s="334"/>
    </row>
    <row r="833" spans="1:14" x14ac:dyDescent="0.25">
      <c r="A833" s="338"/>
      <c r="B833" s="338"/>
      <c r="C833" s="338"/>
      <c r="D833" s="338"/>
      <c r="E833" s="338"/>
      <c r="F833" s="338"/>
      <c r="G833" s="338"/>
      <c r="H833" s="338"/>
      <c r="I833" s="338"/>
      <c r="J833" s="338"/>
      <c r="K833" s="65"/>
      <c r="L833" s="65"/>
      <c r="M833" s="334"/>
      <c r="N833" s="334"/>
    </row>
    <row r="869" spans="1:1" x14ac:dyDescent="0.25">
      <c r="A869" s="27" t="s">
        <v>59</v>
      </c>
    </row>
    <row r="915" spans="1:1" x14ac:dyDescent="0.25">
      <c r="A915" s="27" t="s">
        <v>59</v>
      </c>
    </row>
    <row r="961" spans="1:1" x14ac:dyDescent="0.25">
      <c r="A961" s="27" t="s">
        <v>59</v>
      </c>
    </row>
    <row r="1007" spans="1:14" ht="31.5" customHeight="1" x14ac:dyDescent="0.25">
      <c r="A1007" s="305" t="s">
        <v>449</v>
      </c>
      <c r="B1007" s="305"/>
      <c r="C1007" s="305"/>
      <c r="D1007" s="305"/>
      <c r="E1007" s="305"/>
      <c r="F1007" s="305"/>
      <c r="G1007" s="305"/>
      <c r="H1007" s="305"/>
      <c r="I1007" s="305"/>
      <c r="J1007" s="305"/>
      <c r="K1007" s="305"/>
      <c r="L1007" s="305"/>
      <c r="M1007" s="305"/>
      <c r="N1007" s="305"/>
    </row>
    <row r="1011" spans="1:14" x14ac:dyDescent="0.25">
      <c r="A1011" s="333" t="s">
        <v>331</v>
      </c>
      <c r="B1011" s="333"/>
    </row>
    <row r="1013" spans="1:14" x14ac:dyDescent="0.25">
      <c r="A1013" s="333" t="s">
        <v>332</v>
      </c>
      <c r="B1013" s="333"/>
    </row>
    <row r="1016" spans="1:14" x14ac:dyDescent="0.25">
      <c r="K1016" s="333" t="s">
        <v>333</v>
      </c>
      <c r="L1016" s="333"/>
      <c r="M1016" s="333"/>
    </row>
    <row r="1017" spans="1:14" x14ac:dyDescent="0.25">
      <c r="J1017" s="333" t="s">
        <v>334</v>
      </c>
      <c r="K1017" s="333"/>
      <c r="L1017" s="333"/>
      <c r="M1017" s="333"/>
      <c r="N1017" s="333"/>
    </row>
    <row r="1020" spans="1:14" ht="60" customHeight="1" x14ac:dyDescent="0.25">
      <c r="A1020" s="305" t="s">
        <v>447</v>
      </c>
      <c r="B1020" s="305"/>
      <c r="C1020" s="305"/>
      <c r="D1020" s="305"/>
      <c r="E1020" s="305"/>
      <c r="F1020" s="305"/>
      <c r="G1020" s="305"/>
      <c r="H1020" s="305"/>
      <c r="I1020" s="305"/>
      <c r="J1020" s="305"/>
      <c r="K1020" s="305"/>
      <c r="L1020" s="305"/>
      <c r="M1020" s="305"/>
      <c r="N1020" s="305"/>
    </row>
    <row r="1022" spans="1:14" x14ac:dyDescent="0.25">
      <c r="K1022" s="333" t="s">
        <v>333</v>
      </c>
      <c r="L1022" s="333"/>
      <c r="M1022" s="333"/>
    </row>
    <row r="1023" spans="1:14" x14ac:dyDescent="0.25">
      <c r="J1023" s="333" t="s">
        <v>335</v>
      </c>
      <c r="K1023" s="333"/>
      <c r="L1023" s="333"/>
      <c r="M1023" s="333"/>
      <c r="N1023" s="333"/>
    </row>
    <row r="1026" spans="1:14" x14ac:dyDescent="0.25">
      <c r="A1026" s="333"/>
      <c r="B1026" s="333"/>
      <c r="C1026" s="333"/>
      <c r="D1026" s="333"/>
      <c r="E1026" s="333"/>
      <c r="F1026" s="333"/>
      <c r="G1026" s="333"/>
      <c r="H1026" s="333"/>
      <c r="I1026" s="333"/>
      <c r="J1026" s="333"/>
      <c r="K1026" s="333"/>
      <c r="L1026" s="333"/>
      <c r="M1026" s="333"/>
      <c r="N1026" s="333"/>
    </row>
    <row r="1027" spans="1:14" x14ac:dyDescent="0.25">
      <c r="A1027" s="67"/>
      <c r="N1027" s="44"/>
    </row>
    <row r="1028" spans="1:14" x14ac:dyDescent="0.25">
      <c r="A1028" s="67"/>
      <c r="N1028" s="44"/>
    </row>
    <row r="1029" spans="1:14" x14ac:dyDescent="0.25">
      <c r="B1029" s="69" t="s">
        <v>337</v>
      </c>
      <c r="C1029" s="304" t="s">
        <v>336</v>
      </c>
      <c r="D1029" s="304"/>
      <c r="E1029" s="304"/>
      <c r="F1029" s="304"/>
      <c r="G1029" s="304"/>
      <c r="H1029" s="304"/>
      <c r="I1029" s="304"/>
      <c r="J1029" s="304"/>
      <c r="K1029" s="308" t="s">
        <v>339</v>
      </c>
      <c r="L1029" s="308"/>
      <c r="M1029" s="308"/>
    </row>
    <row r="1030" spans="1:14" x14ac:dyDescent="0.25">
      <c r="B1030" s="26" t="s">
        <v>337</v>
      </c>
      <c r="C1030" s="221" t="s">
        <v>338</v>
      </c>
      <c r="D1030" s="221"/>
      <c r="E1030" s="221"/>
      <c r="F1030" s="221"/>
      <c r="G1030" s="221"/>
      <c r="H1030" s="221"/>
      <c r="I1030" s="221"/>
      <c r="J1030" s="221"/>
      <c r="K1030" s="308" t="s">
        <v>339</v>
      </c>
      <c r="L1030" s="308"/>
      <c r="M1030" s="308"/>
    </row>
    <row r="1032" spans="1:14" ht="15.75" customHeight="1" x14ac:dyDescent="0.25"/>
    <row r="1033" spans="1:14" customFormat="1" ht="15" customHeight="1" x14ac:dyDescent="0.25">
      <c r="A1033" s="335" t="s">
        <v>287</v>
      </c>
      <c r="B1033" s="335"/>
      <c r="C1033" s="335"/>
      <c r="D1033" s="335"/>
      <c r="E1033" s="335"/>
      <c r="F1033" s="335"/>
      <c r="G1033" s="335"/>
      <c r="H1033" s="335"/>
      <c r="I1033" s="335"/>
      <c r="J1033" s="335"/>
      <c r="K1033" s="335"/>
      <c r="L1033" s="335"/>
      <c r="M1033" s="335"/>
      <c r="N1033" s="335"/>
    </row>
    <row r="1034" spans="1:14" customFormat="1" ht="15" customHeight="1" x14ac:dyDescent="0.25">
      <c r="A1034" s="336" t="s">
        <v>340</v>
      </c>
      <c r="B1034" s="336"/>
      <c r="C1034" s="336"/>
      <c r="D1034" s="336"/>
      <c r="E1034" s="336"/>
      <c r="F1034" s="336"/>
      <c r="G1034" s="336"/>
      <c r="H1034" s="336"/>
      <c r="I1034" s="336"/>
      <c r="J1034" s="336"/>
      <c r="K1034" s="336"/>
      <c r="L1034" s="336"/>
      <c r="M1034" s="336"/>
      <c r="N1034" s="336"/>
    </row>
    <row r="1035" spans="1:14" customFormat="1" ht="15" customHeight="1" x14ac:dyDescent="0.25">
      <c r="A1035" s="337" t="s">
        <v>288</v>
      </c>
      <c r="B1035" s="337"/>
      <c r="C1035" s="337"/>
      <c r="D1035" s="337"/>
      <c r="E1035" s="337"/>
      <c r="F1035" s="337"/>
      <c r="G1035" s="337"/>
      <c r="H1035" s="337"/>
      <c r="I1035" s="337"/>
      <c r="J1035" s="337"/>
      <c r="K1035" s="337"/>
      <c r="L1035" s="337"/>
      <c r="M1035" s="337"/>
      <c r="N1035" s="337"/>
    </row>
    <row r="1036" spans="1:14" customFormat="1" x14ac:dyDescent="0.25">
      <c r="A1036" s="52">
        <v>1</v>
      </c>
      <c r="B1036" s="304" t="s">
        <v>289</v>
      </c>
      <c r="C1036" s="304"/>
      <c r="D1036" s="304"/>
      <c r="E1036" s="304"/>
      <c r="F1036" s="304"/>
      <c r="G1036" s="304"/>
      <c r="H1036" s="304"/>
      <c r="I1036" s="304"/>
      <c r="J1036" s="304"/>
      <c r="K1036" s="304"/>
      <c r="L1036" s="304"/>
      <c r="M1036" s="304"/>
      <c r="N1036" s="304"/>
    </row>
    <row r="1037" spans="1:14" customFormat="1" ht="30.75" customHeight="1" x14ac:dyDescent="0.25">
      <c r="A1037" s="52">
        <v>2</v>
      </c>
      <c r="B1037" s="304" t="s">
        <v>290</v>
      </c>
      <c r="C1037" s="304"/>
      <c r="D1037" s="304"/>
      <c r="E1037" s="304"/>
      <c r="F1037" s="304"/>
      <c r="G1037" s="304"/>
      <c r="H1037" s="304"/>
      <c r="I1037" s="304"/>
      <c r="J1037" s="304"/>
      <c r="K1037" s="304"/>
      <c r="L1037" s="304"/>
      <c r="M1037" s="304"/>
      <c r="N1037" s="304"/>
    </row>
    <row r="1038" spans="1:14" customFormat="1" ht="30" customHeight="1" x14ac:dyDescent="0.25">
      <c r="A1038" s="52">
        <v>3</v>
      </c>
      <c r="B1038" s="304" t="s">
        <v>697</v>
      </c>
      <c r="C1038" s="304"/>
      <c r="D1038" s="304"/>
      <c r="E1038" s="304"/>
      <c r="F1038" s="304"/>
      <c r="G1038" s="304"/>
      <c r="H1038" s="304"/>
      <c r="I1038" s="304"/>
      <c r="J1038" s="304"/>
      <c r="K1038" s="304"/>
      <c r="L1038" s="304"/>
      <c r="M1038" s="304"/>
      <c r="N1038" s="304"/>
    </row>
    <row r="1039" spans="1:14" customFormat="1" x14ac:dyDescent="0.25">
      <c r="A1039" s="52">
        <v>4</v>
      </c>
      <c r="B1039" s="304" t="s">
        <v>698</v>
      </c>
      <c r="C1039" s="304"/>
      <c r="D1039" s="304"/>
      <c r="E1039" s="304"/>
      <c r="F1039" s="304"/>
      <c r="G1039" s="304"/>
      <c r="H1039" s="304"/>
      <c r="I1039" s="304"/>
      <c r="J1039" s="304"/>
      <c r="K1039" s="304"/>
      <c r="L1039" s="304"/>
      <c r="M1039" s="304"/>
      <c r="N1039" s="304"/>
    </row>
    <row r="1040" spans="1:14" customFormat="1" ht="15" customHeight="1" x14ac:dyDescent="0.25">
      <c r="A1040" s="52">
        <v>5</v>
      </c>
      <c r="B1040" s="304" t="s">
        <v>291</v>
      </c>
      <c r="C1040" s="304"/>
      <c r="D1040" s="304"/>
      <c r="E1040" s="304"/>
      <c r="F1040" s="304"/>
      <c r="G1040" s="304"/>
      <c r="H1040" s="304"/>
      <c r="I1040" s="304"/>
      <c r="J1040" s="304"/>
      <c r="K1040" s="304"/>
      <c r="L1040" s="304"/>
      <c r="M1040" s="304"/>
      <c r="N1040" s="304"/>
    </row>
    <row r="1041" spans="1:14" customFormat="1" ht="32.25" customHeight="1" x14ac:dyDescent="0.25">
      <c r="A1041" s="52">
        <v>6</v>
      </c>
      <c r="B1041" s="304" t="s">
        <v>292</v>
      </c>
      <c r="C1041" s="304"/>
      <c r="D1041" s="304"/>
      <c r="E1041" s="304"/>
      <c r="F1041" s="304"/>
      <c r="G1041" s="304"/>
      <c r="H1041" s="304"/>
      <c r="I1041" s="304"/>
      <c r="J1041" s="304"/>
      <c r="K1041" s="304"/>
      <c r="L1041" s="304"/>
      <c r="M1041" s="304"/>
      <c r="N1041" s="304"/>
    </row>
    <row r="1042" spans="1:14" customFormat="1" ht="15" customHeight="1" x14ac:dyDescent="0.25">
      <c r="A1042" s="52">
        <v>7</v>
      </c>
      <c r="B1042" s="304" t="s">
        <v>293</v>
      </c>
      <c r="C1042" s="304"/>
      <c r="D1042" s="304"/>
      <c r="E1042" s="304"/>
      <c r="F1042" s="304"/>
      <c r="G1042" s="304"/>
      <c r="H1042" s="304"/>
      <c r="I1042" s="304"/>
      <c r="J1042" s="304"/>
      <c r="K1042" s="304"/>
      <c r="L1042" s="304"/>
      <c r="M1042" s="304"/>
      <c r="N1042" s="304"/>
    </row>
    <row r="1043" spans="1:14" customFormat="1" ht="15" customHeight="1" x14ac:dyDescent="0.25">
      <c r="A1043" s="52">
        <v>8</v>
      </c>
      <c r="B1043" s="304" t="s">
        <v>294</v>
      </c>
      <c r="C1043" s="304"/>
      <c r="D1043" s="304"/>
      <c r="E1043" s="304"/>
      <c r="F1043" s="304"/>
      <c r="G1043" s="304"/>
      <c r="H1043" s="304"/>
      <c r="I1043" s="304"/>
      <c r="J1043" s="304"/>
      <c r="K1043" s="304"/>
      <c r="L1043" s="304"/>
      <c r="M1043" s="304"/>
      <c r="N1043" s="304"/>
    </row>
    <row r="1044" spans="1:14" customFormat="1" ht="15" customHeight="1" x14ac:dyDescent="0.25">
      <c r="A1044" s="52">
        <v>9</v>
      </c>
      <c r="B1044" s="304" t="s">
        <v>295</v>
      </c>
      <c r="C1044" s="304"/>
      <c r="D1044" s="304"/>
      <c r="E1044" s="304"/>
      <c r="F1044" s="304"/>
      <c r="G1044" s="304"/>
      <c r="H1044" s="304"/>
      <c r="I1044" s="304"/>
      <c r="J1044" s="304"/>
      <c r="K1044" s="304"/>
      <c r="L1044" s="304"/>
      <c r="M1044" s="304"/>
      <c r="N1044" s="304"/>
    </row>
    <row r="1045" spans="1:14" customFormat="1" ht="15" customHeight="1" x14ac:dyDescent="0.25">
      <c r="A1045" s="52">
        <v>10</v>
      </c>
      <c r="B1045" s="304" t="s">
        <v>296</v>
      </c>
      <c r="C1045" s="304"/>
      <c r="D1045" s="304"/>
      <c r="E1045" s="304"/>
      <c r="F1045" s="304"/>
      <c r="G1045" s="304"/>
      <c r="H1045" s="304"/>
      <c r="I1045" s="304"/>
      <c r="J1045" s="304"/>
      <c r="K1045" s="304"/>
      <c r="L1045" s="304"/>
      <c r="M1045" s="304"/>
      <c r="N1045" s="304"/>
    </row>
    <row r="1046" spans="1:14" customFormat="1" ht="15" customHeight="1" x14ac:dyDescent="0.25">
      <c r="A1046" s="52">
        <v>11</v>
      </c>
      <c r="B1046" s="304" t="s">
        <v>297</v>
      </c>
      <c r="C1046" s="304"/>
      <c r="D1046" s="304"/>
      <c r="E1046" s="304"/>
      <c r="F1046" s="304"/>
      <c r="G1046" s="304"/>
      <c r="H1046" s="304"/>
      <c r="I1046" s="304"/>
      <c r="J1046" s="304"/>
      <c r="K1046" s="304"/>
      <c r="L1046" s="304"/>
      <c r="M1046" s="304"/>
      <c r="N1046" s="304"/>
    </row>
    <row r="1047" spans="1:14" customFormat="1" ht="15" customHeight="1" x14ac:dyDescent="0.25">
      <c r="A1047" s="52">
        <v>12</v>
      </c>
      <c r="B1047" s="304" t="s">
        <v>298</v>
      </c>
      <c r="C1047" s="304"/>
      <c r="D1047" s="304"/>
      <c r="E1047" s="304"/>
      <c r="F1047" s="304"/>
      <c r="G1047" s="304"/>
      <c r="H1047" s="304"/>
      <c r="I1047" s="304"/>
      <c r="J1047" s="304"/>
      <c r="K1047" s="304"/>
      <c r="L1047" s="304"/>
      <c r="M1047" s="304"/>
      <c r="N1047" s="304"/>
    </row>
    <row r="1048" spans="1:14" customFormat="1" ht="47.25" customHeight="1" x14ac:dyDescent="0.25">
      <c r="A1048" s="52">
        <v>13</v>
      </c>
      <c r="B1048" s="304" t="s">
        <v>299</v>
      </c>
      <c r="C1048" s="304"/>
      <c r="D1048" s="304"/>
      <c r="E1048" s="304"/>
      <c r="F1048" s="304"/>
      <c r="G1048" s="304"/>
      <c r="H1048" s="304"/>
      <c r="I1048" s="304"/>
      <c r="J1048" s="304"/>
      <c r="K1048" s="304"/>
      <c r="L1048" s="304"/>
      <c r="M1048" s="304"/>
      <c r="N1048" s="304"/>
    </row>
    <row r="1049" spans="1:14" customFormat="1" ht="31.5" customHeight="1" x14ac:dyDescent="0.25">
      <c r="A1049" s="52">
        <v>14</v>
      </c>
      <c r="B1049" s="307" t="s">
        <v>450</v>
      </c>
      <c r="C1049" s="307"/>
      <c r="D1049" s="307"/>
      <c r="E1049" s="307"/>
      <c r="F1049" s="307"/>
      <c r="G1049" s="307"/>
      <c r="H1049" s="307"/>
      <c r="I1049" s="307"/>
      <c r="J1049" s="307"/>
      <c r="K1049" s="307"/>
      <c r="L1049" s="307"/>
      <c r="M1049" s="307"/>
      <c r="N1049" s="307"/>
    </row>
    <row r="1050" spans="1:14" customFormat="1" ht="15" customHeight="1" x14ac:dyDescent="0.25">
      <c r="A1050" s="52">
        <v>15</v>
      </c>
      <c r="B1050" s="304" t="s">
        <v>421</v>
      </c>
      <c r="C1050" s="304"/>
      <c r="D1050" s="304"/>
      <c r="E1050" s="304"/>
      <c r="F1050" s="304"/>
      <c r="G1050" s="304"/>
      <c r="H1050" s="304"/>
      <c r="I1050" s="304"/>
      <c r="J1050" s="304"/>
      <c r="K1050" s="304"/>
      <c r="L1050" s="304"/>
      <c r="M1050" s="304"/>
      <c r="N1050" s="304"/>
    </row>
    <row r="1051" spans="1:14" customFormat="1" x14ac:dyDescent="0.25">
      <c r="A1051" s="52">
        <v>16</v>
      </c>
      <c r="B1051" s="304" t="s">
        <v>300</v>
      </c>
      <c r="C1051" s="304"/>
      <c r="D1051" s="304"/>
      <c r="E1051" s="304"/>
      <c r="F1051" s="304"/>
      <c r="G1051" s="304"/>
      <c r="H1051" s="304"/>
      <c r="I1051" s="304"/>
      <c r="J1051" s="304"/>
      <c r="K1051" s="304"/>
      <c r="L1051" s="304"/>
      <c r="M1051" s="304"/>
      <c r="N1051" s="304"/>
    </row>
    <row r="1052" spans="1:14" customFormat="1" x14ac:dyDescent="0.25">
      <c r="A1052" s="52">
        <v>17</v>
      </c>
      <c r="B1052" s="304" t="s">
        <v>301</v>
      </c>
      <c r="C1052" s="304"/>
      <c r="D1052" s="304"/>
      <c r="E1052" s="304"/>
      <c r="F1052" s="304"/>
      <c r="G1052" s="304"/>
      <c r="H1052" s="304"/>
      <c r="I1052" s="304"/>
      <c r="J1052" s="304"/>
      <c r="K1052" s="304"/>
      <c r="L1052" s="304"/>
      <c r="M1052" s="304"/>
      <c r="N1052" s="304"/>
    </row>
    <row r="1053" spans="1:14" customFormat="1" ht="33" customHeight="1" x14ac:dyDescent="0.25">
      <c r="A1053" s="52">
        <v>18</v>
      </c>
      <c r="B1053" s="304" t="s">
        <v>302</v>
      </c>
      <c r="C1053" s="304"/>
      <c r="D1053" s="304"/>
      <c r="E1053" s="304"/>
      <c r="F1053" s="304"/>
      <c r="G1053" s="304"/>
      <c r="H1053" s="304"/>
      <c r="I1053" s="304"/>
      <c r="J1053" s="304"/>
      <c r="K1053" s="304"/>
      <c r="L1053" s="304"/>
      <c r="M1053" s="304"/>
      <c r="N1053" s="304"/>
    </row>
    <row r="1054" spans="1:14" customFormat="1" ht="32.25" customHeight="1" x14ac:dyDescent="0.25">
      <c r="A1054" s="52">
        <v>19</v>
      </c>
      <c r="B1054" s="304" t="s">
        <v>303</v>
      </c>
      <c r="C1054" s="304"/>
      <c r="D1054" s="304"/>
      <c r="E1054" s="304"/>
      <c r="F1054" s="304"/>
      <c r="G1054" s="304"/>
      <c r="H1054" s="304"/>
      <c r="I1054" s="304"/>
      <c r="J1054" s="304"/>
      <c r="K1054" s="304"/>
      <c r="L1054" s="304"/>
      <c r="M1054" s="304"/>
      <c r="N1054" s="304"/>
    </row>
    <row r="1055" spans="1:14" customFormat="1" ht="30.75" customHeight="1" x14ac:dyDescent="0.25">
      <c r="A1055" s="52">
        <v>20</v>
      </c>
      <c r="B1055" s="304" t="s">
        <v>304</v>
      </c>
      <c r="C1055" s="304"/>
      <c r="D1055" s="304"/>
      <c r="E1055" s="304"/>
      <c r="F1055" s="304"/>
      <c r="G1055" s="304"/>
      <c r="H1055" s="304"/>
      <c r="I1055" s="304"/>
      <c r="J1055" s="304"/>
      <c r="K1055" s="304"/>
      <c r="L1055" s="304"/>
      <c r="M1055" s="304"/>
      <c r="N1055" s="304"/>
    </row>
    <row r="1056" spans="1:14" customFormat="1" x14ac:dyDescent="0.25">
      <c r="A1056" s="52">
        <v>21</v>
      </c>
      <c r="B1056" s="304" t="s">
        <v>305</v>
      </c>
      <c r="C1056" s="304"/>
      <c r="D1056" s="304"/>
      <c r="E1056" s="304"/>
      <c r="F1056" s="304"/>
      <c r="G1056" s="304"/>
      <c r="H1056" s="304"/>
      <c r="I1056" s="304"/>
      <c r="J1056" s="304"/>
      <c r="K1056" s="304"/>
      <c r="L1056" s="304"/>
      <c r="M1056" s="304"/>
      <c r="N1056" s="304"/>
    </row>
    <row r="1057" spans="1:14" customFormat="1" x14ac:dyDescent="0.25">
      <c r="A1057" s="52">
        <v>22</v>
      </c>
      <c r="B1057" s="304" t="s">
        <v>306</v>
      </c>
      <c r="C1057" s="304"/>
      <c r="D1057" s="304"/>
      <c r="E1057" s="304"/>
      <c r="F1057" s="304"/>
      <c r="G1057" s="304"/>
      <c r="H1057" s="304"/>
      <c r="I1057" s="304"/>
      <c r="J1057" s="304"/>
      <c r="K1057" s="304"/>
      <c r="L1057" s="304"/>
      <c r="M1057" s="304"/>
      <c r="N1057" s="304"/>
    </row>
    <row r="1058" spans="1:14" customFormat="1" ht="15" customHeight="1" x14ac:dyDescent="0.25">
      <c r="A1058" s="52">
        <v>23</v>
      </c>
      <c r="B1058" s="304" t="s">
        <v>307</v>
      </c>
      <c r="C1058" s="304"/>
      <c r="D1058" s="304"/>
      <c r="E1058" s="304"/>
      <c r="F1058" s="304"/>
      <c r="G1058" s="304"/>
      <c r="H1058" s="304"/>
      <c r="I1058" s="304"/>
      <c r="J1058" s="304"/>
      <c r="K1058" s="304"/>
      <c r="L1058" s="304"/>
      <c r="M1058" s="304"/>
      <c r="N1058" s="304"/>
    </row>
    <row r="1059" spans="1:14" customFormat="1" x14ac:dyDescent="0.25">
      <c r="A1059" s="52">
        <v>24</v>
      </c>
      <c r="B1059" s="304" t="s">
        <v>308</v>
      </c>
      <c r="C1059" s="304"/>
      <c r="D1059" s="304"/>
      <c r="E1059" s="304"/>
      <c r="F1059" s="304"/>
      <c r="G1059" s="304"/>
      <c r="H1059" s="304"/>
      <c r="I1059" s="304"/>
      <c r="J1059" s="304"/>
      <c r="K1059" s="304"/>
      <c r="L1059" s="304"/>
      <c r="M1059" s="304"/>
      <c r="N1059" s="304"/>
    </row>
    <row r="1060" spans="1:14" customFormat="1" x14ac:dyDescent="0.25">
      <c r="A1060" s="52">
        <v>25</v>
      </c>
      <c r="B1060" s="304" t="s">
        <v>309</v>
      </c>
      <c r="C1060" s="304"/>
      <c r="D1060" s="304"/>
      <c r="E1060" s="304"/>
      <c r="F1060" s="304"/>
      <c r="G1060" s="304"/>
      <c r="H1060" s="304"/>
      <c r="I1060" s="304"/>
      <c r="J1060" s="304"/>
      <c r="K1060" s="304"/>
      <c r="L1060" s="304"/>
      <c r="M1060" s="304"/>
      <c r="N1060" s="304"/>
    </row>
    <row r="1061" spans="1:14" customFormat="1" ht="15" customHeight="1" x14ac:dyDescent="0.25">
      <c r="A1061" s="52">
        <v>26</v>
      </c>
      <c r="B1061" s="304" t="s">
        <v>422</v>
      </c>
      <c r="C1061" s="304"/>
      <c r="D1061" s="304"/>
      <c r="E1061" s="304"/>
      <c r="F1061" s="304"/>
      <c r="G1061" s="304"/>
      <c r="H1061" s="304"/>
      <c r="I1061" s="304"/>
      <c r="J1061" s="304"/>
      <c r="K1061" s="304"/>
      <c r="L1061" s="304"/>
      <c r="M1061" s="304"/>
      <c r="N1061" s="304"/>
    </row>
    <row r="1062" spans="1:14" customFormat="1" ht="15" customHeight="1" x14ac:dyDescent="0.25">
      <c r="A1062" s="63" t="s">
        <v>310</v>
      </c>
      <c r="B1062" s="306" t="s">
        <v>14</v>
      </c>
      <c r="C1062" s="306"/>
      <c r="D1062" s="306"/>
      <c r="E1062" s="306"/>
      <c r="F1062" s="306"/>
      <c r="G1062" s="306"/>
      <c r="H1062" s="306"/>
      <c r="I1062" s="306" t="s">
        <v>311</v>
      </c>
      <c r="J1062" s="306"/>
      <c r="K1062" s="306"/>
      <c r="L1062" s="306"/>
      <c r="M1062" s="306"/>
      <c r="N1062" s="306"/>
    </row>
    <row r="1063" spans="1:14" customFormat="1" ht="30" customHeight="1" x14ac:dyDescent="0.25">
      <c r="A1063" s="52">
        <v>1</v>
      </c>
      <c r="B1063" s="304" t="s">
        <v>312</v>
      </c>
      <c r="C1063" s="304"/>
      <c r="D1063" s="304"/>
      <c r="E1063" s="304"/>
      <c r="F1063" s="304"/>
      <c r="G1063" s="304"/>
      <c r="H1063" s="304"/>
      <c r="I1063" s="304" t="s">
        <v>695</v>
      </c>
      <c r="J1063" s="304"/>
      <c r="K1063" s="304"/>
      <c r="L1063" s="304"/>
      <c r="M1063" s="304"/>
      <c r="N1063" s="304"/>
    </row>
    <row r="1064" spans="1:14" customFormat="1" ht="15" customHeight="1" x14ac:dyDescent="0.25">
      <c r="A1064" s="52">
        <v>2</v>
      </c>
      <c r="B1064" s="304" t="s">
        <v>313</v>
      </c>
      <c r="C1064" s="304"/>
      <c r="D1064" s="304"/>
      <c r="E1064" s="304"/>
      <c r="F1064" s="304"/>
      <c r="G1064" s="304"/>
      <c r="H1064" s="304"/>
      <c r="I1064" s="304" t="s">
        <v>696</v>
      </c>
      <c r="J1064" s="304"/>
      <c r="K1064" s="304"/>
      <c r="L1064" s="304"/>
      <c r="M1064" s="304"/>
      <c r="N1064" s="304"/>
    </row>
    <row r="1065" spans="1:14" customFormat="1" ht="15" customHeight="1" x14ac:dyDescent="0.25">
      <c r="A1065" s="308">
        <v>3</v>
      </c>
      <c r="B1065" s="199" t="s">
        <v>314</v>
      </c>
      <c r="C1065" s="200"/>
      <c r="D1065" s="200"/>
      <c r="E1065" s="200"/>
      <c r="F1065" s="200"/>
      <c r="G1065" s="200"/>
      <c r="H1065" s="201"/>
      <c r="I1065" s="304" t="s">
        <v>341</v>
      </c>
      <c r="J1065" s="304"/>
      <c r="K1065" s="304"/>
      <c r="L1065" s="304"/>
      <c r="M1065" s="304"/>
      <c r="N1065" s="304"/>
    </row>
    <row r="1066" spans="1:14" customFormat="1" ht="15" customHeight="1" x14ac:dyDescent="0.25">
      <c r="A1066" s="308"/>
      <c r="B1066" s="459"/>
      <c r="C1066" s="305"/>
      <c r="D1066" s="305"/>
      <c r="E1066" s="305"/>
      <c r="F1066" s="305"/>
      <c r="G1066" s="305"/>
      <c r="H1066" s="460"/>
      <c r="I1066" s="304" t="s">
        <v>694</v>
      </c>
      <c r="J1066" s="304"/>
      <c r="K1066" s="304"/>
      <c r="L1066" s="304"/>
      <c r="M1066" s="304"/>
      <c r="N1066" s="304"/>
    </row>
    <row r="1067" spans="1:14" customFormat="1" ht="15" customHeight="1" x14ac:dyDescent="0.25">
      <c r="A1067" s="308"/>
      <c r="B1067" s="202"/>
      <c r="C1067" s="203"/>
      <c r="D1067" s="203"/>
      <c r="E1067" s="203"/>
      <c r="F1067" s="203"/>
      <c r="G1067" s="203"/>
      <c r="H1067" s="204"/>
      <c r="I1067" s="304" t="s">
        <v>342</v>
      </c>
      <c r="J1067" s="304"/>
      <c r="K1067" s="304"/>
      <c r="L1067" s="304"/>
      <c r="M1067" s="304"/>
      <c r="N1067" s="304"/>
    </row>
    <row r="1068" spans="1:14" customFormat="1" ht="15" customHeight="1" x14ac:dyDescent="0.25">
      <c r="A1068" s="52">
        <v>4</v>
      </c>
      <c r="B1068" s="304" t="s">
        <v>315</v>
      </c>
      <c r="C1068" s="304"/>
      <c r="D1068" s="304"/>
      <c r="E1068" s="304"/>
      <c r="F1068" s="304"/>
      <c r="G1068" s="304"/>
      <c r="H1068" s="304"/>
      <c r="I1068" s="304" t="s">
        <v>54</v>
      </c>
      <c r="J1068" s="304"/>
      <c r="K1068" s="304"/>
      <c r="L1068" s="304"/>
      <c r="M1068" s="304"/>
      <c r="N1068" s="304"/>
    </row>
    <row r="1069" spans="1:14" customFormat="1" x14ac:dyDescent="0.25">
      <c r="A1069" s="308">
        <v>5</v>
      </c>
      <c r="B1069" s="304" t="s">
        <v>316</v>
      </c>
      <c r="C1069" s="304"/>
      <c r="D1069" s="304"/>
      <c r="E1069" s="304"/>
      <c r="F1069" s="304"/>
      <c r="G1069" s="304"/>
      <c r="H1069" s="304"/>
      <c r="I1069" s="284" t="s">
        <v>317</v>
      </c>
      <c r="J1069" s="284"/>
      <c r="K1069" s="284"/>
      <c r="L1069" s="300">
        <v>45895</v>
      </c>
      <c r="M1069" s="301"/>
      <c r="N1069" s="302"/>
    </row>
    <row r="1070" spans="1:14" customFormat="1" x14ac:dyDescent="0.25">
      <c r="A1070" s="308"/>
      <c r="B1070" s="304"/>
      <c r="C1070" s="304"/>
      <c r="D1070" s="304"/>
      <c r="E1070" s="304"/>
      <c r="F1070" s="304"/>
      <c r="G1070" s="304"/>
      <c r="H1070" s="304"/>
      <c r="I1070" s="284" t="s">
        <v>318</v>
      </c>
      <c r="J1070" s="284"/>
      <c r="K1070" s="284"/>
      <c r="L1070" s="300">
        <v>45895</v>
      </c>
      <c r="M1070" s="301"/>
      <c r="N1070" s="302"/>
    </row>
    <row r="1071" spans="1:14" customFormat="1" ht="15" customHeight="1" x14ac:dyDescent="0.25">
      <c r="A1071" s="308"/>
      <c r="B1071" s="304"/>
      <c r="C1071" s="304"/>
      <c r="D1071" s="304"/>
      <c r="E1071" s="304"/>
      <c r="F1071" s="304"/>
      <c r="G1071" s="304"/>
      <c r="H1071" s="304"/>
      <c r="I1071" s="284" t="s">
        <v>319</v>
      </c>
      <c r="J1071" s="284"/>
      <c r="K1071" s="284"/>
      <c r="L1071" s="300" t="str">
        <f ca="1">TEXT(TODAY(),"DD/MM/YYYY")</f>
        <v>30/08/2025</v>
      </c>
      <c r="M1071" s="301"/>
      <c r="N1071" s="302"/>
    </row>
    <row r="1072" spans="1:14" customFormat="1" ht="15" customHeight="1" x14ac:dyDescent="0.25">
      <c r="A1072" s="52">
        <v>6</v>
      </c>
      <c r="B1072" s="304" t="s">
        <v>320</v>
      </c>
      <c r="C1072" s="304"/>
      <c r="D1072" s="304"/>
      <c r="E1072" s="304"/>
      <c r="F1072" s="304"/>
      <c r="G1072" s="304"/>
      <c r="H1072" s="304"/>
      <c r="I1072" s="304" t="s">
        <v>321</v>
      </c>
      <c r="J1072" s="304"/>
      <c r="K1072" s="304"/>
      <c r="L1072" s="304"/>
      <c r="M1072" s="304"/>
      <c r="N1072" s="304"/>
    </row>
    <row r="1073" spans="1:14" customFormat="1" ht="96.75" customHeight="1" x14ac:dyDescent="0.25">
      <c r="A1073" s="52">
        <v>7</v>
      </c>
      <c r="B1073" s="304" t="s">
        <v>322</v>
      </c>
      <c r="C1073" s="304"/>
      <c r="D1073" s="304"/>
      <c r="E1073" s="304"/>
      <c r="F1073" s="304"/>
      <c r="G1073" s="304"/>
      <c r="H1073" s="304"/>
      <c r="I1073" s="304" t="s">
        <v>343</v>
      </c>
      <c r="J1073" s="304"/>
      <c r="K1073" s="304"/>
      <c r="L1073" s="304"/>
      <c r="M1073" s="304"/>
      <c r="N1073" s="304"/>
    </row>
    <row r="1074" spans="1:14" customFormat="1" ht="30" customHeight="1" x14ac:dyDescent="0.25">
      <c r="A1074" s="52">
        <v>8</v>
      </c>
      <c r="B1074" s="304" t="s">
        <v>323</v>
      </c>
      <c r="C1074" s="304"/>
      <c r="D1074" s="304"/>
      <c r="E1074" s="304"/>
      <c r="F1074" s="304"/>
      <c r="G1074" s="304"/>
      <c r="H1074" s="304"/>
      <c r="I1074" s="304" t="s">
        <v>324</v>
      </c>
      <c r="J1074" s="304"/>
      <c r="K1074" s="304"/>
      <c r="L1074" s="304"/>
      <c r="M1074" s="304"/>
      <c r="N1074" s="304"/>
    </row>
    <row r="1075" spans="1:14" customFormat="1" x14ac:dyDescent="0.25">
      <c r="A1075" s="52">
        <v>9</v>
      </c>
      <c r="B1075" s="304" t="s">
        <v>325</v>
      </c>
      <c r="C1075" s="304"/>
      <c r="D1075" s="304"/>
      <c r="E1075" s="304"/>
      <c r="F1075" s="304"/>
      <c r="G1075" s="304"/>
      <c r="H1075" s="304"/>
      <c r="I1075" s="304" t="s">
        <v>54</v>
      </c>
      <c r="J1075" s="304"/>
      <c r="K1075" s="304"/>
      <c r="L1075" s="304"/>
      <c r="M1075" s="304"/>
      <c r="N1075" s="304"/>
    </row>
    <row r="1076" spans="1:14" customFormat="1" ht="33.75" customHeight="1" x14ac:dyDescent="0.25">
      <c r="A1076" s="52">
        <v>10</v>
      </c>
      <c r="B1076" s="304" t="s">
        <v>326</v>
      </c>
      <c r="C1076" s="304"/>
      <c r="D1076" s="304"/>
      <c r="E1076" s="304"/>
      <c r="F1076" s="304"/>
      <c r="G1076" s="304"/>
      <c r="H1076" s="304"/>
      <c r="I1076" s="304" t="s">
        <v>344</v>
      </c>
      <c r="J1076" s="304"/>
      <c r="K1076" s="304"/>
      <c r="L1076" s="304"/>
      <c r="M1076" s="304"/>
      <c r="N1076" s="304"/>
    </row>
    <row r="1077" spans="1:14" customFormat="1" x14ac:dyDescent="0.25">
      <c r="A1077" s="52">
        <v>11</v>
      </c>
      <c r="B1077" s="304" t="s">
        <v>327</v>
      </c>
      <c r="C1077" s="304"/>
      <c r="D1077" s="304"/>
      <c r="E1077" s="304"/>
      <c r="F1077" s="304"/>
      <c r="G1077" s="304"/>
      <c r="H1077" s="304"/>
      <c r="I1077" s="304" t="s">
        <v>171</v>
      </c>
      <c r="J1077" s="304"/>
      <c r="K1077" s="304"/>
      <c r="L1077" s="304"/>
      <c r="M1077" s="304"/>
      <c r="N1077" s="304"/>
    </row>
    <row r="1078" spans="1:14" customFormat="1" ht="45" customHeight="1" x14ac:dyDescent="0.25">
      <c r="A1078" s="52">
        <v>12</v>
      </c>
      <c r="B1078" s="290" t="s">
        <v>328</v>
      </c>
      <c r="C1078" s="291"/>
      <c r="D1078" s="291"/>
      <c r="E1078" s="291"/>
      <c r="F1078" s="291"/>
      <c r="G1078" s="291"/>
      <c r="H1078" s="292"/>
      <c r="I1078" s="290" t="s">
        <v>339</v>
      </c>
      <c r="J1078" s="291"/>
      <c r="K1078" s="291"/>
      <c r="L1078" s="291"/>
      <c r="M1078" s="291"/>
      <c r="N1078" s="292"/>
    </row>
    <row r="1079" spans="1:14" customFormat="1" x14ac:dyDescent="0.25">
      <c r="A1079" s="303" t="s">
        <v>386</v>
      </c>
      <c r="B1079" s="303"/>
      <c r="C1079" s="303"/>
      <c r="D1079" s="303"/>
      <c r="E1079" s="303"/>
      <c r="F1079" s="303"/>
      <c r="G1079" s="303"/>
      <c r="H1079" s="303"/>
      <c r="I1079" s="303"/>
      <c r="J1079" s="303"/>
      <c r="K1079" s="303"/>
      <c r="L1079" s="303"/>
      <c r="M1079" s="303"/>
      <c r="N1079" s="303"/>
    </row>
    <row r="1080" spans="1:14" customFormat="1" ht="45.75" customHeight="1" x14ac:dyDescent="0.25">
      <c r="A1080" s="71" t="s">
        <v>468</v>
      </c>
      <c r="B1080" s="304" t="s">
        <v>699</v>
      </c>
      <c r="C1080" s="304"/>
      <c r="D1080" s="304"/>
      <c r="E1080" s="304"/>
      <c r="F1080" s="304"/>
      <c r="G1080" s="304"/>
      <c r="H1080" s="304"/>
      <c r="I1080" s="304"/>
      <c r="J1080" s="304"/>
      <c r="K1080" s="304"/>
      <c r="L1080" s="304"/>
      <c r="M1080" s="304"/>
      <c r="N1080" s="304"/>
    </row>
    <row r="1081" spans="1:14" customFormat="1" ht="75.75" customHeight="1" x14ac:dyDescent="0.25">
      <c r="A1081" s="71" t="s">
        <v>468</v>
      </c>
      <c r="B1081" s="304" t="s">
        <v>453</v>
      </c>
      <c r="C1081" s="304"/>
      <c r="D1081" s="304"/>
      <c r="E1081" s="304"/>
      <c r="F1081" s="304"/>
      <c r="G1081" s="304"/>
      <c r="H1081" s="304"/>
      <c r="I1081" s="304"/>
      <c r="J1081" s="304"/>
      <c r="K1081" s="304"/>
      <c r="L1081" s="304"/>
      <c r="M1081" s="304"/>
      <c r="N1081" s="304"/>
    </row>
    <row r="1082" spans="1:14" customFormat="1" ht="75" customHeight="1" x14ac:dyDescent="0.25">
      <c r="A1082" s="71" t="s">
        <v>468</v>
      </c>
      <c r="B1082" s="304" t="s">
        <v>454</v>
      </c>
      <c r="C1082" s="304"/>
      <c r="D1082" s="304"/>
      <c r="E1082" s="304"/>
      <c r="F1082" s="304"/>
      <c r="G1082" s="304"/>
      <c r="H1082" s="304"/>
      <c r="I1082" s="304"/>
      <c r="J1082" s="304"/>
      <c r="K1082" s="304"/>
      <c r="L1082" s="304"/>
      <c r="M1082" s="304"/>
      <c r="N1082" s="304"/>
    </row>
    <row r="1083" spans="1:14" customFormat="1" ht="61.5" customHeight="1" x14ac:dyDescent="0.25">
      <c r="A1083" s="71" t="s">
        <v>468</v>
      </c>
      <c r="B1083" s="304" t="s">
        <v>455</v>
      </c>
      <c r="C1083" s="304"/>
      <c r="D1083" s="304"/>
      <c r="E1083" s="304"/>
      <c r="F1083" s="304"/>
      <c r="G1083" s="304"/>
      <c r="H1083" s="304"/>
      <c r="I1083" s="304"/>
      <c r="J1083" s="304"/>
      <c r="K1083" s="304"/>
      <c r="L1083" s="304"/>
      <c r="M1083" s="304"/>
      <c r="N1083" s="304"/>
    </row>
    <row r="1084" spans="1:14" customFormat="1" ht="46.5" customHeight="1" x14ac:dyDescent="0.25">
      <c r="A1084" s="71" t="s">
        <v>468</v>
      </c>
      <c r="B1084" s="304" t="s">
        <v>456</v>
      </c>
      <c r="C1084" s="304"/>
      <c r="D1084" s="304"/>
      <c r="E1084" s="304"/>
      <c r="F1084" s="304"/>
      <c r="G1084" s="304"/>
      <c r="H1084" s="304"/>
      <c r="I1084" s="304"/>
      <c r="J1084" s="304"/>
      <c r="K1084" s="304"/>
      <c r="L1084" s="304"/>
      <c r="M1084" s="304"/>
      <c r="N1084" s="304"/>
    </row>
    <row r="1085" spans="1:14" customFormat="1" ht="45" customHeight="1" x14ac:dyDescent="0.25">
      <c r="A1085" s="71" t="s">
        <v>468</v>
      </c>
      <c r="B1085" s="304" t="s">
        <v>457</v>
      </c>
      <c r="C1085" s="304"/>
      <c r="D1085" s="304"/>
      <c r="E1085" s="304"/>
      <c r="F1085" s="304"/>
      <c r="G1085" s="304"/>
      <c r="H1085" s="304"/>
      <c r="I1085" s="304"/>
      <c r="J1085" s="304"/>
      <c r="K1085" s="304"/>
      <c r="L1085" s="304"/>
      <c r="M1085" s="304"/>
      <c r="N1085" s="304"/>
    </row>
    <row r="1086" spans="1:14" customFormat="1" ht="75.75" customHeight="1" x14ac:dyDescent="0.25">
      <c r="A1086" s="71" t="s">
        <v>468</v>
      </c>
      <c r="B1086" s="304" t="s">
        <v>458</v>
      </c>
      <c r="C1086" s="304"/>
      <c r="D1086" s="304"/>
      <c r="E1086" s="304"/>
      <c r="F1086" s="304"/>
      <c r="G1086" s="304"/>
      <c r="H1086" s="304"/>
      <c r="I1086" s="304"/>
      <c r="J1086" s="304"/>
      <c r="K1086" s="304"/>
      <c r="L1086" s="304"/>
      <c r="M1086" s="304"/>
      <c r="N1086" s="304"/>
    </row>
    <row r="1087" spans="1:14" customFormat="1" ht="105.75" customHeight="1" x14ac:dyDescent="0.25">
      <c r="A1087" s="71" t="s">
        <v>468</v>
      </c>
      <c r="B1087" s="304" t="s">
        <v>459</v>
      </c>
      <c r="C1087" s="304"/>
      <c r="D1087" s="304"/>
      <c r="E1087" s="304"/>
      <c r="F1087" s="304"/>
      <c r="G1087" s="304"/>
      <c r="H1087" s="304"/>
      <c r="I1087" s="304"/>
      <c r="J1087" s="304"/>
      <c r="K1087" s="304"/>
      <c r="L1087" s="304"/>
      <c r="M1087" s="304"/>
      <c r="N1087" s="304"/>
    </row>
    <row r="1088" spans="1:14" customFormat="1" ht="61.5" customHeight="1" x14ac:dyDescent="0.25">
      <c r="A1088" s="71" t="s">
        <v>468</v>
      </c>
      <c r="B1088" s="304" t="s">
        <v>461</v>
      </c>
      <c r="C1088" s="304"/>
      <c r="D1088" s="304"/>
      <c r="E1088" s="304"/>
      <c r="F1088" s="304"/>
      <c r="G1088" s="304"/>
      <c r="H1088" s="304"/>
      <c r="I1088" s="304"/>
      <c r="J1088" s="304"/>
      <c r="K1088" s="304"/>
      <c r="L1088" s="304"/>
      <c r="M1088" s="304"/>
      <c r="N1088" s="304"/>
    </row>
    <row r="1089" spans="1:14" customFormat="1" ht="61.5" customHeight="1" x14ac:dyDescent="0.25">
      <c r="A1089" s="71" t="s">
        <v>468</v>
      </c>
      <c r="B1089" s="304" t="s">
        <v>462</v>
      </c>
      <c r="C1089" s="304"/>
      <c r="D1089" s="304"/>
      <c r="E1089" s="304"/>
      <c r="F1089" s="304"/>
      <c r="G1089" s="304"/>
      <c r="H1089" s="304"/>
      <c r="I1089" s="304"/>
      <c r="J1089" s="304"/>
      <c r="K1089" s="304"/>
      <c r="L1089" s="304"/>
      <c r="M1089" s="304"/>
      <c r="N1089" s="304"/>
    </row>
    <row r="1090" spans="1:14" customFormat="1" ht="47.25" customHeight="1" x14ac:dyDescent="0.25">
      <c r="A1090" s="71" t="s">
        <v>468</v>
      </c>
      <c r="B1090" s="304" t="s">
        <v>460</v>
      </c>
      <c r="C1090" s="304"/>
      <c r="D1090" s="304"/>
      <c r="E1090" s="304"/>
      <c r="F1090" s="304"/>
      <c r="G1090" s="304"/>
      <c r="H1090" s="304"/>
      <c r="I1090" s="304"/>
      <c r="J1090" s="304"/>
      <c r="K1090" s="304"/>
      <c r="L1090" s="304"/>
      <c r="M1090" s="304"/>
      <c r="N1090" s="304"/>
    </row>
    <row r="1091" spans="1:14" customFormat="1" ht="107.25" customHeight="1" x14ac:dyDescent="0.25">
      <c r="A1091" s="71" t="s">
        <v>468</v>
      </c>
      <c r="B1091" s="304" t="s">
        <v>469</v>
      </c>
      <c r="C1091" s="304"/>
      <c r="D1091" s="304"/>
      <c r="E1091" s="304"/>
      <c r="F1091" s="304"/>
      <c r="G1091" s="304"/>
      <c r="H1091" s="304"/>
      <c r="I1091" s="304"/>
      <c r="J1091" s="304"/>
      <c r="K1091" s="304"/>
      <c r="L1091" s="304"/>
      <c r="M1091" s="304"/>
      <c r="N1091" s="304"/>
    </row>
    <row r="1092" spans="1:14" customFormat="1" ht="224.25" customHeight="1" x14ac:dyDescent="0.25">
      <c r="A1092" s="71" t="s">
        <v>468</v>
      </c>
      <c r="B1092" s="304" t="s">
        <v>463</v>
      </c>
      <c r="C1092" s="304"/>
      <c r="D1092" s="304"/>
      <c r="E1092" s="304"/>
      <c r="F1092" s="304"/>
      <c r="G1092" s="304"/>
      <c r="H1092" s="304"/>
      <c r="I1092" s="304"/>
      <c r="J1092" s="304"/>
      <c r="K1092" s="304"/>
      <c r="L1092" s="304"/>
      <c r="M1092" s="304"/>
      <c r="N1092" s="304"/>
    </row>
    <row r="1093" spans="1:14" customFormat="1" ht="33" customHeight="1" x14ac:dyDescent="0.25">
      <c r="A1093" s="71" t="s">
        <v>468</v>
      </c>
      <c r="B1093" s="304" t="s">
        <v>464</v>
      </c>
      <c r="C1093" s="304"/>
      <c r="D1093" s="304"/>
      <c r="E1093" s="304"/>
      <c r="F1093" s="304"/>
      <c r="G1093" s="304"/>
      <c r="H1093" s="304"/>
      <c r="I1093" s="304"/>
      <c r="J1093" s="304"/>
      <c r="K1093" s="304"/>
      <c r="L1093" s="304"/>
      <c r="M1093" s="304"/>
      <c r="N1093" s="304"/>
    </row>
    <row r="1094" spans="1:14" customFormat="1" ht="31.5" customHeight="1" x14ac:dyDescent="0.25">
      <c r="A1094" s="71" t="s">
        <v>468</v>
      </c>
      <c r="B1094" s="304" t="s">
        <v>465</v>
      </c>
      <c r="C1094" s="304"/>
      <c r="D1094" s="304"/>
      <c r="E1094" s="304"/>
      <c r="F1094" s="304"/>
      <c r="G1094" s="304"/>
      <c r="H1094" s="304"/>
      <c r="I1094" s="304"/>
      <c r="J1094" s="304"/>
      <c r="K1094" s="304"/>
      <c r="L1094" s="304"/>
      <c r="M1094" s="304"/>
      <c r="N1094" s="304"/>
    </row>
    <row r="1095" spans="1:14" customFormat="1" ht="77.25" customHeight="1" x14ac:dyDescent="0.25">
      <c r="A1095" s="71" t="s">
        <v>468</v>
      </c>
      <c r="B1095" s="304" t="s">
        <v>466</v>
      </c>
      <c r="C1095" s="304"/>
      <c r="D1095" s="304"/>
      <c r="E1095" s="304"/>
      <c r="F1095" s="304"/>
      <c r="G1095" s="304"/>
      <c r="H1095" s="304"/>
      <c r="I1095" s="304"/>
      <c r="J1095" s="304"/>
      <c r="K1095" s="304"/>
      <c r="L1095" s="304"/>
      <c r="M1095" s="304"/>
      <c r="N1095" s="304"/>
    </row>
    <row r="1096" spans="1:14" customFormat="1" ht="47.25" customHeight="1" x14ac:dyDescent="0.25">
      <c r="A1096" s="71" t="s">
        <v>468</v>
      </c>
      <c r="B1096" s="304" t="s">
        <v>467</v>
      </c>
      <c r="C1096" s="304"/>
      <c r="D1096" s="304"/>
      <c r="E1096" s="304"/>
      <c r="F1096" s="304"/>
      <c r="G1096" s="304"/>
      <c r="H1096" s="304"/>
      <c r="I1096" s="304"/>
      <c r="J1096" s="304"/>
      <c r="K1096" s="304"/>
      <c r="L1096" s="304"/>
      <c r="M1096" s="304"/>
      <c r="N1096" s="304"/>
    </row>
    <row r="1097" spans="1:14" customFormat="1" x14ac:dyDescent="0.25">
      <c r="A1097" s="333"/>
      <c r="B1097" s="333"/>
      <c r="C1097" s="333"/>
      <c r="D1097" s="333"/>
      <c r="E1097" s="333"/>
      <c r="F1097" s="333"/>
      <c r="G1097" s="333"/>
      <c r="H1097" s="333"/>
      <c r="I1097" s="333"/>
      <c r="J1097" s="333"/>
      <c r="K1097" s="333"/>
      <c r="L1097" s="333"/>
      <c r="M1097" s="333"/>
      <c r="N1097" s="333"/>
    </row>
    <row r="1098" spans="1:14" customFormat="1" ht="15" customHeight="1" x14ac:dyDescent="0.25">
      <c r="A1098" s="330" t="s">
        <v>387</v>
      </c>
      <c r="B1098" s="331"/>
      <c r="C1098" s="331"/>
      <c r="D1098" s="331"/>
      <c r="E1098" s="331"/>
      <c r="F1098" s="331"/>
      <c r="G1098" s="331"/>
      <c r="H1098" s="331"/>
      <c r="I1098" s="331"/>
      <c r="J1098" s="331"/>
      <c r="K1098" s="331"/>
      <c r="L1098" s="331"/>
      <c r="M1098" s="331"/>
      <c r="N1098" s="332"/>
    </row>
    <row r="1099" spans="1:14" customFormat="1" ht="15" customHeight="1" x14ac:dyDescent="0.25">
      <c r="A1099" s="26">
        <v>1</v>
      </c>
      <c r="B1099" s="304" t="s">
        <v>388</v>
      </c>
      <c r="C1099" s="304"/>
      <c r="D1099" s="304"/>
      <c r="E1099" s="304"/>
      <c r="F1099" s="304"/>
      <c r="G1099" s="304"/>
      <c r="H1099" s="304"/>
      <c r="I1099" s="304"/>
      <c r="J1099" s="304"/>
      <c r="K1099" s="304"/>
      <c r="L1099" s="304"/>
      <c r="M1099" s="304"/>
      <c r="N1099" s="304"/>
    </row>
    <row r="1100" spans="1:14" customFormat="1" ht="15" customHeight="1" x14ac:dyDescent="0.25">
      <c r="A1100" s="26">
        <f>A1099+1</f>
        <v>2</v>
      </c>
      <c r="B1100" s="304" t="s">
        <v>392</v>
      </c>
      <c r="C1100" s="304"/>
      <c r="D1100" s="304"/>
      <c r="E1100" s="304"/>
      <c r="F1100" s="304"/>
      <c r="G1100" s="304"/>
      <c r="H1100" s="304"/>
      <c r="I1100" s="304"/>
      <c r="J1100" s="304"/>
      <c r="K1100" s="304"/>
      <c r="L1100" s="304"/>
      <c r="M1100" s="304"/>
      <c r="N1100" s="304"/>
    </row>
    <row r="1101" spans="1:14" customFormat="1" ht="15" customHeight="1" x14ac:dyDescent="0.25">
      <c r="A1101" s="26">
        <f t="shared" ref="A1101:A1104" si="158">A1100+1</f>
        <v>3</v>
      </c>
      <c r="B1101" s="304" t="s">
        <v>393</v>
      </c>
      <c r="C1101" s="304"/>
      <c r="D1101" s="304"/>
      <c r="E1101" s="304"/>
      <c r="F1101" s="304"/>
      <c r="G1101" s="304"/>
      <c r="H1101" s="304"/>
      <c r="I1101" s="304"/>
      <c r="J1101" s="304"/>
      <c r="K1101" s="304"/>
      <c r="L1101" s="304"/>
      <c r="M1101" s="304"/>
      <c r="N1101" s="304"/>
    </row>
    <row r="1102" spans="1:14" customFormat="1" ht="30.75" customHeight="1" x14ac:dyDescent="0.25">
      <c r="A1102" s="26">
        <f t="shared" si="158"/>
        <v>4</v>
      </c>
      <c r="B1102" s="304" t="s">
        <v>389</v>
      </c>
      <c r="C1102" s="304"/>
      <c r="D1102" s="304"/>
      <c r="E1102" s="304"/>
      <c r="F1102" s="304"/>
      <c r="G1102" s="304"/>
      <c r="H1102" s="304"/>
      <c r="I1102" s="304"/>
      <c r="J1102" s="304"/>
      <c r="K1102" s="304"/>
      <c r="L1102" s="304"/>
      <c r="M1102" s="304"/>
      <c r="N1102" s="304"/>
    </row>
    <row r="1103" spans="1:14" customFormat="1" x14ac:dyDescent="0.25">
      <c r="A1103" s="26">
        <f t="shared" si="158"/>
        <v>5</v>
      </c>
      <c r="B1103" s="304" t="s">
        <v>390</v>
      </c>
      <c r="C1103" s="304"/>
      <c r="D1103" s="304"/>
      <c r="E1103" s="304"/>
      <c r="F1103" s="304"/>
      <c r="G1103" s="304"/>
      <c r="H1103" s="304"/>
      <c r="I1103" s="304"/>
      <c r="J1103" s="304"/>
      <c r="K1103" s="304"/>
      <c r="L1103" s="304"/>
      <c r="M1103" s="304"/>
      <c r="N1103" s="304"/>
    </row>
    <row r="1104" spans="1:14" customFormat="1" x14ac:dyDescent="0.25">
      <c r="A1104" s="26">
        <f t="shared" si="158"/>
        <v>6</v>
      </c>
      <c r="B1104" s="304" t="s">
        <v>391</v>
      </c>
      <c r="C1104" s="304"/>
      <c r="D1104" s="304"/>
      <c r="E1104" s="304"/>
      <c r="F1104" s="304"/>
      <c r="G1104" s="304"/>
      <c r="H1104" s="304"/>
      <c r="I1104" s="304"/>
      <c r="J1104" s="304"/>
      <c r="K1104" s="304"/>
      <c r="L1104" s="304"/>
      <c r="M1104" s="304"/>
      <c r="N1104" s="304"/>
    </row>
    <row r="1105" spans="1:15" customFormat="1" x14ac:dyDescent="0.25">
      <c r="A1105" s="315" t="s">
        <v>345</v>
      </c>
      <c r="B1105" s="315"/>
      <c r="C1105" s="315"/>
      <c r="D1105" s="315"/>
      <c r="E1105" s="315"/>
      <c r="F1105" s="315"/>
      <c r="G1105" s="315"/>
      <c r="H1105" s="315"/>
      <c r="I1105" s="315"/>
      <c r="J1105" s="315"/>
      <c r="K1105" s="315"/>
      <c r="L1105" s="315"/>
      <c r="M1105" s="315"/>
      <c r="N1105" s="315"/>
    </row>
    <row r="1106" spans="1:15" customFormat="1" x14ac:dyDescent="0.25">
      <c r="A1106" s="313" t="s">
        <v>346</v>
      </c>
      <c r="B1106" s="313"/>
      <c r="C1106" s="313"/>
      <c r="D1106" s="313"/>
      <c r="E1106" s="313"/>
      <c r="F1106" s="313"/>
      <c r="G1106" s="313"/>
      <c r="H1106" s="313"/>
      <c r="I1106" s="313"/>
      <c r="J1106" s="313"/>
      <c r="K1106" s="313"/>
      <c r="L1106" s="313"/>
      <c r="M1106" s="313"/>
      <c r="N1106" s="313"/>
    </row>
    <row r="1107" spans="1:15" customFormat="1" x14ac:dyDescent="0.25">
      <c r="A1107" s="71" t="s">
        <v>468</v>
      </c>
      <c r="B1107" s="314" t="s">
        <v>347</v>
      </c>
      <c r="C1107" s="314"/>
      <c r="D1107" s="314"/>
      <c r="E1107" s="314"/>
      <c r="F1107" s="314"/>
      <c r="G1107" s="314"/>
      <c r="H1107" s="314"/>
      <c r="I1107" s="314"/>
      <c r="J1107" s="314"/>
      <c r="K1107" s="314"/>
      <c r="L1107" s="314"/>
      <c r="M1107" s="314"/>
      <c r="N1107" s="314"/>
    </row>
    <row r="1108" spans="1:15" customFormat="1" ht="31.5" customHeight="1" x14ac:dyDescent="0.25">
      <c r="A1108" s="54">
        <v>1</v>
      </c>
      <c r="B1108" s="304" t="s">
        <v>348</v>
      </c>
      <c r="C1108" s="304"/>
      <c r="D1108" s="304"/>
      <c r="E1108" s="304"/>
      <c r="F1108" s="304"/>
      <c r="G1108" s="304"/>
      <c r="H1108" s="304"/>
      <c r="I1108" s="304"/>
      <c r="J1108" s="304"/>
      <c r="K1108" s="304"/>
      <c r="L1108" s="304"/>
      <c r="M1108" s="304"/>
      <c r="N1108" s="304"/>
      <c r="O1108" s="57"/>
    </row>
    <row r="1109" spans="1:15" customFormat="1" ht="31.5" customHeight="1" x14ac:dyDescent="0.25">
      <c r="A1109" s="54">
        <v>2</v>
      </c>
      <c r="B1109" s="284" t="s">
        <v>423</v>
      </c>
      <c r="C1109" s="284"/>
      <c r="D1109" s="284"/>
      <c r="E1109" s="284"/>
      <c r="F1109" s="284"/>
      <c r="G1109" s="284"/>
      <c r="H1109" s="284"/>
      <c r="I1109" s="284"/>
      <c r="J1109" s="284"/>
      <c r="K1109" s="284"/>
      <c r="L1109" s="284"/>
      <c r="M1109" s="284"/>
      <c r="N1109" s="284"/>
      <c r="O1109" s="57"/>
    </row>
    <row r="1110" spans="1:15" customFormat="1" ht="31.5" customHeight="1" x14ac:dyDescent="0.25">
      <c r="A1110" s="54">
        <v>3</v>
      </c>
      <c r="B1110" s="284" t="s">
        <v>424</v>
      </c>
      <c r="C1110" s="284"/>
      <c r="D1110" s="284"/>
      <c r="E1110" s="284"/>
      <c r="F1110" s="284"/>
      <c r="G1110" s="284"/>
      <c r="H1110" s="284"/>
      <c r="I1110" s="284"/>
      <c r="J1110" s="284"/>
      <c r="K1110" s="284"/>
      <c r="L1110" s="284"/>
      <c r="M1110" s="284"/>
      <c r="N1110" s="284"/>
      <c r="O1110" s="57"/>
    </row>
    <row r="1111" spans="1:15" customFormat="1" x14ac:dyDescent="0.25">
      <c r="A1111" s="54">
        <v>4</v>
      </c>
      <c r="B1111" s="304" t="s">
        <v>365</v>
      </c>
      <c r="C1111" s="284"/>
      <c r="D1111" s="284"/>
      <c r="E1111" s="284"/>
      <c r="F1111" s="284"/>
      <c r="G1111" s="284"/>
      <c r="H1111" s="284"/>
      <c r="I1111" s="284"/>
      <c r="J1111" s="284"/>
      <c r="K1111" s="284"/>
      <c r="L1111" s="284"/>
      <c r="M1111" s="284"/>
      <c r="N1111" s="284"/>
      <c r="O1111" s="57"/>
    </row>
    <row r="1112" spans="1:15" customFormat="1" x14ac:dyDescent="0.25">
      <c r="A1112" s="54">
        <v>5</v>
      </c>
      <c r="B1112" s="304" t="s">
        <v>366</v>
      </c>
      <c r="C1112" s="284"/>
      <c r="D1112" s="284"/>
      <c r="E1112" s="284"/>
      <c r="F1112" s="284"/>
      <c r="G1112" s="284"/>
      <c r="H1112" s="284"/>
      <c r="I1112" s="284"/>
      <c r="J1112" s="284"/>
      <c r="K1112" s="284"/>
      <c r="L1112" s="284"/>
      <c r="M1112" s="284"/>
      <c r="N1112" s="284"/>
      <c r="O1112" s="57"/>
    </row>
    <row r="1113" spans="1:15" customFormat="1" ht="15" customHeight="1" x14ac:dyDescent="0.25">
      <c r="A1113" s="71" t="s">
        <v>468</v>
      </c>
      <c r="B1113" s="314" t="s">
        <v>349</v>
      </c>
      <c r="C1113" s="314"/>
      <c r="D1113" s="314"/>
      <c r="E1113" s="314"/>
      <c r="F1113" s="314"/>
      <c r="G1113" s="314"/>
      <c r="H1113" s="314"/>
      <c r="I1113" s="314"/>
      <c r="J1113" s="314"/>
      <c r="K1113" s="314"/>
      <c r="L1113" s="314"/>
      <c r="M1113" s="314"/>
      <c r="N1113" s="314"/>
      <c r="O1113" s="57"/>
    </row>
    <row r="1114" spans="1:15" customFormat="1" ht="32.25" customHeight="1" x14ac:dyDescent="0.25">
      <c r="A1114" s="54">
        <v>6</v>
      </c>
      <c r="B1114" s="304" t="s">
        <v>350</v>
      </c>
      <c r="C1114" s="304"/>
      <c r="D1114" s="304"/>
      <c r="E1114" s="304"/>
      <c r="F1114" s="304"/>
      <c r="G1114" s="304"/>
      <c r="H1114" s="304"/>
      <c r="I1114" s="304"/>
      <c r="J1114" s="304"/>
      <c r="K1114" s="304"/>
      <c r="L1114" s="304"/>
      <c r="M1114" s="304"/>
      <c r="N1114" s="304"/>
      <c r="O1114" s="48"/>
    </row>
    <row r="1115" spans="1:15" customFormat="1" ht="32.25" customHeight="1" x14ac:dyDescent="0.25">
      <c r="A1115" s="54">
        <v>7</v>
      </c>
      <c r="B1115" s="304" t="s">
        <v>351</v>
      </c>
      <c r="C1115" s="304"/>
      <c r="D1115" s="304"/>
      <c r="E1115" s="304"/>
      <c r="F1115" s="304"/>
      <c r="G1115" s="304"/>
      <c r="H1115" s="304"/>
      <c r="I1115" s="304"/>
      <c r="J1115" s="304"/>
      <c r="K1115" s="304"/>
      <c r="L1115" s="304"/>
      <c r="M1115" s="304"/>
      <c r="N1115" s="304"/>
      <c r="O1115" s="48"/>
    </row>
    <row r="1116" spans="1:15" customFormat="1" ht="34.5" customHeight="1" x14ac:dyDescent="0.25">
      <c r="A1116" s="54">
        <v>8</v>
      </c>
      <c r="B1116" s="304" t="s">
        <v>362</v>
      </c>
      <c r="C1116" s="304"/>
      <c r="D1116" s="304"/>
      <c r="E1116" s="304"/>
      <c r="F1116" s="304"/>
      <c r="G1116" s="304"/>
      <c r="H1116" s="304"/>
      <c r="I1116" s="304"/>
      <c r="J1116" s="304"/>
      <c r="K1116" s="304"/>
      <c r="L1116" s="304"/>
      <c r="M1116" s="304"/>
      <c r="N1116" s="304"/>
      <c r="O1116" s="48"/>
    </row>
    <row r="1117" spans="1:15" customFormat="1" ht="43.5" customHeight="1" x14ac:dyDescent="0.25">
      <c r="A1117" s="54">
        <v>9</v>
      </c>
      <c r="B1117" s="304" t="s">
        <v>363</v>
      </c>
      <c r="C1117" s="304"/>
      <c r="D1117" s="304"/>
      <c r="E1117" s="304"/>
      <c r="F1117" s="304"/>
      <c r="G1117" s="304"/>
      <c r="H1117" s="304"/>
      <c r="I1117" s="304"/>
      <c r="J1117" s="304"/>
      <c r="K1117" s="304"/>
      <c r="L1117" s="304"/>
      <c r="M1117" s="304"/>
      <c r="N1117" s="304"/>
      <c r="O1117" s="48"/>
    </row>
    <row r="1118" spans="1:15" customFormat="1" ht="33" customHeight="1" x14ac:dyDescent="0.25">
      <c r="A1118" s="54">
        <v>10</v>
      </c>
      <c r="B1118" s="304" t="s">
        <v>372</v>
      </c>
      <c r="C1118" s="304"/>
      <c r="D1118" s="304"/>
      <c r="E1118" s="304"/>
      <c r="F1118" s="304"/>
      <c r="G1118" s="304"/>
      <c r="H1118" s="304"/>
      <c r="I1118" s="304"/>
      <c r="J1118" s="304"/>
      <c r="K1118" s="304"/>
      <c r="L1118" s="304"/>
      <c r="M1118" s="304"/>
      <c r="N1118" s="304"/>
      <c r="O1118" s="48"/>
    </row>
    <row r="1119" spans="1:15" customFormat="1" ht="28.5" customHeight="1" x14ac:dyDescent="0.25">
      <c r="A1119" s="54">
        <v>11</v>
      </c>
      <c r="B1119" s="304" t="s">
        <v>373</v>
      </c>
      <c r="C1119" s="304"/>
      <c r="D1119" s="304"/>
      <c r="E1119" s="304"/>
      <c r="F1119" s="304"/>
      <c r="G1119" s="304"/>
      <c r="H1119" s="304"/>
      <c r="I1119" s="304"/>
      <c r="J1119" s="304"/>
      <c r="K1119" s="304"/>
      <c r="L1119" s="304"/>
      <c r="M1119" s="304"/>
      <c r="N1119" s="304"/>
      <c r="O1119" s="48"/>
    </row>
    <row r="1120" spans="1:15" customFormat="1" ht="15" customHeight="1" x14ac:dyDescent="0.25">
      <c r="A1120" s="71" t="s">
        <v>468</v>
      </c>
      <c r="B1120" s="314" t="s">
        <v>352</v>
      </c>
      <c r="C1120" s="314"/>
      <c r="D1120" s="314"/>
      <c r="E1120" s="314"/>
      <c r="F1120" s="314"/>
      <c r="G1120" s="314"/>
      <c r="H1120" s="314"/>
      <c r="I1120" s="314"/>
      <c r="J1120" s="314"/>
      <c r="K1120" s="314"/>
      <c r="L1120" s="314"/>
      <c r="M1120" s="314"/>
      <c r="N1120" s="314"/>
      <c r="O1120" s="57"/>
    </row>
    <row r="1121" spans="1:15" customFormat="1" ht="30" customHeight="1" x14ac:dyDescent="0.25">
      <c r="A1121" s="54">
        <v>12</v>
      </c>
      <c r="B1121" s="304" t="s">
        <v>374</v>
      </c>
      <c r="C1121" s="304"/>
      <c r="D1121" s="304"/>
      <c r="E1121" s="304"/>
      <c r="F1121" s="304"/>
      <c r="G1121" s="304"/>
      <c r="H1121" s="304"/>
      <c r="I1121" s="304"/>
      <c r="J1121" s="304"/>
      <c r="K1121" s="304"/>
      <c r="L1121" s="304"/>
      <c r="M1121" s="304"/>
      <c r="N1121" s="304"/>
      <c r="O1121" s="57"/>
    </row>
    <row r="1122" spans="1:15" customFormat="1" ht="33" customHeight="1" x14ac:dyDescent="0.25">
      <c r="A1122" s="54">
        <v>13</v>
      </c>
      <c r="B1122" s="304" t="s">
        <v>375</v>
      </c>
      <c r="C1122" s="304"/>
      <c r="D1122" s="304"/>
      <c r="E1122" s="304"/>
      <c r="F1122" s="304"/>
      <c r="G1122" s="304"/>
      <c r="H1122" s="304"/>
      <c r="I1122" s="304"/>
      <c r="J1122" s="304"/>
      <c r="K1122" s="304"/>
      <c r="L1122" s="304"/>
      <c r="M1122" s="304"/>
      <c r="N1122" s="304"/>
      <c r="O1122" s="57"/>
    </row>
    <row r="1123" spans="1:15" customFormat="1" ht="33" customHeight="1" x14ac:dyDescent="0.25">
      <c r="A1123" s="54">
        <v>14</v>
      </c>
      <c r="B1123" s="304" t="s">
        <v>377</v>
      </c>
      <c r="C1123" s="304"/>
      <c r="D1123" s="304"/>
      <c r="E1123" s="304"/>
      <c r="F1123" s="304"/>
      <c r="G1123" s="304"/>
      <c r="H1123" s="304"/>
      <c r="I1123" s="304"/>
      <c r="J1123" s="304"/>
      <c r="K1123" s="304"/>
      <c r="L1123" s="304"/>
      <c r="M1123" s="304"/>
      <c r="N1123" s="304"/>
      <c r="O1123" s="57"/>
    </row>
    <row r="1124" spans="1:15" customFormat="1" ht="33" customHeight="1" x14ac:dyDescent="0.25">
      <c r="A1124" s="54">
        <v>15</v>
      </c>
      <c r="B1124" s="304" t="s">
        <v>376</v>
      </c>
      <c r="C1124" s="304"/>
      <c r="D1124" s="304"/>
      <c r="E1124" s="304"/>
      <c r="F1124" s="304"/>
      <c r="G1124" s="304"/>
      <c r="H1124" s="304"/>
      <c r="I1124" s="304"/>
      <c r="J1124" s="304"/>
      <c r="K1124" s="304"/>
      <c r="L1124" s="304"/>
      <c r="M1124" s="304"/>
      <c r="N1124" s="304"/>
      <c r="O1124" s="57"/>
    </row>
    <row r="1125" spans="1:15" customFormat="1" ht="44.25" customHeight="1" x14ac:dyDescent="0.25">
      <c r="A1125" s="54">
        <v>16</v>
      </c>
      <c r="B1125" s="304" t="s">
        <v>378</v>
      </c>
      <c r="C1125" s="304"/>
      <c r="D1125" s="304"/>
      <c r="E1125" s="304"/>
      <c r="F1125" s="304"/>
      <c r="G1125" s="304"/>
      <c r="H1125" s="304"/>
      <c r="I1125" s="304"/>
      <c r="J1125" s="304"/>
      <c r="K1125" s="304"/>
      <c r="L1125" s="304"/>
      <c r="M1125" s="304"/>
      <c r="N1125" s="304"/>
      <c r="O1125" s="57"/>
    </row>
    <row r="1126" spans="1:15" customFormat="1" x14ac:dyDescent="0.25">
      <c r="A1126" s="54">
        <v>17</v>
      </c>
      <c r="B1126" s="304" t="s">
        <v>364</v>
      </c>
      <c r="C1126" s="304"/>
      <c r="D1126" s="304"/>
      <c r="E1126" s="304"/>
      <c r="F1126" s="304"/>
      <c r="G1126" s="304"/>
      <c r="H1126" s="304"/>
      <c r="I1126" s="304"/>
      <c r="J1126" s="304"/>
      <c r="K1126" s="304"/>
      <c r="L1126" s="304"/>
      <c r="M1126" s="304"/>
      <c r="N1126" s="304"/>
      <c r="O1126" s="57"/>
    </row>
    <row r="1127" spans="1:15" customFormat="1" x14ac:dyDescent="0.25">
      <c r="A1127" s="54">
        <v>18</v>
      </c>
      <c r="B1127" s="304" t="s">
        <v>367</v>
      </c>
      <c r="C1127" s="304"/>
      <c r="D1127" s="304"/>
      <c r="E1127" s="304"/>
      <c r="F1127" s="304"/>
      <c r="G1127" s="304"/>
      <c r="H1127" s="304"/>
      <c r="I1127" s="304"/>
      <c r="J1127" s="304"/>
      <c r="K1127" s="304"/>
      <c r="L1127" s="304"/>
      <c r="M1127" s="304"/>
      <c r="N1127" s="304"/>
      <c r="O1127" s="57"/>
    </row>
    <row r="1128" spans="1:15" customFormat="1" ht="32.25" customHeight="1" x14ac:dyDescent="0.25">
      <c r="A1128" s="54">
        <v>19</v>
      </c>
      <c r="B1128" s="304" t="s">
        <v>353</v>
      </c>
      <c r="C1128" s="304"/>
      <c r="D1128" s="304"/>
      <c r="E1128" s="304"/>
      <c r="F1128" s="304"/>
      <c r="G1128" s="304"/>
      <c r="H1128" s="304"/>
      <c r="I1128" s="304"/>
      <c r="J1128" s="304"/>
      <c r="K1128" s="304"/>
      <c r="L1128" s="304"/>
      <c r="M1128" s="304"/>
      <c r="N1128" s="304"/>
      <c r="O1128" s="57"/>
    </row>
    <row r="1129" spans="1:15" customFormat="1" ht="15" customHeight="1" x14ac:dyDescent="0.25">
      <c r="A1129" s="71" t="s">
        <v>468</v>
      </c>
      <c r="B1129" s="314" t="s">
        <v>354</v>
      </c>
      <c r="C1129" s="314"/>
      <c r="D1129" s="314"/>
      <c r="E1129" s="314"/>
      <c r="F1129" s="314"/>
      <c r="G1129" s="314"/>
      <c r="H1129" s="314"/>
      <c r="I1129" s="314"/>
      <c r="J1129" s="314"/>
      <c r="K1129" s="314"/>
      <c r="L1129" s="314"/>
      <c r="M1129" s="314"/>
      <c r="N1129" s="314"/>
      <c r="O1129" s="57"/>
    </row>
    <row r="1130" spans="1:15" customFormat="1" ht="31.5" customHeight="1" x14ac:dyDescent="0.25">
      <c r="A1130" s="54">
        <v>20</v>
      </c>
      <c r="B1130" s="304" t="s">
        <v>368</v>
      </c>
      <c r="C1130" s="284"/>
      <c r="D1130" s="284"/>
      <c r="E1130" s="284"/>
      <c r="F1130" s="284"/>
      <c r="G1130" s="284"/>
      <c r="H1130" s="284"/>
      <c r="I1130" s="284"/>
      <c r="J1130" s="284"/>
      <c r="K1130" s="284"/>
      <c r="L1130" s="284"/>
      <c r="M1130" s="284"/>
      <c r="N1130" s="284"/>
      <c r="O1130" s="57"/>
    </row>
    <row r="1131" spans="1:15" customFormat="1" ht="15" customHeight="1" x14ac:dyDescent="0.25">
      <c r="A1131" s="71" t="s">
        <v>468</v>
      </c>
      <c r="B1131" s="285" t="s">
        <v>355</v>
      </c>
      <c r="C1131" s="285"/>
      <c r="D1131" s="285"/>
      <c r="E1131" s="285"/>
      <c r="F1131" s="285"/>
      <c r="G1131" s="285"/>
      <c r="H1131" s="285"/>
      <c r="I1131" s="285"/>
      <c r="J1131" s="285"/>
      <c r="K1131" s="285"/>
      <c r="L1131" s="285"/>
      <c r="M1131" s="285"/>
      <c r="N1131" s="285"/>
      <c r="O1131" s="57"/>
    </row>
    <row r="1132" spans="1:15" customFormat="1" ht="46.5" customHeight="1" x14ac:dyDescent="0.25">
      <c r="A1132" s="54">
        <v>21</v>
      </c>
      <c r="B1132" s="304" t="s">
        <v>369</v>
      </c>
      <c r="C1132" s="304"/>
      <c r="D1132" s="304"/>
      <c r="E1132" s="304"/>
      <c r="F1132" s="304"/>
      <c r="G1132" s="304"/>
      <c r="H1132" s="304"/>
      <c r="I1132" s="304"/>
      <c r="J1132" s="304"/>
      <c r="K1132" s="304"/>
      <c r="L1132" s="304"/>
      <c r="M1132" s="304"/>
      <c r="N1132" s="304"/>
      <c r="O1132" s="57"/>
    </row>
    <row r="1133" spans="1:15" customFormat="1" ht="30.75" customHeight="1" x14ac:dyDescent="0.25">
      <c r="A1133" s="54">
        <v>22</v>
      </c>
      <c r="B1133" s="304" t="s">
        <v>370</v>
      </c>
      <c r="C1133" s="304"/>
      <c r="D1133" s="304"/>
      <c r="E1133" s="304"/>
      <c r="F1133" s="304"/>
      <c r="G1133" s="304"/>
      <c r="H1133" s="304"/>
      <c r="I1133" s="304"/>
      <c r="J1133" s="304"/>
      <c r="K1133" s="304"/>
      <c r="L1133" s="304"/>
      <c r="M1133" s="304"/>
      <c r="N1133" s="304"/>
      <c r="O1133" s="57"/>
    </row>
    <row r="1134" spans="1:15" customFormat="1" ht="31.5" customHeight="1" x14ac:dyDescent="0.25">
      <c r="A1134" s="54">
        <v>23</v>
      </c>
      <c r="B1134" s="304" t="s">
        <v>371</v>
      </c>
      <c r="C1134" s="304"/>
      <c r="D1134" s="304"/>
      <c r="E1134" s="304"/>
      <c r="F1134" s="304"/>
      <c r="G1134" s="304"/>
      <c r="H1134" s="304"/>
      <c r="I1134" s="304"/>
      <c r="J1134" s="304"/>
      <c r="K1134" s="304"/>
      <c r="L1134" s="304"/>
      <c r="M1134" s="304"/>
      <c r="N1134" s="304"/>
      <c r="O1134" s="57"/>
    </row>
    <row r="1135" spans="1:15" customFormat="1" ht="65.25" customHeight="1" x14ac:dyDescent="0.25">
      <c r="A1135" s="54">
        <v>24</v>
      </c>
      <c r="B1135" s="304" t="s">
        <v>356</v>
      </c>
      <c r="C1135" s="304"/>
      <c r="D1135" s="304"/>
      <c r="E1135" s="304"/>
      <c r="F1135" s="304"/>
      <c r="G1135" s="304"/>
      <c r="H1135" s="304"/>
      <c r="I1135" s="304"/>
      <c r="J1135" s="304"/>
      <c r="K1135" s="304"/>
      <c r="L1135" s="304"/>
      <c r="M1135" s="304"/>
      <c r="N1135" s="304"/>
      <c r="O1135" s="57"/>
    </row>
    <row r="1136" spans="1:15" customFormat="1" ht="15" customHeight="1" x14ac:dyDescent="0.25">
      <c r="A1136" s="71" t="s">
        <v>468</v>
      </c>
      <c r="B1136" s="314" t="s">
        <v>357</v>
      </c>
      <c r="C1136" s="314"/>
      <c r="D1136" s="314"/>
      <c r="E1136" s="314"/>
      <c r="F1136" s="314"/>
      <c r="G1136" s="314"/>
      <c r="H1136" s="314"/>
      <c r="I1136" s="314"/>
      <c r="J1136" s="314"/>
      <c r="K1136" s="314"/>
      <c r="L1136" s="314"/>
      <c r="M1136" s="314"/>
      <c r="N1136" s="314"/>
      <c r="O1136" s="57"/>
    </row>
    <row r="1137" spans="1:15" customFormat="1" ht="45" customHeight="1" x14ac:dyDescent="0.25">
      <c r="A1137" s="54">
        <v>25</v>
      </c>
      <c r="B1137" s="304" t="s">
        <v>379</v>
      </c>
      <c r="C1137" s="284"/>
      <c r="D1137" s="284"/>
      <c r="E1137" s="284"/>
      <c r="F1137" s="284"/>
      <c r="G1137" s="284"/>
      <c r="H1137" s="284"/>
      <c r="I1137" s="284"/>
      <c r="J1137" s="284"/>
      <c r="K1137" s="284"/>
      <c r="L1137" s="284"/>
      <c r="M1137" s="284"/>
      <c r="N1137" s="284"/>
      <c r="O1137" s="57"/>
    </row>
    <row r="1138" spans="1:15" customFormat="1" ht="30" customHeight="1" x14ac:dyDescent="0.25">
      <c r="A1138" s="54">
        <v>26</v>
      </c>
      <c r="B1138" s="304" t="s">
        <v>380</v>
      </c>
      <c r="C1138" s="284"/>
      <c r="D1138" s="284"/>
      <c r="E1138" s="284"/>
      <c r="F1138" s="284"/>
      <c r="G1138" s="284"/>
      <c r="H1138" s="284"/>
      <c r="I1138" s="284"/>
      <c r="J1138" s="284"/>
      <c r="K1138" s="284"/>
      <c r="L1138" s="284"/>
      <c r="M1138" s="284"/>
      <c r="N1138" s="284"/>
      <c r="O1138" s="57"/>
    </row>
    <row r="1139" spans="1:15" customFormat="1" ht="15" customHeight="1" x14ac:dyDescent="0.25">
      <c r="A1139" s="71" t="s">
        <v>468</v>
      </c>
      <c r="B1139" s="314" t="s">
        <v>358</v>
      </c>
      <c r="C1139" s="314"/>
      <c r="D1139" s="314"/>
      <c r="E1139" s="314"/>
      <c r="F1139" s="314"/>
      <c r="G1139" s="314"/>
      <c r="H1139" s="314"/>
      <c r="I1139" s="314"/>
      <c r="J1139" s="314"/>
      <c r="K1139" s="314"/>
      <c r="L1139" s="314"/>
      <c r="M1139" s="314"/>
      <c r="N1139" s="314"/>
      <c r="O1139" s="57"/>
    </row>
    <row r="1140" spans="1:15" customFormat="1" ht="33.75" customHeight="1" x14ac:dyDescent="0.25">
      <c r="A1140" s="54">
        <v>27</v>
      </c>
      <c r="B1140" s="304" t="s">
        <v>381</v>
      </c>
      <c r="C1140" s="284"/>
      <c r="D1140" s="284"/>
      <c r="E1140" s="284"/>
      <c r="F1140" s="284"/>
      <c r="G1140" s="284"/>
      <c r="H1140" s="284"/>
      <c r="I1140" s="284"/>
      <c r="J1140" s="284"/>
      <c r="K1140" s="284"/>
      <c r="L1140" s="284"/>
      <c r="M1140" s="284"/>
      <c r="N1140" s="284"/>
      <c r="O1140" s="57"/>
    </row>
    <row r="1141" spans="1:15" customFormat="1" ht="32.25" customHeight="1" x14ac:dyDescent="0.25">
      <c r="A1141" s="54">
        <v>28</v>
      </c>
      <c r="B1141" s="284" t="s">
        <v>425</v>
      </c>
      <c r="C1141" s="284"/>
      <c r="D1141" s="284"/>
      <c r="E1141" s="284"/>
      <c r="F1141" s="284"/>
      <c r="G1141" s="284"/>
      <c r="H1141" s="284"/>
      <c r="I1141" s="284"/>
      <c r="J1141" s="284"/>
      <c r="K1141" s="284"/>
      <c r="L1141" s="284"/>
      <c r="M1141" s="284"/>
      <c r="N1141" s="284"/>
      <c r="O1141" s="57"/>
    </row>
    <row r="1142" spans="1:15" customFormat="1" ht="30.75" customHeight="1" x14ac:dyDescent="0.25">
      <c r="A1142" s="54">
        <v>29</v>
      </c>
      <c r="B1142" s="304" t="s">
        <v>382</v>
      </c>
      <c r="C1142" s="284"/>
      <c r="D1142" s="284"/>
      <c r="E1142" s="284"/>
      <c r="F1142" s="284"/>
      <c r="G1142" s="284"/>
      <c r="H1142" s="284"/>
      <c r="I1142" s="284"/>
      <c r="J1142" s="284"/>
      <c r="K1142" s="284"/>
      <c r="L1142" s="284"/>
      <c r="M1142" s="284"/>
      <c r="N1142" s="284"/>
      <c r="O1142" s="57"/>
    </row>
    <row r="1143" spans="1:15" customFormat="1" x14ac:dyDescent="0.25">
      <c r="A1143" s="54">
        <v>30</v>
      </c>
      <c r="B1143" s="304" t="s">
        <v>383</v>
      </c>
      <c r="C1143" s="284"/>
      <c r="D1143" s="284"/>
      <c r="E1143" s="284"/>
      <c r="F1143" s="284"/>
      <c r="G1143" s="284"/>
      <c r="H1143" s="284"/>
      <c r="I1143" s="284"/>
      <c r="J1143" s="284"/>
      <c r="K1143" s="284"/>
      <c r="L1143" s="284"/>
      <c r="M1143" s="284"/>
      <c r="N1143" s="284"/>
      <c r="O1143" s="57"/>
    </row>
    <row r="1144" spans="1:15" customFormat="1" x14ac:dyDescent="0.25">
      <c r="A1144" s="71" t="s">
        <v>468</v>
      </c>
      <c r="B1144" s="314" t="s">
        <v>282</v>
      </c>
      <c r="C1144" s="314"/>
      <c r="D1144" s="314"/>
      <c r="E1144" s="314"/>
      <c r="F1144" s="314"/>
      <c r="G1144" s="314"/>
      <c r="H1144" s="314"/>
      <c r="I1144" s="314"/>
      <c r="J1144" s="314"/>
      <c r="K1144" s="314"/>
      <c r="L1144" s="314"/>
      <c r="M1144" s="314"/>
      <c r="N1144" s="314"/>
      <c r="O1144" s="57"/>
    </row>
    <row r="1145" spans="1:15" customFormat="1" ht="33.75" customHeight="1" x14ac:dyDescent="0.25">
      <c r="A1145" s="54">
        <v>31</v>
      </c>
      <c r="B1145" s="304" t="s">
        <v>384</v>
      </c>
      <c r="C1145" s="284"/>
      <c r="D1145" s="284"/>
      <c r="E1145" s="284"/>
      <c r="F1145" s="284"/>
      <c r="G1145" s="284"/>
      <c r="H1145" s="284"/>
      <c r="I1145" s="284"/>
      <c r="J1145" s="284"/>
      <c r="K1145" s="284"/>
      <c r="L1145" s="284"/>
      <c r="M1145" s="284"/>
      <c r="N1145" s="284"/>
      <c r="O1145" s="57"/>
    </row>
    <row r="1146" spans="1:15" customFormat="1" x14ac:dyDescent="0.25">
      <c r="A1146" s="54">
        <v>32</v>
      </c>
      <c r="B1146" s="304" t="s">
        <v>385</v>
      </c>
      <c r="C1146" s="284"/>
      <c r="D1146" s="284"/>
      <c r="E1146" s="284"/>
      <c r="F1146" s="284"/>
      <c r="G1146" s="284"/>
      <c r="H1146" s="284"/>
      <c r="I1146" s="284"/>
      <c r="J1146" s="284"/>
      <c r="K1146" s="284"/>
      <c r="L1146" s="284"/>
      <c r="M1146" s="284"/>
      <c r="N1146" s="284"/>
      <c r="O1146" s="57"/>
    </row>
    <row r="1147" spans="1:15" customFormat="1" ht="59.25" customHeight="1" x14ac:dyDescent="0.25">
      <c r="A1147" s="316"/>
      <c r="B1147" s="222" t="s">
        <v>359</v>
      </c>
      <c r="C1147" s="223"/>
      <c r="D1147" s="223"/>
      <c r="E1147" s="223"/>
      <c r="F1147" s="223"/>
      <c r="G1147" s="223"/>
      <c r="H1147" s="224"/>
      <c r="I1147" s="186"/>
      <c r="J1147" s="187"/>
      <c r="K1147" s="187"/>
      <c r="L1147" s="187"/>
      <c r="M1147" s="187"/>
      <c r="N1147" s="188"/>
    </row>
    <row r="1148" spans="1:15" customFormat="1" x14ac:dyDescent="0.25">
      <c r="A1148" s="308"/>
      <c r="B1148" s="317" t="s">
        <v>360</v>
      </c>
      <c r="C1148" s="318"/>
      <c r="D1148" s="318"/>
      <c r="E1148" s="318"/>
      <c r="F1148" s="318"/>
      <c r="G1148" s="318"/>
      <c r="H1148" s="319"/>
      <c r="I1148" s="323" t="s">
        <v>361</v>
      </c>
      <c r="J1148" s="324"/>
      <c r="K1148" s="324"/>
      <c r="L1148" s="324"/>
      <c r="M1148" s="324"/>
      <c r="N1148" s="325"/>
    </row>
    <row r="1149" spans="1:15" customFormat="1" ht="85.5" customHeight="1" x14ac:dyDescent="0.25">
      <c r="A1149" s="308"/>
      <c r="B1149" s="320"/>
      <c r="C1149" s="321"/>
      <c r="D1149" s="321"/>
      <c r="E1149" s="321"/>
      <c r="F1149" s="321"/>
      <c r="G1149" s="321"/>
      <c r="H1149" s="322"/>
      <c r="I1149" s="326" t="s">
        <v>448</v>
      </c>
      <c r="J1149" s="327"/>
      <c r="K1149" s="327"/>
      <c r="L1149" s="327"/>
      <c r="M1149" s="327"/>
      <c r="N1149" s="328"/>
    </row>
    <row r="1150" spans="1:15" s="49" customFormat="1" ht="31.5" customHeight="1" x14ac:dyDescent="0.25">
      <c r="A1150" s="308"/>
      <c r="B1150" s="313" t="s">
        <v>285</v>
      </c>
      <c r="C1150" s="313"/>
      <c r="D1150" s="313" t="s">
        <v>286</v>
      </c>
      <c r="E1150" s="313"/>
      <c r="F1150" s="313"/>
      <c r="G1150" s="313"/>
      <c r="H1150" s="313"/>
      <c r="I1150" s="313" t="s">
        <v>232</v>
      </c>
      <c r="J1150" s="313"/>
      <c r="K1150" s="329" t="str">
        <f ca="1">TEXT(TODAY(),"DD/MM/YYYY")</f>
        <v>30/08/2025</v>
      </c>
      <c r="L1150" s="329"/>
      <c r="M1150" s="329"/>
      <c r="N1150" s="329"/>
    </row>
    <row r="1151" spans="1:15" ht="15" customHeight="1" x14ac:dyDescent="0.25">
      <c r="A1151" s="12"/>
    </row>
    <row r="1152" spans="1:15" x14ac:dyDescent="0.25">
      <c r="A1152" s="12"/>
      <c r="B1152" s="55"/>
      <c r="C1152" s="55"/>
      <c r="D1152" s="55"/>
      <c r="E1152" s="55"/>
      <c r="F1152" s="55"/>
      <c r="G1152" s="55"/>
      <c r="H1152" s="55"/>
      <c r="I1152" s="55"/>
      <c r="J1152" s="55"/>
      <c r="K1152" s="55"/>
      <c r="L1152" s="55"/>
      <c r="M1152" s="55"/>
      <c r="N1152" s="55"/>
    </row>
  </sheetData>
  <mergeCells count="1182">
    <mergeCell ref="B1065:H1067"/>
    <mergeCell ref="Q56:V56"/>
    <mergeCell ref="W56:X56"/>
    <mergeCell ref="Q57:V57"/>
    <mergeCell ref="W57:X57"/>
    <mergeCell ref="Q58:V58"/>
    <mergeCell ref="W58:X58"/>
    <mergeCell ref="O670:T670"/>
    <mergeCell ref="A365:N365"/>
    <mergeCell ref="B236:B253"/>
    <mergeCell ref="A194:A195"/>
    <mergeCell ref="B194:E195"/>
    <mergeCell ref="F194:K194"/>
    <mergeCell ref="M194:N194"/>
    <mergeCell ref="A192:A193"/>
    <mergeCell ref="B192:E193"/>
    <mergeCell ref="F192:K192"/>
    <mergeCell ref="M192:N192"/>
    <mergeCell ref="F193:N193"/>
    <mergeCell ref="A196:A197"/>
    <mergeCell ref="B196:E197"/>
    <mergeCell ref="F196:K196"/>
    <mergeCell ref="M196:N196"/>
    <mergeCell ref="F197:N197"/>
    <mergeCell ref="F195:K195"/>
    <mergeCell ref="M195:N195"/>
    <mergeCell ref="B544:B555"/>
    <mergeCell ref="M544:N544"/>
    <mergeCell ref="M545:N545"/>
    <mergeCell ref="M546:N546"/>
    <mergeCell ref="M547:N547"/>
    <mergeCell ref="M548:N548"/>
    <mergeCell ref="M549:N549"/>
    <mergeCell ref="M550:N550"/>
    <mergeCell ref="M551:N551"/>
    <mergeCell ref="M552:N552"/>
    <mergeCell ref="M553:N553"/>
    <mergeCell ref="M554:N554"/>
    <mergeCell ref="M555:N555"/>
    <mergeCell ref="B532:B543"/>
    <mergeCell ref="M532:N532"/>
    <mergeCell ref="M533:N533"/>
    <mergeCell ref="M534:N534"/>
    <mergeCell ref="M535:N535"/>
    <mergeCell ref="M536:N536"/>
    <mergeCell ref="M537:N537"/>
    <mergeCell ref="M538:N538"/>
    <mergeCell ref="M539:N539"/>
    <mergeCell ref="M540:N540"/>
    <mergeCell ref="M541:N541"/>
    <mergeCell ref="M542:N542"/>
    <mergeCell ref="M543:N543"/>
    <mergeCell ref="B520:B531"/>
    <mergeCell ref="M520:N520"/>
    <mergeCell ref="M521:N521"/>
    <mergeCell ref="M522:N522"/>
    <mergeCell ref="M523:N523"/>
    <mergeCell ref="M524:N524"/>
    <mergeCell ref="M525:N525"/>
    <mergeCell ref="M526:N526"/>
    <mergeCell ref="M527:N527"/>
    <mergeCell ref="M528:N528"/>
    <mergeCell ref="M529:N529"/>
    <mergeCell ref="M530:N530"/>
    <mergeCell ref="M531:N531"/>
    <mergeCell ref="B508:B519"/>
    <mergeCell ref="M508:N508"/>
    <mergeCell ref="M509:N509"/>
    <mergeCell ref="M510:N510"/>
    <mergeCell ref="M511:N511"/>
    <mergeCell ref="M512:N512"/>
    <mergeCell ref="M513:N513"/>
    <mergeCell ref="M514:N514"/>
    <mergeCell ref="M515:N515"/>
    <mergeCell ref="M516:N516"/>
    <mergeCell ref="M517:N517"/>
    <mergeCell ref="M518:N518"/>
    <mergeCell ref="M519:N519"/>
    <mergeCell ref="B496:B507"/>
    <mergeCell ref="M496:N496"/>
    <mergeCell ref="M497:N497"/>
    <mergeCell ref="M498:N498"/>
    <mergeCell ref="M499:N499"/>
    <mergeCell ref="M500:N500"/>
    <mergeCell ref="M501:N501"/>
    <mergeCell ref="M502:N502"/>
    <mergeCell ref="M503:N503"/>
    <mergeCell ref="M504:N504"/>
    <mergeCell ref="M505:N505"/>
    <mergeCell ref="M506:N506"/>
    <mergeCell ref="M507:N507"/>
    <mergeCell ref="B484:B495"/>
    <mergeCell ref="M484:N484"/>
    <mergeCell ref="M485:N485"/>
    <mergeCell ref="M486:N486"/>
    <mergeCell ref="M487:N487"/>
    <mergeCell ref="M488:N488"/>
    <mergeCell ref="M489:N489"/>
    <mergeCell ref="M490:N490"/>
    <mergeCell ref="M491:N491"/>
    <mergeCell ref="M492:N492"/>
    <mergeCell ref="M493:N493"/>
    <mergeCell ref="M494:N494"/>
    <mergeCell ref="M495:N495"/>
    <mergeCell ref="B472:B483"/>
    <mergeCell ref="M472:N472"/>
    <mergeCell ref="M473:N473"/>
    <mergeCell ref="M474:N474"/>
    <mergeCell ref="M475:N475"/>
    <mergeCell ref="M476:N476"/>
    <mergeCell ref="M477:N477"/>
    <mergeCell ref="M478:N478"/>
    <mergeCell ref="M479:N479"/>
    <mergeCell ref="M480:N480"/>
    <mergeCell ref="M481:N481"/>
    <mergeCell ref="M482:N482"/>
    <mergeCell ref="M483:N483"/>
    <mergeCell ref="B414:B425"/>
    <mergeCell ref="M414:N414"/>
    <mergeCell ref="M415:N415"/>
    <mergeCell ref="M416:N416"/>
    <mergeCell ref="M417:N417"/>
    <mergeCell ref="M418:N418"/>
    <mergeCell ref="M419:N419"/>
    <mergeCell ref="M420:N420"/>
    <mergeCell ref="M421:N421"/>
    <mergeCell ref="M422:N422"/>
    <mergeCell ref="M423:N423"/>
    <mergeCell ref="M424:N424"/>
    <mergeCell ref="M425:N425"/>
    <mergeCell ref="M442:N442"/>
    <mergeCell ref="A466:N466"/>
    <mergeCell ref="B402:B413"/>
    <mergeCell ref="M402:N402"/>
    <mergeCell ref="M403:N403"/>
    <mergeCell ref="M404:N404"/>
    <mergeCell ref="M405:N405"/>
    <mergeCell ref="M406:N406"/>
    <mergeCell ref="M407:N407"/>
    <mergeCell ref="M408:N408"/>
    <mergeCell ref="M409:N409"/>
    <mergeCell ref="M410:N410"/>
    <mergeCell ref="M411:N411"/>
    <mergeCell ref="M412:N412"/>
    <mergeCell ref="M413:N413"/>
    <mergeCell ref="B390:B401"/>
    <mergeCell ref="M390:N390"/>
    <mergeCell ref="M391:N391"/>
    <mergeCell ref="M392:N392"/>
    <mergeCell ref="M393:N393"/>
    <mergeCell ref="M394:N394"/>
    <mergeCell ref="M395:N395"/>
    <mergeCell ref="M396:N396"/>
    <mergeCell ref="M397:N397"/>
    <mergeCell ref="M398:N398"/>
    <mergeCell ref="M399:N399"/>
    <mergeCell ref="M400:N400"/>
    <mergeCell ref="M401:N401"/>
    <mergeCell ref="B378:B389"/>
    <mergeCell ref="M378:N378"/>
    <mergeCell ref="M379:N379"/>
    <mergeCell ref="M380:N380"/>
    <mergeCell ref="M381:N381"/>
    <mergeCell ref="M382:N382"/>
    <mergeCell ref="M383:N383"/>
    <mergeCell ref="M384:N384"/>
    <mergeCell ref="M385:N385"/>
    <mergeCell ref="M386:N386"/>
    <mergeCell ref="M387:N387"/>
    <mergeCell ref="M388:N388"/>
    <mergeCell ref="M389:N389"/>
    <mergeCell ref="B366:B377"/>
    <mergeCell ref="M366:N366"/>
    <mergeCell ref="M367:N367"/>
    <mergeCell ref="M368:N368"/>
    <mergeCell ref="M369:N369"/>
    <mergeCell ref="M370:N370"/>
    <mergeCell ref="M371:N371"/>
    <mergeCell ref="M372:N372"/>
    <mergeCell ref="M373:N373"/>
    <mergeCell ref="M374:N374"/>
    <mergeCell ref="M375:N375"/>
    <mergeCell ref="M376:N376"/>
    <mergeCell ref="M377:N377"/>
    <mergeCell ref="M356:N356"/>
    <mergeCell ref="M357:N357"/>
    <mergeCell ref="M358:N358"/>
    <mergeCell ref="M359:N359"/>
    <mergeCell ref="M360:N360"/>
    <mergeCell ref="M361:N361"/>
    <mergeCell ref="M362:N362"/>
    <mergeCell ref="M363:N363"/>
    <mergeCell ref="M364:N364"/>
    <mergeCell ref="B341:B352"/>
    <mergeCell ref="M341:N341"/>
    <mergeCell ref="M342:N342"/>
    <mergeCell ref="M343:N343"/>
    <mergeCell ref="M344:N344"/>
    <mergeCell ref="M345:N345"/>
    <mergeCell ref="M346:N346"/>
    <mergeCell ref="M347:N347"/>
    <mergeCell ref="M348:N348"/>
    <mergeCell ref="M349:N349"/>
    <mergeCell ref="M350:N350"/>
    <mergeCell ref="M351:N351"/>
    <mergeCell ref="M352:N352"/>
    <mergeCell ref="M577:N577"/>
    <mergeCell ref="M567:N567"/>
    <mergeCell ref="M569:N569"/>
    <mergeCell ref="M568:N568"/>
    <mergeCell ref="B556:B561"/>
    <mergeCell ref="F469:F471"/>
    <mergeCell ref="G469:G471"/>
    <mergeCell ref="M302:N302"/>
    <mergeCell ref="M303:N303"/>
    <mergeCell ref="B292:B303"/>
    <mergeCell ref="B305:B316"/>
    <mergeCell ref="M305:N305"/>
    <mergeCell ref="M306:N306"/>
    <mergeCell ref="M307:N307"/>
    <mergeCell ref="M308:N308"/>
    <mergeCell ref="M309:N309"/>
    <mergeCell ref="M310:N310"/>
    <mergeCell ref="M311:N311"/>
    <mergeCell ref="M312:N312"/>
    <mergeCell ref="M313:N313"/>
    <mergeCell ref="M314:N314"/>
    <mergeCell ref="M315:N315"/>
    <mergeCell ref="M316:N316"/>
    <mergeCell ref="A304:N304"/>
    <mergeCell ref="B329:B340"/>
    <mergeCell ref="M329:N329"/>
    <mergeCell ref="M330:N330"/>
    <mergeCell ref="M331:N331"/>
    <mergeCell ref="M332:N332"/>
    <mergeCell ref="M333:N333"/>
    <mergeCell ref="M334:N334"/>
    <mergeCell ref="M561:N561"/>
    <mergeCell ref="M599:N599"/>
    <mergeCell ref="M600:N600"/>
    <mergeCell ref="M601:N601"/>
    <mergeCell ref="M602:N602"/>
    <mergeCell ref="K1030:M1030"/>
    <mergeCell ref="C1030:J1030"/>
    <mergeCell ref="C826:D826"/>
    <mergeCell ref="C827:D827"/>
    <mergeCell ref="C828:D828"/>
    <mergeCell ref="L286:L288"/>
    <mergeCell ref="K286:K287"/>
    <mergeCell ref="M612:N612"/>
    <mergeCell ref="M458:N458"/>
    <mergeCell ref="M459:N459"/>
    <mergeCell ref="M460:N460"/>
    <mergeCell ref="M461:N461"/>
    <mergeCell ref="M462:N462"/>
    <mergeCell ref="M463:N463"/>
    <mergeCell ref="M465:N465"/>
    <mergeCell ref="M464:N464"/>
    <mergeCell ref="K469:K470"/>
    <mergeCell ref="D464:K464"/>
    <mergeCell ref="E469:E471"/>
    <mergeCell ref="L469:L471"/>
    <mergeCell ref="H469:H471"/>
    <mergeCell ref="M556:N556"/>
    <mergeCell ref="M557:N557"/>
    <mergeCell ref="A290:N290"/>
    <mergeCell ref="M294:N294"/>
    <mergeCell ref="M295:N295"/>
    <mergeCell ref="M296:N296"/>
    <mergeCell ref="M297:N297"/>
    <mergeCell ref="M824:N824"/>
    <mergeCell ref="A824:B824"/>
    <mergeCell ref="A825:B825"/>
    <mergeCell ref="A133:A134"/>
    <mergeCell ref="B133:H134"/>
    <mergeCell ref="K133:N133"/>
    <mergeCell ref="K134:N134"/>
    <mergeCell ref="A659:B659"/>
    <mergeCell ref="C659:H659"/>
    <mergeCell ref="A660:B660"/>
    <mergeCell ref="C660:H660"/>
    <mergeCell ref="A663:B663"/>
    <mergeCell ref="C663:H663"/>
    <mergeCell ref="A664:B664"/>
    <mergeCell ref="C664:H664"/>
    <mergeCell ref="A665:B665"/>
    <mergeCell ref="C665:H665"/>
    <mergeCell ref="A633:B633"/>
    <mergeCell ref="M559:N559"/>
    <mergeCell ref="M560:N560"/>
    <mergeCell ref="M579:N579"/>
    <mergeCell ref="A634:B634"/>
    <mergeCell ref="A635:B635"/>
    <mergeCell ref="A645:B645"/>
    <mergeCell ref="C645:H645"/>
    <mergeCell ref="A646:B646"/>
    <mergeCell ref="C646:H646"/>
    <mergeCell ref="A647:B647"/>
    <mergeCell ref="M594:N594"/>
    <mergeCell ref="M595:N595"/>
    <mergeCell ref="M596:N596"/>
    <mergeCell ref="M597:N597"/>
    <mergeCell ref="A613:N613"/>
    <mergeCell ref="H621:I621"/>
    <mergeCell ref="M621:N621"/>
    <mergeCell ref="A618:N618"/>
    <mergeCell ref="A620:B620"/>
    <mergeCell ref="H620:I620"/>
    <mergeCell ref="M620:N620"/>
    <mergeCell ref="M617:N617"/>
    <mergeCell ref="A623:H623"/>
    <mergeCell ref="I623:N623"/>
    <mergeCell ref="A639:B639"/>
    <mergeCell ref="H614:I614"/>
    <mergeCell ref="M614:N614"/>
    <mergeCell ref="A614:B614"/>
    <mergeCell ref="K621:L621"/>
    <mergeCell ref="K614:L614"/>
    <mergeCell ref="F617:G617"/>
    <mergeCell ref="D617:E617"/>
    <mergeCell ref="F619:G619"/>
    <mergeCell ref="A626:N626"/>
    <mergeCell ref="A624:H624"/>
    <mergeCell ref="I638:N647"/>
    <mergeCell ref="K620:L620"/>
    <mergeCell ref="A616:B616"/>
    <mergeCell ref="D616:E616"/>
    <mergeCell ref="F616:G616"/>
    <mergeCell ref="H616:I616"/>
    <mergeCell ref="K616:L616"/>
    <mergeCell ref="M616:N616"/>
    <mergeCell ref="A621:B621"/>
    <mergeCell ref="H617:I617"/>
    <mergeCell ref="M586:N586"/>
    <mergeCell ref="M587:N587"/>
    <mergeCell ref="M588:N588"/>
    <mergeCell ref="M589:N589"/>
    <mergeCell ref="M590:N590"/>
    <mergeCell ref="M591:N591"/>
    <mergeCell ref="M592:N592"/>
    <mergeCell ref="M593:N593"/>
    <mergeCell ref="M604:N604"/>
    <mergeCell ref="B593:B598"/>
    <mergeCell ref="A612:B612"/>
    <mergeCell ref="M443:N443"/>
    <mergeCell ref="M444:N444"/>
    <mergeCell ref="M445:N445"/>
    <mergeCell ref="M446:N446"/>
    <mergeCell ref="M447:N447"/>
    <mergeCell ref="M448:N448"/>
    <mergeCell ref="M449:N449"/>
    <mergeCell ref="M450:N450"/>
    <mergeCell ref="M451:N451"/>
    <mergeCell ref="M452:N452"/>
    <mergeCell ref="M453:N453"/>
    <mergeCell ref="M454:N454"/>
    <mergeCell ref="M455:N455"/>
    <mergeCell ref="M456:N456"/>
    <mergeCell ref="M457:N457"/>
    <mergeCell ref="M562:N562"/>
    <mergeCell ref="M563:N563"/>
    <mergeCell ref="M564:N564"/>
    <mergeCell ref="M565:N565"/>
    <mergeCell ref="M566:N566"/>
    <mergeCell ref="M598:N598"/>
    <mergeCell ref="M558:N558"/>
    <mergeCell ref="M434:N434"/>
    <mergeCell ref="M435:N435"/>
    <mergeCell ref="M436:N436"/>
    <mergeCell ref="M437:N437"/>
    <mergeCell ref="B265:B273"/>
    <mergeCell ref="B274:B284"/>
    <mergeCell ref="A263:N263"/>
    <mergeCell ref="A264:N264"/>
    <mergeCell ref="A231:N231"/>
    <mergeCell ref="A285:N285"/>
    <mergeCell ref="B254:B262"/>
    <mergeCell ref="L219:N219"/>
    <mergeCell ref="I217:K217"/>
    <mergeCell ref="B179:H179"/>
    <mergeCell ref="M585:N585"/>
    <mergeCell ref="M298:N298"/>
    <mergeCell ref="M299:N299"/>
    <mergeCell ref="M300:N300"/>
    <mergeCell ref="M301:N301"/>
    <mergeCell ref="M581:N581"/>
    <mergeCell ref="M582:N582"/>
    <mergeCell ref="M583:N583"/>
    <mergeCell ref="M584:N584"/>
    <mergeCell ref="M570:N570"/>
    <mergeCell ref="M571:N571"/>
    <mergeCell ref="M572:N572"/>
    <mergeCell ref="M573:N573"/>
    <mergeCell ref="M574:N574"/>
    <mergeCell ref="M575:N575"/>
    <mergeCell ref="M576:N576"/>
    <mergeCell ref="A178:A184"/>
    <mergeCell ref="B185:N185"/>
    <mergeCell ref="B454:B459"/>
    <mergeCell ref="B460:B465"/>
    <mergeCell ref="B426:B431"/>
    <mergeCell ref="E286:E288"/>
    <mergeCell ref="M232:M234"/>
    <mergeCell ref="B232:B234"/>
    <mergeCell ref="C232:C234"/>
    <mergeCell ref="D232:D234"/>
    <mergeCell ref="E232:E234"/>
    <mergeCell ref="H232:H234"/>
    <mergeCell ref="I232:I234"/>
    <mergeCell ref="B199:H199"/>
    <mergeCell ref="A224:N224"/>
    <mergeCell ref="L218:N218"/>
    <mergeCell ref="M335:N335"/>
    <mergeCell ref="M336:N336"/>
    <mergeCell ref="M337:N337"/>
    <mergeCell ref="M338:N338"/>
    <mergeCell ref="M339:N339"/>
    <mergeCell ref="M340:N340"/>
    <mergeCell ref="B317:B328"/>
    <mergeCell ref="M317:N317"/>
    <mergeCell ref="M318:N318"/>
    <mergeCell ref="M319:N319"/>
    <mergeCell ref="M320:N320"/>
    <mergeCell ref="M321:N321"/>
    <mergeCell ref="M322:N322"/>
    <mergeCell ref="M323:N323"/>
    <mergeCell ref="M324:N324"/>
    <mergeCell ref="M325:N325"/>
    <mergeCell ref="A230:N230"/>
    <mergeCell ref="B154:H154"/>
    <mergeCell ref="I158:N158"/>
    <mergeCell ref="I159:N159"/>
    <mergeCell ref="I165:N165"/>
    <mergeCell ref="B126:N126"/>
    <mergeCell ref="I121:N121"/>
    <mergeCell ref="B156:N156"/>
    <mergeCell ref="I152:N152"/>
    <mergeCell ref="I153:N153"/>
    <mergeCell ref="I154:N154"/>
    <mergeCell ref="B153:H153"/>
    <mergeCell ref="M137:N137"/>
    <mergeCell ref="I138:J138"/>
    <mergeCell ref="L150:N150"/>
    <mergeCell ref="B148:H148"/>
    <mergeCell ref="B149:H150"/>
    <mergeCell ref="B136:H141"/>
    <mergeCell ref="I137:J137"/>
    <mergeCell ref="M140:N140"/>
    <mergeCell ref="I141:J141"/>
    <mergeCell ref="M141:N141"/>
    <mergeCell ref="K137:L137"/>
    <mergeCell ref="K138:L138"/>
    <mergeCell ref="K140:L140"/>
    <mergeCell ref="K141:L141"/>
    <mergeCell ref="L149:N149"/>
    <mergeCell ref="B152:H152"/>
    <mergeCell ref="B165:H165"/>
    <mergeCell ref="I163:N163"/>
    <mergeCell ref="I164:N164"/>
    <mergeCell ref="I160:N160"/>
    <mergeCell ref="I161:N161"/>
    <mergeCell ref="A580:N580"/>
    <mergeCell ref="B581:B586"/>
    <mergeCell ref="B163:H163"/>
    <mergeCell ref="B160:H160"/>
    <mergeCell ref="B158:H158"/>
    <mergeCell ref="B159:H159"/>
    <mergeCell ref="I219:K219"/>
    <mergeCell ref="A167:A170"/>
    <mergeCell ref="A189:A190"/>
    <mergeCell ref="B122:H122"/>
    <mergeCell ref="I122:N122"/>
    <mergeCell ref="B124:H124"/>
    <mergeCell ref="K612:L612"/>
    <mergeCell ref="A101:N101"/>
    <mergeCell ref="A105:A108"/>
    <mergeCell ref="B105:H108"/>
    <mergeCell ref="A171:A177"/>
    <mergeCell ref="I119:N119"/>
    <mergeCell ref="B120:H120"/>
    <mergeCell ref="I120:N120"/>
    <mergeCell ref="B121:H121"/>
    <mergeCell ref="B172:H172"/>
    <mergeCell ref="B173:H173"/>
    <mergeCell ref="B174:H174"/>
    <mergeCell ref="I172:N177"/>
    <mergeCell ref="A125:N125"/>
    <mergeCell ref="B116:H116"/>
    <mergeCell ref="I113:N113"/>
    <mergeCell ref="B166:H166"/>
    <mergeCell ref="B157:H157"/>
    <mergeCell ref="I157:N157"/>
    <mergeCell ref="B155:N155"/>
    <mergeCell ref="I656:N660"/>
    <mergeCell ref="A649:H649"/>
    <mergeCell ref="I649:N649"/>
    <mergeCell ref="A655:H655"/>
    <mergeCell ref="A648:N648"/>
    <mergeCell ref="A636:N636"/>
    <mergeCell ref="A654:N654"/>
    <mergeCell ref="A630:H630"/>
    <mergeCell ref="I630:N630"/>
    <mergeCell ref="I637:N637"/>
    <mergeCell ref="B675:N675"/>
    <mergeCell ref="C647:H647"/>
    <mergeCell ref="A827:B827"/>
    <mergeCell ref="B117:H117"/>
    <mergeCell ref="I117:N117"/>
    <mergeCell ref="B119:H119"/>
    <mergeCell ref="B574:B579"/>
    <mergeCell ref="A468:N468"/>
    <mergeCell ref="A469:A471"/>
    <mergeCell ref="B469:B471"/>
    <mergeCell ref="B587:B592"/>
    <mergeCell ref="B562:B567"/>
    <mergeCell ref="B568:B573"/>
    <mergeCell ref="B442:B447"/>
    <mergeCell ref="B448:B453"/>
    <mergeCell ref="B676:N676"/>
    <mergeCell ref="A622:N622"/>
    <mergeCell ref="A637:H637"/>
    <mergeCell ref="I624:N624"/>
    <mergeCell ref="A625:H625"/>
    <mergeCell ref="I625:N625"/>
    <mergeCell ref="B147:H147"/>
    <mergeCell ref="B84:N84"/>
    <mergeCell ref="M85:N85"/>
    <mergeCell ref="B80:H80"/>
    <mergeCell ref="I80:N80"/>
    <mergeCell ref="B81:H81"/>
    <mergeCell ref="I81:N81"/>
    <mergeCell ref="L99:N99"/>
    <mergeCell ref="A74:A77"/>
    <mergeCell ref="I96:K96"/>
    <mergeCell ref="I97:K97"/>
    <mergeCell ref="I98:K98"/>
    <mergeCell ref="I99:K99"/>
    <mergeCell ref="L97:N97"/>
    <mergeCell ref="L98:N98"/>
    <mergeCell ref="C825:D825"/>
    <mergeCell ref="A627:H627"/>
    <mergeCell ref="I627:N627"/>
    <mergeCell ref="A628:H628"/>
    <mergeCell ref="I628:N628"/>
    <mergeCell ref="A629:H629"/>
    <mergeCell ref="I629:N629"/>
    <mergeCell ref="C631:H631"/>
    <mergeCell ref="C632:H632"/>
    <mergeCell ref="C633:H633"/>
    <mergeCell ref="C634:H634"/>
    <mergeCell ref="C635:H635"/>
    <mergeCell ref="A631:B631"/>
    <mergeCell ref="A632:B632"/>
    <mergeCell ref="A674:N674"/>
    <mergeCell ref="A658:B658"/>
    <mergeCell ref="C658:H658"/>
    <mergeCell ref="I650:N653"/>
    <mergeCell ref="B103:H103"/>
    <mergeCell ref="I103:N103"/>
    <mergeCell ref="L96:N96"/>
    <mergeCell ref="B127:H127"/>
    <mergeCell ref="I127:N127"/>
    <mergeCell ref="B115:H115"/>
    <mergeCell ref="I115:N115"/>
    <mergeCell ref="B104:H104"/>
    <mergeCell ref="I104:N104"/>
    <mergeCell ref="B114:H114"/>
    <mergeCell ref="I114:N114"/>
    <mergeCell ref="B111:H111"/>
    <mergeCell ref="I111:N111"/>
    <mergeCell ref="B112:H112"/>
    <mergeCell ref="I112:N112"/>
    <mergeCell ref="B113:H113"/>
    <mergeCell ref="I105:N105"/>
    <mergeCell ref="B109:H109"/>
    <mergeCell ref="I109:N109"/>
    <mergeCell ref="B110:H110"/>
    <mergeCell ref="I110:N110"/>
    <mergeCell ref="B118:H118"/>
    <mergeCell ref="I118:N118"/>
    <mergeCell ref="I108:N108"/>
    <mergeCell ref="B98:H99"/>
    <mergeCell ref="I91:K91"/>
    <mergeCell ref="B95:H95"/>
    <mergeCell ref="I95:N95"/>
    <mergeCell ref="B89:H89"/>
    <mergeCell ref="B90:H90"/>
    <mergeCell ref="B91:H91"/>
    <mergeCell ref="B92:H92"/>
    <mergeCell ref="B93:H93"/>
    <mergeCell ref="B94:H94"/>
    <mergeCell ref="I94:N94"/>
    <mergeCell ref="L93:N93"/>
    <mergeCell ref="A96:A97"/>
    <mergeCell ref="B96:H97"/>
    <mergeCell ref="B102:H102"/>
    <mergeCell ref="I102:N102"/>
    <mergeCell ref="A98:A99"/>
    <mergeCell ref="L89:N89"/>
    <mergeCell ref="L90:N90"/>
    <mergeCell ref="L91:N91"/>
    <mergeCell ref="L92:N92"/>
    <mergeCell ref="A89:A93"/>
    <mergeCell ref="I56:N56"/>
    <mergeCell ref="A54:N54"/>
    <mergeCell ref="A56:A57"/>
    <mergeCell ref="B58:H58"/>
    <mergeCell ref="I58:N58"/>
    <mergeCell ref="I59:N59"/>
    <mergeCell ref="B63:H63"/>
    <mergeCell ref="I63:N63"/>
    <mergeCell ref="I60:N61"/>
    <mergeCell ref="A78:A80"/>
    <mergeCell ref="M86:N86"/>
    <mergeCell ref="M87:N87"/>
    <mergeCell ref="I85:J85"/>
    <mergeCell ref="K85:L85"/>
    <mergeCell ref="I86:J86"/>
    <mergeCell ref="K87:L87"/>
    <mergeCell ref="I88:J88"/>
    <mergeCell ref="B57:H57"/>
    <mergeCell ref="B82:H82"/>
    <mergeCell ref="I82:N82"/>
    <mergeCell ref="B66:H66"/>
    <mergeCell ref="B67:H67"/>
    <mergeCell ref="I67:N67"/>
    <mergeCell ref="B69:H69"/>
    <mergeCell ref="I69:N69"/>
    <mergeCell ref="B72:H72"/>
    <mergeCell ref="I75:N75"/>
    <mergeCell ref="B76:H76"/>
    <mergeCell ref="I76:N76"/>
    <mergeCell ref="B77:H77"/>
    <mergeCell ref="I77:N77"/>
    <mergeCell ref="B78:N78"/>
    <mergeCell ref="K86:L86"/>
    <mergeCell ref="B129:H129"/>
    <mergeCell ref="I129:N129"/>
    <mergeCell ref="B130:H130"/>
    <mergeCell ref="I128:N128"/>
    <mergeCell ref="I136:N136"/>
    <mergeCell ref="B132:H132"/>
    <mergeCell ref="B128:H128"/>
    <mergeCell ref="A88:E88"/>
    <mergeCell ref="M88:N88"/>
    <mergeCell ref="F85:H85"/>
    <mergeCell ref="F86:H86"/>
    <mergeCell ref="F87:H87"/>
    <mergeCell ref="F88:H88"/>
    <mergeCell ref="A85:E85"/>
    <mergeCell ref="A136:A141"/>
    <mergeCell ref="A127:A130"/>
    <mergeCell ref="K88:L88"/>
    <mergeCell ref="I92:K92"/>
    <mergeCell ref="I93:K93"/>
    <mergeCell ref="I106:N106"/>
    <mergeCell ref="I107:N107"/>
    <mergeCell ref="I116:N116"/>
    <mergeCell ref="I124:N124"/>
    <mergeCell ref="B123:H123"/>
    <mergeCell ref="I123:N123"/>
    <mergeCell ref="M138:N138"/>
    <mergeCell ref="I140:J140"/>
    <mergeCell ref="B100:H100"/>
    <mergeCell ref="I100:N100"/>
    <mergeCell ref="I89:K89"/>
    <mergeCell ref="I90:K90"/>
    <mergeCell ref="I162:N162"/>
    <mergeCell ref="A216:N216"/>
    <mergeCell ref="L217:N217"/>
    <mergeCell ref="B200:H200"/>
    <mergeCell ref="B164:H164"/>
    <mergeCell ref="I179:N184"/>
    <mergeCell ref="B178:N178"/>
    <mergeCell ref="B171:N171"/>
    <mergeCell ref="B167:N167"/>
    <mergeCell ref="I57:N57"/>
    <mergeCell ref="B60:H61"/>
    <mergeCell ref="B142:N142"/>
    <mergeCell ref="A149:A150"/>
    <mergeCell ref="B151:H151"/>
    <mergeCell ref="I151:N151"/>
    <mergeCell ref="B143:N143"/>
    <mergeCell ref="I149:K149"/>
    <mergeCell ref="B146:H146"/>
    <mergeCell ref="I146:N146"/>
    <mergeCell ref="I150:K150"/>
    <mergeCell ref="I147:N147"/>
    <mergeCell ref="I148:N148"/>
    <mergeCell ref="B144:H144"/>
    <mergeCell ref="I144:N144"/>
    <mergeCell ref="B145:H145"/>
    <mergeCell ref="I145:N145"/>
    <mergeCell ref="A60:A61"/>
    <mergeCell ref="A209:D209"/>
    <mergeCell ref="A210:D210"/>
    <mergeCell ref="A211:D211"/>
    <mergeCell ref="B168:H168"/>
    <mergeCell ref="B169:H169"/>
    <mergeCell ref="H612:I612"/>
    <mergeCell ref="B68:H68"/>
    <mergeCell ref="I68:N68"/>
    <mergeCell ref="B70:H70"/>
    <mergeCell ref="I70:N70"/>
    <mergeCell ref="B71:H71"/>
    <mergeCell ref="I71:N71"/>
    <mergeCell ref="B73:H73"/>
    <mergeCell ref="I73:N73"/>
    <mergeCell ref="B74:H74"/>
    <mergeCell ref="I74:N74"/>
    <mergeCell ref="B83:H83"/>
    <mergeCell ref="I83:N83"/>
    <mergeCell ref="B161:H161"/>
    <mergeCell ref="B162:H162"/>
    <mergeCell ref="I132:N132"/>
    <mergeCell ref="B135:H135"/>
    <mergeCell ref="I135:N135"/>
    <mergeCell ref="I130:N130"/>
    <mergeCell ref="B131:H131"/>
    <mergeCell ref="I131:N131"/>
    <mergeCell ref="I133:J133"/>
    <mergeCell ref="I134:J134"/>
    <mergeCell ref="K232:K233"/>
    <mergeCell ref="M432:N432"/>
    <mergeCell ref="M433:N433"/>
    <mergeCell ref="I139:N139"/>
    <mergeCell ref="I166:N166"/>
    <mergeCell ref="B175:H175"/>
    <mergeCell ref="B176:H176"/>
    <mergeCell ref="A438:N438"/>
    <mergeCell ref="A439:N439"/>
    <mergeCell ref="A42:N42"/>
    <mergeCell ref="A40:N40"/>
    <mergeCell ref="A33:N33"/>
    <mergeCell ref="B59:H59"/>
    <mergeCell ref="A46:N47"/>
    <mergeCell ref="A34:N34"/>
    <mergeCell ref="A36:N36"/>
    <mergeCell ref="A37:N37"/>
    <mergeCell ref="A38:N38"/>
    <mergeCell ref="I50:N50"/>
    <mergeCell ref="I52:N52"/>
    <mergeCell ref="A45:N45"/>
    <mergeCell ref="A35:N35"/>
    <mergeCell ref="I87:J87"/>
    <mergeCell ref="M48:N48"/>
    <mergeCell ref="B50:D50"/>
    <mergeCell ref="B52:D52"/>
    <mergeCell ref="B65:H65"/>
    <mergeCell ref="I65:N65"/>
    <mergeCell ref="A86:E86"/>
    <mergeCell ref="A87:E87"/>
    <mergeCell ref="B55:H55"/>
    <mergeCell ref="B62:H62"/>
    <mergeCell ref="I62:N62"/>
    <mergeCell ref="A64:N64"/>
    <mergeCell ref="I66:N66"/>
    <mergeCell ref="I72:N72"/>
    <mergeCell ref="B75:H75"/>
    <mergeCell ref="B79:H79"/>
    <mergeCell ref="I79:N79"/>
    <mergeCell ref="I55:N55"/>
    <mergeCell ref="B56:H56"/>
    <mergeCell ref="I223:K223"/>
    <mergeCell ref="B432:B437"/>
    <mergeCell ref="A286:A288"/>
    <mergeCell ref="B286:B288"/>
    <mergeCell ref="L223:N223"/>
    <mergeCell ref="L225:N225"/>
    <mergeCell ref="I226:K226"/>
    <mergeCell ref="L226:N226"/>
    <mergeCell ref="I229:N229"/>
    <mergeCell ref="I227:K227"/>
    <mergeCell ref="L227:N227"/>
    <mergeCell ref="I228:K228"/>
    <mergeCell ref="L228:N228"/>
    <mergeCell ref="M428:N428"/>
    <mergeCell ref="M429:N429"/>
    <mergeCell ref="M430:N430"/>
    <mergeCell ref="M431:N431"/>
    <mergeCell ref="A291:N291"/>
    <mergeCell ref="A225:D225"/>
    <mergeCell ref="E225:H225"/>
    <mergeCell ref="M292:N292"/>
    <mergeCell ref="M293:N293"/>
    <mergeCell ref="M426:N426"/>
    <mergeCell ref="M427:N427"/>
    <mergeCell ref="A289:N289"/>
    <mergeCell ref="M326:N326"/>
    <mergeCell ref="M327:N327"/>
    <mergeCell ref="M328:N328"/>
    <mergeCell ref="B353:B364"/>
    <mergeCell ref="M353:N353"/>
    <mergeCell ref="M354:N354"/>
    <mergeCell ref="M355:N355"/>
    <mergeCell ref="B170:H170"/>
    <mergeCell ref="I170:N170"/>
    <mergeCell ref="I168:N169"/>
    <mergeCell ref="A617:B617"/>
    <mergeCell ref="A619:B619"/>
    <mergeCell ref="H619:I619"/>
    <mergeCell ref="M619:N619"/>
    <mergeCell ref="A615:B615"/>
    <mergeCell ref="K615:L615"/>
    <mergeCell ref="K617:L617"/>
    <mergeCell ref="K619:L619"/>
    <mergeCell ref="B183:H183"/>
    <mergeCell ref="B184:H184"/>
    <mergeCell ref="B180:H180"/>
    <mergeCell ref="B181:H181"/>
    <mergeCell ref="B182:H182"/>
    <mergeCell ref="B177:H177"/>
    <mergeCell ref="A440:N440"/>
    <mergeCell ref="I199:N199"/>
    <mergeCell ref="E205:F205"/>
    <mergeCell ref="A205:D205"/>
    <mergeCell ref="E206:F206"/>
    <mergeCell ref="A206:D206"/>
    <mergeCell ref="M469:N471"/>
    <mergeCell ref="M441:N441"/>
    <mergeCell ref="A232:A234"/>
    <mergeCell ref="F186:N186"/>
    <mergeCell ref="B186:E186"/>
    <mergeCell ref="B187:E187"/>
    <mergeCell ref="B188:E188"/>
    <mergeCell ref="F187:K187"/>
    <mergeCell ref="F188:K188"/>
    <mergeCell ref="I655:N655"/>
    <mergeCell ref="A638:B638"/>
    <mergeCell ref="C638:H638"/>
    <mergeCell ref="C469:C471"/>
    <mergeCell ref="D469:D471"/>
    <mergeCell ref="D578:N578"/>
    <mergeCell ref="A467:N467"/>
    <mergeCell ref="C651:H651"/>
    <mergeCell ref="A652:B652"/>
    <mergeCell ref="C652:H652"/>
    <mergeCell ref="A653:B653"/>
    <mergeCell ref="C653:H653"/>
    <mergeCell ref="A656:B656"/>
    <mergeCell ref="C656:H656"/>
    <mergeCell ref="A657:B657"/>
    <mergeCell ref="C657:H657"/>
    <mergeCell ref="C824:D824"/>
    <mergeCell ref="C668:H668"/>
    <mergeCell ref="I631:N635"/>
    <mergeCell ref="A670:H670"/>
    <mergeCell ref="I670:N670"/>
    <mergeCell ref="A644:B644"/>
    <mergeCell ref="C644:H644"/>
    <mergeCell ref="B683:N683"/>
    <mergeCell ref="B681:N681"/>
    <mergeCell ref="B682:N682"/>
    <mergeCell ref="A661:N661"/>
    <mergeCell ref="I665:N665"/>
    <mergeCell ref="I668:N668"/>
    <mergeCell ref="I666:N666"/>
    <mergeCell ref="I667:N667"/>
    <mergeCell ref="I663:N663"/>
    <mergeCell ref="K1016:M1016"/>
    <mergeCell ref="K1022:M1022"/>
    <mergeCell ref="A830:B830"/>
    <mergeCell ref="M830:N830"/>
    <mergeCell ref="J1023:N1023"/>
    <mergeCell ref="A1026:N1026"/>
    <mergeCell ref="A1033:N1033"/>
    <mergeCell ref="A1034:N1034"/>
    <mergeCell ref="J1017:N1017"/>
    <mergeCell ref="A1035:N1035"/>
    <mergeCell ref="A831:B831"/>
    <mergeCell ref="A826:B826"/>
    <mergeCell ref="M829:N829"/>
    <mergeCell ref="A1011:B1011"/>
    <mergeCell ref="A1013:B1013"/>
    <mergeCell ref="K1029:M1029"/>
    <mergeCell ref="C1029:J1029"/>
    <mergeCell ref="C829:D829"/>
    <mergeCell ref="C830:D830"/>
    <mergeCell ref="C831:D831"/>
    <mergeCell ref="A833:J833"/>
    <mergeCell ref="M833:N833"/>
    <mergeCell ref="A832:J832"/>
    <mergeCell ref="M827:N827"/>
    <mergeCell ref="A828:B828"/>
    <mergeCell ref="M832:N832"/>
    <mergeCell ref="B1103:N1103"/>
    <mergeCell ref="B1104:N1104"/>
    <mergeCell ref="B1094:N1094"/>
    <mergeCell ref="B1095:N1095"/>
    <mergeCell ref="A1098:N1098"/>
    <mergeCell ref="B1100:N1100"/>
    <mergeCell ref="B1101:N1101"/>
    <mergeCell ref="B1102:N1102"/>
    <mergeCell ref="B1099:N1099"/>
    <mergeCell ref="A1097:N1097"/>
    <mergeCell ref="B1132:N1132"/>
    <mergeCell ref="B1115:N1115"/>
    <mergeCell ref="B1116:N1116"/>
    <mergeCell ref="B1143:N1143"/>
    <mergeCell ref="B1144:N1144"/>
    <mergeCell ref="M825:N825"/>
    <mergeCell ref="M828:N828"/>
    <mergeCell ref="A829:B829"/>
    <mergeCell ref="M831:N831"/>
    <mergeCell ref="M826:N826"/>
    <mergeCell ref="B1054:N1054"/>
    <mergeCell ref="B1055:N1055"/>
    <mergeCell ref="B1056:N1056"/>
    <mergeCell ref="B1058:N1058"/>
    <mergeCell ref="B1059:N1059"/>
    <mergeCell ref="B1060:N1060"/>
    <mergeCell ref="B1036:N1036"/>
    <mergeCell ref="B1037:N1037"/>
    <mergeCell ref="B1038:N1038"/>
    <mergeCell ref="B1039:N1039"/>
    <mergeCell ref="B1040:N1040"/>
    <mergeCell ref="B1041:N1041"/>
    <mergeCell ref="B1145:N1145"/>
    <mergeCell ref="B1146:N1146"/>
    <mergeCell ref="A1147:A1150"/>
    <mergeCell ref="B1147:H1147"/>
    <mergeCell ref="I1147:N1147"/>
    <mergeCell ref="B1148:H1149"/>
    <mergeCell ref="I1148:N1148"/>
    <mergeCell ref="I1149:N1149"/>
    <mergeCell ref="B1150:C1150"/>
    <mergeCell ref="D1150:H1150"/>
    <mergeCell ref="I1150:J1150"/>
    <mergeCell ref="K1150:N1150"/>
    <mergeCell ref="B1117:N1117"/>
    <mergeCell ref="B1118:N1118"/>
    <mergeCell ref="B1119:N1119"/>
    <mergeCell ref="B1120:N1120"/>
    <mergeCell ref="B1121:N1121"/>
    <mergeCell ref="B1122:N1122"/>
    <mergeCell ref="B1123:N1123"/>
    <mergeCell ref="B1124:N1124"/>
    <mergeCell ref="B1125:N1125"/>
    <mergeCell ref="B1126:N1126"/>
    <mergeCell ref="B1127:N1127"/>
    <mergeCell ref="B1128:N1128"/>
    <mergeCell ref="B1129:N1129"/>
    <mergeCell ref="B1130:N1130"/>
    <mergeCell ref="B1131:N1131"/>
    <mergeCell ref="B1068:H1068"/>
    <mergeCell ref="I1068:N1068"/>
    <mergeCell ref="A1106:N1106"/>
    <mergeCell ref="B1107:N1107"/>
    <mergeCell ref="B1108:N1108"/>
    <mergeCell ref="B1109:N1109"/>
    <mergeCell ref="B1110:N1110"/>
    <mergeCell ref="B1111:N1111"/>
    <mergeCell ref="B1112:N1112"/>
    <mergeCell ref="B1113:N1113"/>
    <mergeCell ref="B1114:N1114"/>
    <mergeCell ref="A1105:N1105"/>
    <mergeCell ref="B1080:N1080"/>
    <mergeCell ref="B1081:N1081"/>
    <mergeCell ref="B1082:N1082"/>
    <mergeCell ref="B1083:N1083"/>
    <mergeCell ref="B1142:N1142"/>
    <mergeCell ref="B1133:N1133"/>
    <mergeCell ref="B1134:N1134"/>
    <mergeCell ref="B1135:N1135"/>
    <mergeCell ref="B1136:N1136"/>
    <mergeCell ref="B1137:N1137"/>
    <mergeCell ref="B1138:N1138"/>
    <mergeCell ref="B1139:N1139"/>
    <mergeCell ref="B1140:N1140"/>
    <mergeCell ref="B1141:N1141"/>
    <mergeCell ref="A1069:A1071"/>
    <mergeCell ref="B1069:H1071"/>
    <mergeCell ref="I1069:K1069"/>
    <mergeCell ref="I1070:K1070"/>
    <mergeCell ref="I1071:K1071"/>
    <mergeCell ref="L1069:N1069"/>
    <mergeCell ref="I1067:N1067"/>
    <mergeCell ref="A1020:N1020"/>
    <mergeCell ref="A1007:N1007"/>
    <mergeCell ref="A673:K673"/>
    <mergeCell ref="B1057:N1057"/>
    <mergeCell ref="B1045:N1045"/>
    <mergeCell ref="B1046:N1046"/>
    <mergeCell ref="B1047:N1047"/>
    <mergeCell ref="B1061:N1061"/>
    <mergeCell ref="B1062:H1062"/>
    <mergeCell ref="I1062:N1062"/>
    <mergeCell ref="B1063:H1063"/>
    <mergeCell ref="I1063:N1063"/>
    <mergeCell ref="B1048:N1048"/>
    <mergeCell ref="B1049:N1049"/>
    <mergeCell ref="B1050:N1050"/>
    <mergeCell ref="B1051:N1051"/>
    <mergeCell ref="B1052:N1052"/>
    <mergeCell ref="B1053:N1053"/>
    <mergeCell ref="B1064:H1064"/>
    <mergeCell ref="I1064:N1064"/>
    <mergeCell ref="A1065:A1067"/>
    <mergeCell ref="I1065:N1065"/>
    <mergeCell ref="I1066:N1066"/>
    <mergeCell ref="B680:N680"/>
    <mergeCell ref="B678:N678"/>
    <mergeCell ref="B679:N679"/>
    <mergeCell ref="B684:N684"/>
    <mergeCell ref="A731:B731"/>
    <mergeCell ref="B1042:N1042"/>
    <mergeCell ref="B1043:N1043"/>
    <mergeCell ref="B1044:N1044"/>
    <mergeCell ref="L1070:N1070"/>
    <mergeCell ref="L1071:N1071"/>
    <mergeCell ref="A1079:N1079"/>
    <mergeCell ref="B1096:N1096"/>
    <mergeCell ref="B1078:H1078"/>
    <mergeCell ref="I1078:N1078"/>
    <mergeCell ref="B1072:H1072"/>
    <mergeCell ref="I1072:N1072"/>
    <mergeCell ref="B1073:H1073"/>
    <mergeCell ref="I1073:N1073"/>
    <mergeCell ref="B1074:H1074"/>
    <mergeCell ref="I1074:N1074"/>
    <mergeCell ref="B1075:H1075"/>
    <mergeCell ref="I1075:N1075"/>
    <mergeCell ref="B1076:H1076"/>
    <mergeCell ref="I1076:N1076"/>
    <mergeCell ref="B1077:H1077"/>
    <mergeCell ref="I1077:N1077"/>
    <mergeCell ref="B1084:N1084"/>
    <mergeCell ref="B1085:N1085"/>
    <mergeCell ref="B1086:N1086"/>
    <mergeCell ref="B1087:N1087"/>
    <mergeCell ref="B1088:N1088"/>
    <mergeCell ref="B1089:N1089"/>
    <mergeCell ref="B1090:N1090"/>
    <mergeCell ref="B1091:N1091"/>
    <mergeCell ref="B1092:N1092"/>
    <mergeCell ref="B1093:N1093"/>
    <mergeCell ref="I664:N664"/>
    <mergeCell ref="A666:B666"/>
    <mergeCell ref="C666:H666"/>
    <mergeCell ref="A667:B667"/>
    <mergeCell ref="B677:N677"/>
    <mergeCell ref="H615:I615"/>
    <mergeCell ref="M615:N615"/>
    <mergeCell ref="C667:H667"/>
    <mergeCell ref="A668:B668"/>
    <mergeCell ref="M673:N673"/>
    <mergeCell ref="A671:N671"/>
    <mergeCell ref="A672:N672"/>
    <mergeCell ref="A669:H669"/>
    <mergeCell ref="I669:N669"/>
    <mergeCell ref="A662:N662"/>
    <mergeCell ref="C639:H639"/>
    <mergeCell ref="A640:B640"/>
    <mergeCell ref="C640:H640"/>
    <mergeCell ref="A641:B641"/>
    <mergeCell ref="C641:H641"/>
    <mergeCell ref="A642:B642"/>
    <mergeCell ref="C642:H642"/>
    <mergeCell ref="A643:B643"/>
    <mergeCell ref="C643:H643"/>
    <mergeCell ref="A650:B650"/>
    <mergeCell ref="C650:H650"/>
    <mergeCell ref="A651:B651"/>
    <mergeCell ref="F620:G620"/>
    <mergeCell ref="F621:G621"/>
    <mergeCell ref="D619:E619"/>
    <mergeCell ref="D620:E620"/>
    <mergeCell ref="D621:E621"/>
    <mergeCell ref="O202:P202"/>
    <mergeCell ref="J206:K215"/>
    <mergeCell ref="J205:K205"/>
    <mergeCell ref="A203:B203"/>
    <mergeCell ref="I203:J203"/>
    <mergeCell ref="L203:M203"/>
    <mergeCell ref="C286:C288"/>
    <mergeCell ref="D286:D288"/>
    <mergeCell ref="H286:H288"/>
    <mergeCell ref="E207:F207"/>
    <mergeCell ref="E208:F208"/>
    <mergeCell ref="E209:F209"/>
    <mergeCell ref="E210:F210"/>
    <mergeCell ref="E211:F211"/>
    <mergeCell ref="E212:F212"/>
    <mergeCell ref="E213:F213"/>
    <mergeCell ref="E214:F214"/>
    <mergeCell ref="E215:F215"/>
    <mergeCell ref="A220:N220"/>
    <mergeCell ref="I221:K221"/>
    <mergeCell ref="L221:N221"/>
    <mergeCell ref="L206:N215"/>
    <mergeCell ref="E219:H219"/>
    <mergeCell ref="E221:H221"/>
    <mergeCell ref="A221:D221"/>
    <mergeCell ref="E217:H217"/>
    <mergeCell ref="A226:D226"/>
    <mergeCell ref="E226:H226"/>
    <mergeCell ref="A218:D218"/>
    <mergeCell ref="A223:D223"/>
    <mergeCell ref="E222:H222"/>
    <mergeCell ref="E223:H223"/>
    <mergeCell ref="A10:N10"/>
    <mergeCell ref="A9:N9"/>
    <mergeCell ref="A8:N8"/>
    <mergeCell ref="A6:N6"/>
    <mergeCell ref="A4:N4"/>
    <mergeCell ref="A2:N2"/>
    <mergeCell ref="J232:J234"/>
    <mergeCell ref="M286:N288"/>
    <mergeCell ref="A207:D207"/>
    <mergeCell ref="G203:H203"/>
    <mergeCell ref="G205:I205"/>
    <mergeCell ref="G206:I206"/>
    <mergeCell ref="G207:I207"/>
    <mergeCell ref="G208:I208"/>
    <mergeCell ref="G209:I209"/>
    <mergeCell ref="G210:I210"/>
    <mergeCell ref="G211:I211"/>
    <mergeCell ref="G212:I212"/>
    <mergeCell ref="G213:I213"/>
    <mergeCell ref="G214:I214"/>
    <mergeCell ref="G215:I215"/>
    <mergeCell ref="I225:K225"/>
    <mergeCell ref="I222:K222"/>
    <mergeCell ref="L222:N222"/>
    <mergeCell ref="L232:L234"/>
    <mergeCell ref="N232:N234"/>
    <mergeCell ref="A235:N235"/>
    <mergeCell ref="G286:G288"/>
    <mergeCell ref="F286:F288"/>
    <mergeCell ref="F232:F234"/>
    <mergeCell ref="G232:G234"/>
    <mergeCell ref="B229:H229"/>
    <mergeCell ref="F189:K189"/>
    <mergeCell ref="F190:N190"/>
    <mergeCell ref="B189:E190"/>
    <mergeCell ref="E202:N202"/>
    <mergeCell ref="A202:D202"/>
    <mergeCell ref="E203:F203"/>
    <mergeCell ref="C203:D203"/>
    <mergeCell ref="A204:D204"/>
    <mergeCell ref="E204:N204"/>
    <mergeCell ref="M187:N187"/>
    <mergeCell ref="M188:N188"/>
    <mergeCell ref="M189:N189"/>
    <mergeCell ref="B198:H198"/>
    <mergeCell ref="I198:N198"/>
    <mergeCell ref="I200:N200"/>
    <mergeCell ref="M191:N191"/>
    <mergeCell ref="F191:K191"/>
    <mergeCell ref="B191:E191"/>
    <mergeCell ref="F612:G612"/>
    <mergeCell ref="D612:E612"/>
    <mergeCell ref="F614:G614"/>
    <mergeCell ref="F615:G615"/>
    <mergeCell ref="D614:E614"/>
    <mergeCell ref="D615:E615"/>
    <mergeCell ref="A227:D227"/>
    <mergeCell ref="A228:D228"/>
    <mergeCell ref="E227:H227"/>
    <mergeCell ref="E228:H228"/>
    <mergeCell ref="A212:D212"/>
    <mergeCell ref="A213:D213"/>
    <mergeCell ref="A214:D214"/>
    <mergeCell ref="A215:D215"/>
    <mergeCell ref="A217:D217"/>
    <mergeCell ref="A201:N201"/>
    <mergeCell ref="I218:K218"/>
    <mergeCell ref="L205:N205"/>
    <mergeCell ref="E218:H218"/>
    <mergeCell ref="A219:D219"/>
    <mergeCell ref="B599:B604"/>
    <mergeCell ref="B605:B610"/>
    <mergeCell ref="D603:N603"/>
    <mergeCell ref="A611:N611"/>
    <mergeCell ref="M605:N605"/>
    <mergeCell ref="M606:N606"/>
    <mergeCell ref="M607:N607"/>
    <mergeCell ref="M608:N608"/>
    <mergeCell ref="M609:N609"/>
    <mergeCell ref="M610:N610"/>
    <mergeCell ref="A222:D222"/>
    <mergeCell ref="A208:D208"/>
  </mergeCells>
  <dataValidations count="16">
    <dataValidation type="list" allowBlank="1" showInputMessage="1" showErrorMessage="1" sqref="I82:N82 I75:N77 I104:N104 I113:N113 I115:N115 I118:N118 I121:N121 I153:N154 I124:N124">
      <formula1>"Yes,No"</formula1>
    </dataValidation>
    <dataValidation type="list" allowBlank="1" showInputMessage="1" showErrorMessage="1" sqref="B65">
      <formula1>"CTS No,Survey No,Plot No,Gut No,FP No,"</formula1>
    </dataValidation>
    <dataValidation type="list" allowBlank="1" showInputMessage="1" showErrorMessage="1" sqref="I80:N80">
      <formula1>"Urban,Semi Urban,Rural"</formula1>
    </dataValidation>
    <dataValidation type="list" allowBlank="1" showInputMessage="1" showErrorMessage="1" sqref="I83:N83">
      <formula1>"Yes,NA"</formula1>
    </dataValidation>
    <dataValidation type="list" allowBlank="1" showInputMessage="1" showErrorMessage="1" sqref="I103:N103">
      <formula1>"Good,Average,Slow,Very Slow"</formula1>
    </dataValidation>
    <dataValidation type="list" allowBlank="1" showInputMessage="1" showErrorMessage="1" sqref="I109:N109">
      <formula1>"Mountains,Valley,Plain,Bodies of Water"</formula1>
    </dataValidation>
    <dataValidation type="list" allowBlank="1" showInputMessage="1" showErrorMessage="1" sqref="I110:N110">
      <formula1>"Regular,Irregular"</formula1>
    </dataValidation>
    <dataValidation type="list" allowBlank="1" showInputMessage="1" showErrorMessage="1" sqref="I114:N114">
      <formula1>"Corner plot,Intermittent plot"</formula1>
    </dataValidation>
    <dataValidation type="list" allowBlank="1" showInputMessage="1" showErrorMessage="1" sqref="I150:L150">
      <formula1>"Excellent,Good,Normal,Poor,N.A. Building Construction Work in process"</formula1>
    </dataValidation>
    <dataValidation type="list" allowBlank="1" showInputMessage="1" showErrorMessage="1" sqref="I145:N145">
      <formula1>"Load bearing,RCC,Steel Framed"</formula1>
    </dataValidation>
    <dataValidation type="list" allowBlank="1" showInputMessage="1" showErrorMessage="1" sqref="I170:N170">
      <formula1>"Traditional Technology,Mivan Technology,Precast Technology"</formula1>
    </dataValidation>
    <dataValidation type="list" allowBlank="1" showInputMessage="1" showErrorMessage="1" sqref="I71:N71">
      <formula1>$Q$65:$U$65</formula1>
    </dataValidation>
    <dataValidation type="list" allowBlank="1" showInputMessage="1" showErrorMessage="1" sqref="I70:N70">
      <formula1>OFFSET($Q$65,1,MATCH($I71,$Q$65:$U$65,0)-1,15,1)</formula1>
    </dataValidation>
    <dataValidation type="list" allowBlank="1" showInputMessage="1" showErrorMessage="1" sqref="I81:N81">
      <formula1>OFFSET($Q$81,1,MATCH($I71,$Q$81:$U$81,0)-1,15,1)</formula1>
    </dataValidation>
    <dataValidation type="list" allowBlank="1" showInputMessage="1" showErrorMessage="1" sqref="I116:N116">
      <formula1>"Flexible Pavement,Rigid Pavement"</formula1>
    </dataValidation>
    <dataValidation type="list" allowBlank="1" showInputMessage="1" showErrorMessage="1" sqref="I157:N157">
      <formula1>"Proposed RCC Footing,Raft Foundation, Piling"</formula1>
    </dataValidation>
  </dataValidations>
  <printOptions horizontalCentered="1"/>
  <pageMargins left="0.19685039370078741" right="0.19685039370078741" top="0.78740157480314965" bottom="0.98425196850393704" header="0.19685039370078741" footer="0.19685039370078741"/>
  <pageSetup scale="84" fitToHeight="0" orientation="portrait" r:id="rId1"/>
  <headerFooter>
    <oddHeader>&amp;C&amp;"Times New Roman,Bold"&amp;20&amp;G</oddHeader>
    <oddFooter>&amp;L&amp;"Times New Roman,Bold"&amp;F&amp;R&amp;"Times New Roman,Bold"&amp;P</oddFooter>
  </headerFooter>
  <rowBreaks count="14" manualBreakCount="14">
    <brk id="44" max="16383" man="1"/>
    <brk id="63" max="16383" man="1"/>
    <brk id="200" max="16383" man="1"/>
    <brk id="610" max="13" man="1"/>
    <brk id="684" max="16383" man="1"/>
    <brk id="729" max="16383" man="1"/>
    <brk id="775" max="16383" man="1"/>
    <brk id="821" max="16383" man="1"/>
    <brk id="867" max="16383" man="1"/>
    <brk id="913" max="16383" man="1"/>
    <brk id="959" max="16383" man="1"/>
    <brk id="1005" max="16383" man="1"/>
    <brk id="1031" max="16383" man="1"/>
    <brk id="1143" max="16383" man="1"/>
  </rowBreaks>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N20"/>
  <sheetViews>
    <sheetView workbookViewId="0">
      <selection activeCell="D18" sqref="D18"/>
    </sheetView>
  </sheetViews>
  <sheetFormatPr defaultRowHeight="15" x14ac:dyDescent="0.25"/>
  <cols>
    <col min="2" max="2" width="10.140625" customWidth="1"/>
  </cols>
  <sheetData>
    <row r="2" spans="1:14" x14ac:dyDescent="0.25">
      <c r="A2" t="s">
        <v>14</v>
      </c>
      <c r="B2" s="6" t="s">
        <v>39</v>
      </c>
      <c r="C2" s="6">
        <v>7</v>
      </c>
    </row>
    <row r="3" spans="1:14" x14ac:dyDescent="0.25">
      <c r="B3" t="s">
        <v>15</v>
      </c>
      <c r="C3" t="s">
        <v>16</v>
      </c>
    </row>
    <row r="4" spans="1:14" x14ac:dyDescent="0.25">
      <c r="A4" t="s">
        <v>17</v>
      </c>
      <c r="B4" s="1">
        <v>10</v>
      </c>
      <c r="C4" s="1">
        <v>0</v>
      </c>
    </row>
    <row r="5" spans="1:14" x14ac:dyDescent="0.25">
      <c r="A5" t="s">
        <v>18</v>
      </c>
      <c r="B5" t="s">
        <v>19</v>
      </c>
      <c r="C5" t="s">
        <v>20</v>
      </c>
      <c r="H5" s="1" t="s">
        <v>21</v>
      </c>
      <c r="I5" s="1" t="s">
        <v>22</v>
      </c>
      <c r="J5" s="1" t="s">
        <v>23</v>
      </c>
      <c r="K5" s="1" t="s">
        <v>24</v>
      </c>
      <c r="L5" s="1" t="s">
        <v>25</v>
      </c>
      <c r="M5" s="1" t="s">
        <v>26</v>
      </c>
      <c r="N5" s="1" t="s">
        <v>27</v>
      </c>
    </row>
    <row r="6" spans="1:14" x14ac:dyDescent="0.25">
      <c r="B6" s="1">
        <v>1</v>
      </c>
      <c r="C6" s="1">
        <v>0</v>
      </c>
      <c r="E6" s="7" t="s">
        <v>28</v>
      </c>
      <c r="H6" s="7">
        <f>C4</f>
        <v>0</v>
      </c>
      <c r="I6" s="7">
        <f>40/B6*C6</f>
        <v>0</v>
      </c>
      <c r="J6" s="7">
        <f>15/B8*C8</f>
        <v>0</v>
      </c>
      <c r="K6" s="7">
        <f>10/B10*C10</f>
        <v>0</v>
      </c>
      <c r="L6" s="7">
        <f>10/B12*C12</f>
        <v>0</v>
      </c>
      <c r="M6" s="7">
        <f>5/B14*C14</f>
        <v>0</v>
      </c>
      <c r="N6" s="7">
        <f>5/B16*C16</f>
        <v>0</v>
      </c>
    </row>
    <row r="7" spans="1:14" x14ac:dyDescent="0.25">
      <c r="A7" t="s">
        <v>29</v>
      </c>
      <c r="B7" t="s">
        <v>30</v>
      </c>
      <c r="C7" t="s">
        <v>31</v>
      </c>
      <c r="E7" s="1" t="s">
        <v>32</v>
      </c>
      <c r="F7" s="1"/>
      <c r="G7" s="1"/>
      <c r="H7" s="1">
        <f>H6+20</f>
        <v>20</v>
      </c>
      <c r="I7" s="1">
        <f>30/B6*C6</f>
        <v>0</v>
      </c>
      <c r="J7" s="1">
        <f>15/B8*C8</f>
        <v>0</v>
      </c>
      <c r="K7" s="1">
        <f>10/B10*C10</f>
        <v>0</v>
      </c>
      <c r="L7" s="1">
        <f>5/B12*C12</f>
        <v>0</v>
      </c>
      <c r="M7" s="1">
        <f>5/B14*C14</f>
        <v>0</v>
      </c>
      <c r="N7" s="1">
        <f>5/B16*C16</f>
        <v>0</v>
      </c>
    </row>
    <row r="8" spans="1:14" x14ac:dyDescent="0.25">
      <c r="B8" s="1">
        <f>C2</f>
        <v>7</v>
      </c>
      <c r="C8" s="1">
        <v>0</v>
      </c>
    </row>
    <row r="9" spans="1:14" x14ac:dyDescent="0.25">
      <c r="A9" t="s">
        <v>33</v>
      </c>
      <c r="B9" t="s">
        <v>30</v>
      </c>
      <c r="C9" t="s">
        <v>31</v>
      </c>
    </row>
    <row r="10" spans="1:14" x14ac:dyDescent="0.25">
      <c r="B10" s="1">
        <f>C2</f>
        <v>7</v>
      </c>
      <c r="C10" s="1">
        <v>0</v>
      </c>
    </row>
    <row r="11" spans="1:14" x14ac:dyDescent="0.25">
      <c r="A11" t="s">
        <v>25</v>
      </c>
      <c r="B11" t="s">
        <v>30</v>
      </c>
      <c r="C11" t="s">
        <v>31</v>
      </c>
    </row>
    <row r="12" spans="1:14" x14ac:dyDescent="0.25">
      <c r="B12" s="1">
        <f>C2</f>
        <v>7</v>
      </c>
      <c r="C12" s="1">
        <v>0</v>
      </c>
      <c r="H12" s="1"/>
      <c r="I12" s="1" t="s">
        <v>28</v>
      </c>
      <c r="J12" s="1" t="s">
        <v>34</v>
      </c>
      <c r="K12" t="s">
        <v>35</v>
      </c>
    </row>
    <row r="13" spans="1:14" ht="30" x14ac:dyDescent="0.25">
      <c r="A13" s="8" t="s">
        <v>26</v>
      </c>
      <c r="B13" t="s">
        <v>30</v>
      </c>
      <c r="C13" t="s">
        <v>31</v>
      </c>
      <c r="H13" s="1" t="s">
        <v>36</v>
      </c>
      <c r="I13" s="1">
        <f>H6</f>
        <v>0</v>
      </c>
      <c r="J13" s="1">
        <f>H7</f>
        <v>20</v>
      </c>
      <c r="K13" t="s">
        <v>35</v>
      </c>
    </row>
    <row r="14" spans="1:14" x14ac:dyDescent="0.25">
      <c r="B14" s="1">
        <f>C2</f>
        <v>7</v>
      </c>
      <c r="C14" s="1">
        <v>0</v>
      </c>
      <c r="H14" s="1" t="s">
        <v>37</v>
      </c>
      <c r="I14" s="1">
        <f>I6</f>
        <v>0</v>
      </c>
      <c r="J14" s="1">
        <f>I7</f>
        <v>0</v>
      </c>
    </row>
    <row r="15" spans="1:14" x14ac:dyDescent="0.25">
      <c r="A15" t="s">
        <v>27</v>
      </c>
      <c r="B15" t="s">
        <v>30</v>
      </c>
      <c r="H15" s="1" t="s">
        <v>23</v>
      </c>
      <c r="I15" s="1">
        <f>J6</f>
        <v>0</v>
      </c>
      <c r="J15" s="1">
        <f>J7</f>
        <v>0</v>
      </c>
    </row>
    <row r="16" spans="1:14" x14ac:dyDescent="0.25">
      <c r="B16" s="1">
        <f>C2</f>
        <v>7</v>
      </c>
      <c r="C16" s="1">
        <v>0</v>
      </c>
      <c r="H16" s="1" t="s">
        <v>24</v>
      </c>
      <c r="I16" s="1">
        <f>K6</f>
        <v>0</v>
      </c>
      <c r="J16" s="1">
        <f>K7</f>
        <v>0</v>
      </c>
    </row>
    <row r="17" spans="8:10" x14ac:dyDescent="0.25">
      <c r="H17" s="1" t="s">
        <v>25</v>
      </c>
      <c r="I17" s="1">
        <f>L6</f>
        <v>0</v>
      </c>
      <c r="J17" s="1">
        <f>L7</f>
        <v>0</v>
      </c>
    </row>
    <row r="18" spans="8:10" ht="30" x14ac:dyDescent="0.25">
      <c r="H18" s="9" t="s">
        <v>26</v>
      </c>
      <c r="I18" s="1">
        <f>M6</f>
        <v>0</v>
      </c>
      <c r="J18" s="1">
        <f>M7</f>
        <v>0</v>
      </c>
    </row>
    <row r="19" spans="8:10" x14ac:dyDescent="0.25">
      <c r="H19" s="1" t="s">
        <v>27</v>
      </c>
      <c r="I19" s="1">
        <f>N6</f>
        <v>0</v>
      </c>
      <c r="J19" s="1">
        <f>N7</f>
        <v>0</v>
      </c>
    </row>
    <row r="20" spans="8:10" x14ac:dyDescent="0.25">
      <c r="H20" s="1" t="s">
        <v>38</v>
      </c>
      <c r="I20" s="1">
        <f>I13+I14+I15+I16+I17+I18+I19</f>
        <v>0</v>
      </c>
      <c r="J20" s="1">
        <f>J13+J14+J15+J16+J17+J18+J19</f>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161"/>
  <sheetViews>
    <sheetView workbookViewId="0">
      <selection activeCell="J161" sqref="A1:J161"/>
    </sheetView>
  </sheetViews>
  <sheetFormatPr defaultRowHeight="15" x14ac:dyDescent="0.25"/>
  <cols>
    <col min="1" max="1" width="9.140625" style="5"/>
    <col min="2" max="2" width="15.140625" style="5" customWidth="1"/>
    <col min="3" max="3" width="12.7109375" style="5" customWidth="1"/>
    <col min="4" max="7" width="15.140625" style="5" customWidth="1"/>
    <col min="8" max="8" width="13.140625" style="5" customWidth="1"/>
    <col min="9" max="16384" width="9.140625" style="5"/>
  </cols>
  <sheetData>
    <row r="1" spans="1:10" ht="39.75" customHeight="1" x14ac:dyDescent="0.25">
      <c r="A1" s="36" t="s">
        <v>67</v>
      </c>
      <c r="B1" s="24" t="s">
        <v>68</v>
      </c>
      <c r="C1" s="24" t="s">
        <v>95</v>
      </c>
      <c r="D1" s="24" t="s">
        <v>69</v>
      </c>
      <c r="E1" s="24" t="s">
        <v>70</v>
      </c>
      <c r="F1" s="24" t="s">
        <v>83</v>
      </c>
      <c r="G1" s="24" t="s">
        <v>91</v>
      </c>
      <c r="H1" s="24" t="s">
        <v>90</v>
      </c>
      <c r="I1" s="24" t="s">
        <v>110</v>
      </c>
      <c r="J1" s="24" t="s">
        <v>114</v>
      </c>
    </row>
    <row r="2" spans="1:10" x14ac:dyDescent="0.25">
      <c r="A2" s="498" t="s">
        <v>93</v>
      </c>
      <c r="B2" s="498"/>
      <c r="C2" s="498"/>
      <c r="D2" s="498"/>
      <c r="E2" s="498"/>
      <c r="F2" s="498"/>
      <c r="G2" s="498"/>
      <c r="H2" s="498"/>
      <c r="I2" s="498"/>
      <c r="J2" s="498"/>
    </row>
    <row r="3" spans="1:10" x14ac:dyDescent="0.25">
      <c r="A3" s="498" t="s">
        <v>81</v>
      </c>
      <c r="B3" s="498"/>
      <c r="C3" s="498"/>
      <c r="D3" s="498"/>
      <c r="E3" s="498"/>
      <c r="F3" s="498"/>
      <c r="G3" s="498"/>
      <c r="H3" s="498"/>
      <c r="I3" s="498"/>
      <c r="J3" s="498"/>
    </row>
    <row r="4" spans="1:10" x14ac:dyDescent="0.25">
      <c r="A4" s="13">
        <v>1</v>
      </c>
      <c r="B4" s="183" t="s">
        <v>82</v>
      </c>
      <c r="C4" s="35" t="s">
        <v>111</v>
      </c>
      <c r="D4" s="13">
        <v>101</v>
      </c>
      <c r="E4" s="13" t="s">
        <v>72</v>
      </c>
      <c r="F4" s="25">
        <f>(30.562+13.425)*10.764</f>
        <v>473.476068</v>
      </c>
      <c r="G4" s="26">
        <v>0</v>
      </c>
      <c r="H4" s="32">
        <v>735</v>
      </c>
      <c r="I4" s="13">
        <v>4800</v>
      </c>
      <c r="J4" s="13">
        <f>H4*I4</f>
        <v>3528000</v>
      </c>
    </row>
    <row r="5" spans="1:10" x14ac:dyDescent="0.25">
      <c r="A5" s="13">
        <v>2</v>
      </c>
      <c r="B5" s="184"/>
      <c r="C5" s="35" t="s">
        <v>111</v>
      </c>
      <c r="D5" s="13">
        <v>102</v>
      </c>
      <c r="E5" s="13" t="s">
        <v>72</v>
      </c>
      <c r="F5" s="25">
        <f>(32.727+6.63)*10.764</f>
        <v>423.63874799999996</v>
      </c>
      <c r="G5" s="25">
        <f>5.063*10.764</f>
        <v>54.498131999999991</v>
      </c>
      <c r="H5" s="32">
        <v>750</v>
      </c>
      <c r="I5" s="13">
        <v>4800</v>
      </c>
      <c r="J5" s="13">
        <f t="shared" ref="J5:J24" si="0">H5*I5</f>
        <v>3600000</v>
      </c>
    </row>
    <row r="6" spans="1:10" x14ac:dyDescent="0.25">
      <c r="A6" s="13">
        <v>3</v>
      </c>
      <c r="B6" s="185"/>
      <c r="C6" s="35" t="s">
        <v>111</v>
      </c>
      <c r="D6" s="13">
        <v>103</v>
      </c>
      <c r="E6" s="13" t="s">
        <v>72</v>
      </c>
      <c r="F6" s="25">
        <f>(32.727+6.435)*10.764</f>
        <v>421.53976799999998</v>
      </c>
      <c r="G6" s="25">
        <f>4.86*10.764</f>
        <v>52.313040000000001</v>
      </c>
      <c r="H6" s="32">
        <v>745</v>
      </c>
      <c r="I6" s="13">
        <v>4800</v>
      </c>
      <c r="J6" s="13">
        <f t="shared" si="0"/>
        <v>3576000</v>
      </c>
    </row>
    <row r="7" spans="1:10" x14ac:dyDescent="0.25">
      <c r="A7" s="13">
        <v>4</v>
      </c>
      <c r="B7" s="183" t="s">
        <v>84</v>
      </c>
      <c r="C7" s="35" t="s">
        <v>111</v>
      </c>
      <c r="D7" s="13">
        <f t="shared" ref="D7:D24" si="1">D4+100</f>
        <v>201</v>
      </c>
      <c r="E7" s="13" t="s">
        <v>72</v>
      </c>
      <c r="F7" s="25">
        <f t="shared" ref="F7:F9" si="2">(30.562+13.425)*10.764</f>
        <v>473.476068</v>
      </c>
      <c r="G7" s="26">
        <v>0</v>
      </c>
      <c r="H7" s="32">
        <v>735</v>
      </c>
      <c r="I7" s="13">
        <v>4800</v>
      </c>
      <c r="J7" s="13">
        <f t="shared" si="0"/>
        <v>3528000</v>
      </c>
    </row>
    <row r="8" spans="1:10" x14ac:dyDescent="0.25">
      <c r="A8" s="13">
        <v>5</v>
      </c>
      <c r="B8" s="184"/>
      <c r="C8" s="35" t="s">
        <v>111</v>
      </c>
      <c r="D8" s="13">
        <f t="shared" si="1"/>
        <v>202</v>
      </c>
      <c r="E8" s="13" t="s">
        <v>72</v>
      </c>
      <c r="F8" s="25">
        <f t="shared" si="2"/>
        <v>473.476068</v>
      </c>
      <c r="G8" s="26">
        <v>0</v>
      </c>
      <c r="H8" s="32">
        <v>670</v>
      </c>
      <c r="I8" s="13">
        <v>4800</v>
      </c>
      <c r="J8" s="13">
        <f t="shared" si="0"/>
        <v>3216000</v>
      </c>
    </row>
    <row r="9" spans="1:10" x14ac:dyDescent="0.25">
      <c r="A9" s="13">
        <v>6</v>
      </c>
      <c r="B9" s="185"/>
      <c r="C9" s="35" t="s">
        <v>111</v>
      </c>
      <c r="D9" s="13">
        <f t="shared" si="1"/>
        <v>203</v>
      </c>
      <c r="E9" s="13" t="s">
        <v>72</v>
      </c>
      <c r="F9" s="25">
        <f t="shared" si="2"/>
        <v>473.476068</v>
      </c>
      <c r="G9" s="26">
        <v>0</v>
      </c>
      <c r="H9" s="32">
        <v>665</v>
      </c>
      <c r="I9" s="13">
        <v>4800</v>
      </c>
      <c r="J9" s="13">
        <f t="shared" si="0"/>
        <v>3192000</v>
      </c>
    </row>
    <row r="10" spans="1:10" x14ac:dyDescent="0.25">
      <c r="A10" s="13">
        <v>7</v>
      </c>
      <c r="B10" s="183" t="s">
        <v>85</v>
      </c>
      <c r="C10" s="35" t="s">
        <v>111</v>
      </c>
      <c r="D10" s="13">
        <f t="shared" si="1"/>
        <v>301</v>
      </c>
      <c r="E10" s="13" t="s">
        <v>72</v>
      </c>
      <c r="F10" s="25">
        <f>(30.562+13.425)*10.764</f>
        <v>473.476068</v>
      </c>
      <c r="G10" s="26">
        <v>0</v>
      </c>
      <c r="H10" s="32">
        <v>735</v>
      </c>
      <c r="I10" s="13">
        <v>4800</v>
      </c>
      <c r="J10" s="13">
        <f t="shared" si="0"/>
        <v>3528000</v>
      </c>
    </row>
    <row r="11" spans="1:10" x14ac:dyDescent="0.25">
      <c r="A11" s="13">
        <v>8</v>
      </c>
      <c r="B11" s="184"/>
      <c r="C11" s="35" t="s">
        <v>111</v>
      </c>
      <c r="D11" s="13">
        <f t="shared" si="1"/>
        <v>302</v>
      </c>
      <c r="E11" s="13" t="s">
        <v>72</v>
      </c>
      <c r="F11" s="25">
        <f>(32.727+6.63)*10.764</f>
        <v>423.63874799999996</v>
      </c>
      <c r="G11" s="25">
        <f>5.063*10.764</f>
        <v>54.498131999999991</v>
      </c>
      <c r="H11" s="32">
        <v>750</v>
      </c>
      <c r="I11" s="13">
        <v>4800</v>
      </c>
      <c r="J11" s="13">
        <f t="shared" si="0"/>
        <v>3600000</v>
      </c>
    </row>
    <row r="12" spans="1:10" x14ac:dyDescent="0.25">
      <c r="A12" s="13">
        <v>9</v>
      </c>
      <c r="B12" s="185"/>
      <c r="C12" s="35" t="s">
        <v>111</v>
      </c>
      <c r="D12" s="13">
        <f t="shared" si="1"/>
        <v>303</v>
      </c>
      <c r="E12" s="13" t="s">
        <v>72</v>
      </c>
      <c r="F12" s="25">
        <f>(32.727+6.435)*10.764</f>
        <v>421.53976799999998</v>
      </c>
      <c r="G12" s="25">
        <f>4.86*10.764</f>
        <v>52.313040000000001</v>
      </c>
      <c r="H12" s="32">
        <v>745</v>
      </c>
      <c r="I12" s="13">
        <v>4800</v>
      </c>
      <c r="J12" s="13">
        <f t="shared" si="0"/>
        <v>3576000</v>
      </c>
    </row>
    <row r="13" spans="1:10" x14ac:dyDescent="0.25">
      <c r="A13" s="13">
        <v>10</v>
      </c>
      <c r="B13" s="183" t="s">
        <v>86</v>
      </c>
      <c r="C13" s="35" t="s">
        <v>111</v>
      </c>
      <c r="D13" s="13">
        <f t="shared" si="1"/>
        <v>401</v>
      </c>
      <c r="E13" s="13" t="s">
        <v>72</v>
      </c>
      <c r="F13" s="25">
        <f t="shared" ref="F13:F15" si="3">(30.562+13.425)*10.764</f>
        <v>473.476068</v>
      </c>
      <c r="G13" s="26">
        <v>0</v>
      </c>
      <c r="H13" s="32">
        <v>735</v>
      </c>
      <c r="I13" s="13">
        <v>4800</v>
      </c>
      <c r="J13" s="13">
        <f t="shared" si="0"/>
        <v>3528000</v>
      </c>
    </row>
    <row r="14" spans="1:10" x14ac:dyDescent="0.25">
      <c r="A14" s="13">
        <v>11</v>
      </c>
      <c r="B14" s="184"/>
      <c r="C14" s="35" t="s">
        <v>111</v>
      </c>
      <c r="D14" s="13">
        <f t="shared" si="1"/>
        <v>402</v>
      </c>
      <c r="E14" s="13" t="s">
        <v>72</v>
      </c>
      <c r="F14" s="25">
        <f t="shared" si="3"/>
        <v>473.476068</v>
      </c>
      <c r="G14" s="26">
        <v>0</v>
      </c>
      <c r="H14" s="32">
        <v>670</v>
      </c>
      <c r="I14" s="13">
        <v>4800</v>
      </c>
      <c r="J14" s="13">
        <f t="shared" si="0"/>
        <v>3216000</v>
      </c>
    </row>
    <row r="15" spans="1:10" x14ac:dyDescent="0.25">
      <c r="A15" s="13">
        <v>12</v>
      </c>
      <c r="B15" s="185"/>
      <c r="C15" s="35" t="s">
        <v>111</v>
      </c>
      <c r="D15" s="13">
        <f t="shared" si="1"/>
        <v>403</v>
      </c>
      <c r="E15" s="13" t="s">
        <v>72</v>
      </c>
      <c r="F15" s="25">
        <f t="shared" si="3"/>
        <v>473.476068</v>
      </c>
      <c r="G15" s="26">
        <v>0</v>
      </c>
      <c r="H15" s="32">
        <v>665</v>
      </c>
      <c r="I15" s="13">
        <v>4800</v>
      </c>
      <c r="J15" s="13">
        <f t="shared" si="0"/>
        <v>3192000</v>
      </c>
    </row>
    <row r="16" spans="1:10" x14ac:dyDescent="0.25">
      <c r="A16" s="13">
        <v>13</v>
      </c>
      <c r="B16" s="183" t="s">
        <v>87</v>
      </c>
      <c r="C16" s="35" t="s">
        <v>111</v>
      </c>
      <c r="D16" s="13">
        <f t="shared" si="1"/>
        <v>501</v>
      </c>
      <c r="E16" s="13" t="s">
        <v>72</v>
      </c>
      <c r="F16" s="25">
        <f>(30.562+13.425)*10.764</f>
        <v>473.476068</v>
      </c>
      <c r="G16" s="26">
        <v>0</v>
      </c>
      <c r="H16" s="32">
        <v>735</v>
      </c>
      <c r="I16" s="13">
        <v>4800</v>
      </c>
      <c r="J16" s="13">
        <f t="shared" si="0"/>
        <v>3528000</v>
      </c>
    </row>
    <row r="17" spans="1:10" x14ac:dyDescent="0.25">
      <c r="A17" s="13">
        <v>14</v>
      </c>
      <c r="B17" s="184"/>
      <c r="C17" s="35" t="s">
        <v>111</v>
      </c>
      <c r="D17" s="13">
        <f t="shared" si="1"/>
        <v>502</v>
      </c>
      <c r="E17" s="13" t="s">
        <v>72</v>
      </c>
      <c r="F17" s="25">
        <f>(32.727+6.63)*10.764</f>
        <v>423.63874799999996</v>
      </c>
      <c r="G17" s="25">
        <f>5.063*10.764</f>
        <v>54.498131999999991</v>
      </c>
      <c r="H17" s="32">
        <v>750</v>
      </c>
      <c r="I17" s="13">
        <v>4800</v>
      </c>
      <c r="J17" s="13">
        <f t="shared" si="0"/>
        <v>3600000</v>
      </c>
    </row>
    <row r="18" spans="1:10" x14ac:dyDescent="0.25">
      <c r="A18" s="13">
        <v>15</v>
      </c>
      <c r="B18" s="185"/>
      <c r="C18" s="35" t="s">
        <v>111</v>
      </c>
      <c r="D18" s="13">
        <f t="shared" si="1"/>
        <v>503</v>
      </c>
      <c r="E18" s="13" t="s">
        <v>72</v>
      </c>
      <c r="F18" s="25">
        <f>(32.727+6.435)*10.764</f>
        <v>421.53976799999998</v>
      </c>
      <c r="G18" s="25">
        <f>4.86*10.764</f>
        <v>52.313040000000001</v>
      </c>
      <c r="H18" s="32">
        <v>745</v>
      </c>
      <c r="I18" s="13">
        <v>4800</v>
      </c>
      <c r="J18" s="13">
        <f t="shared" si="0"/>
        <v>3576000</v>
      </c>
    </row>
    <row r="19" spans="1:10" x14ac:dyDescent="0.25">
      <c r="A19" s="13">
        <v>16</v>
      </c>
      <c r="B19" s="183" t="s">
        <v>88</v>
      </c>
      <c r="C19" s="35" t="s">
        <v>111</v>
      </c>
      <c r="D19" s="13">
        <f t="shared" si="1"/>
        <v>601</v>
      </c>
      <c r="E19" s="13" t="s">
        <v>72</v>
      </c>
      <c r="F19" s="25">
        <f t="shared" ref="F19:F21" si="4">(30.562+13.425)*10.764</f>
        <v>473.476068</v>
      </c>
      <c r="G19" s="26">
        <v>0</v>
      </c>
      <c r="H19" s="32">
        <v>735</v>
      </c>
      <c r="I19" s="13">
        <v>4800</v>
      </c>
      <c r="J19" s="13">
        <f t="shared" si="0"/>
        <v>3528000</v>
      </c>
    </row>
    <row r="20" spans="1:10" x14ac:dyDescent="0.25">
      <c r="A20" s="13">
        <v>17</v>
      </c>
      <c r="B20" s="184"/>
      <c r="C20" s="35" t="s">
        <v>111</v>
      </c>
      <c r="D20" s="13">
        <f t="shared" si="1"/>
        <v>602</v>
      </c>
      <c r="E20" s="13" t="s">
        <v>72</v>
      </c>
      <c r="F20" s="25">
        <f t="shared" si="4"/>
        <v>473.476068</v>
      </c>
      <c r="G20" s="26">
        <v>0</v>
      </c>
      <c r="H20" s="32">
        <v>670</v>
      </c>
      <c r="I20" s="13">
        <v>4800</v>
      </c>
      <c r="J20" s="13">
        <f t="shared" si="0"/>
        <v>3216000</v>
      </c>
    </row>
    <row r="21" spans="1:10" x14ac:dyDescent="0.25">
      <c r="A21" s="13">
        <v>18</v>
      </c>
      <c r="B21" s="185"/>
      <c r="C21" s="35" t="s">
        <v>111</v>
      </c>
      <c r="D21" s="13">
        <f t="shared" si="1"/>
        <v>603</v>
      </c>
      <c r="E21" s="13" t="s">
        <v>72</v>
      </c>
      <c r="F21" s="25">
        <f t="shared" si="4"/>
        <v>473.476068</v>
      </c>
      <c r="G21" s="26">
        <v>0</v>
      </c>
      <c r="H21" s="32">
        <v>665</v>
      </c>
      <c r="I21" s="13">
        <v>4800</v>
      </c>
      <c r="J21" s="13">
        <f t="shared" si="0"/>
        <v>3192000</v>
      </c>
    </row>
    <row r="22" spans="1:10" x14ac:dyDescent="0.25">
      <c r="A22" s="13">
        <v>19</v>
      </c>
      <c r="B22" s="183" t="s">
        <v>89</v>
      </c>
      <c r="C22" s="35" t="s">
        <v>111</v>
      </c>
      <c r="D22" s="13">
        <f t="shared" si="1"/>
        <v>701</v>
      </c>
      <c r="E22" s="13" t="s">
        <v>72</v>
      </c>
      <c r="F22" s="25">
        <f>(30.562+13.425)*10.764</f>
        <v>473.476068</v>
      </c>
      <c r="G22" s="26">
        <v>0</v>
      </c>
      <c r="H22" s="32">
        <v>735</v>
      </c>
      <c r="I22" s="13">
        <v>4800</v>
      </c>
      <c r="J22" s="13">
        <f t="shared" si="0"/>
        <v>3528000</v>
      </c>
    </row>
    <row r="23" spans="1:10" x14ac:dyDescent="0.25">
      <c r="A23" s="13">
        <v>20</v>
      </c>
      <c r="B23" s="184"/>
      <c r="C23" s="35" t="s">
        <v>111</v>
      </c>
      <c r="D23" s="13">
        <f t="shared" si="1"/>
        <v>702</v>
      </c>
      <c r="E23" s="13" t="s">
        <v>72</v>
      </c>
      <c r="F23" s="25">
        <f>(32.727+6.63)*10.764</f>
        <v>423.63874799999996</v>
      </c>
      <c r="G23" s="25">
        <f>5.063*10.764</f>
        <v>54.498131999999991</v>
      </c>
      <c r="H23" s="32">
        <v>750</v>
      </c>
      <c r="I23" s="13">
        <v>4800</v>
      </c>
      <c r="J23" s="13">
        <f t="shared" si="0"/>
        <v>3600000</v>
      </c>
    </row>
    <row r="24" spans="1:10" x14ac:dyDescent="0.25">
      <c r="A24" s="13">
        <v>21</v>
      </c>
      <c r="B24" s="185"/>
      <c r="C24" s="35" t="s">
        <v>111</v>
      </c>
      <c r="D24" s="13">
        <f t="shared" si="1"/>
        <v>703</v>
      </c>
      <c r="E24" s="13" t="s">
        <v>72</v>
      </c>
      <c r="F24" s="25">
        <f>(32.727+6.435)*10.764</f>
        <v>421.53976799999998</v>
      </c>
      <c r="G24" s="25">
        <f>4.86*10.764</f>
        <v>52.313040000000001</v>
      </c>
      <c r="H24" s="32">
        <v>745</v>
      </c>
      <c r="I24" s="13">
        <v>4800</v>
      </c>
      <c r="J24" s="13">
        <f t="shared" si="0"/>
        <v>3576000</v>
      </c>
    </row>
    <row r="25" spans="1:10" x14ac:dyDescent="0.25">
      <c r="A25" s="498" t="s">
        <v>92</v>
      </c>
      <c r="B25" s="498"/>
      <c r="C25" s="498"/>
      <c r="D25" s="498"/>
      <c r="E25" s="498"/>
      <c r="F25" s="498"/>
      <c r="G25" s="498"/>
      <c r="H25" s="498"/>
      <c r="I25" s="498"/>
      <c r="J25" s="498"/>
    </row>
    <row r="26" spans="1:10" x14ac:dyDescent="0.25">
      <c r="A26" s="498" t="s">
        <v>81</v>
      </c>
      <c r="B26" s="498"/>
      <c r="C26" s="498"/>
      <c r="D26" s="498"/>
      <c r="E26" s="498"/>
      <c r="F26" s="498"/>
      <c r="G26" s="498"/>
      <c r="H26" s="498"/>
      <c r="I26" s="498"/>
      <c r="J26" s="498"/>
    </row>
    <row r="27" spans="1:10" x14ac:dyDescent="0.25">
      <c r="A27" s="13">
        <v>1</v>
      </c>
      <c r="B27" s="183" t="s">
        <v>82</v>
      </c>
      <c r="C27" s="35" t="s">
        <v>112</v>
      </c>
      <c r="D27" s="13">
        <v>101</v>
      </c>
      <c r="E27" s="13" t="s">
        <v>72</v>
      </c>
      <c r="F27" s="25">
        <f>34.505*10.764</f>
        <v>371.41181999999998</v>
      </c>
      <c r="G27" s="25">
        <f>4.32*10.764</f>
        <v>46.500480000000003</v>
      </c>
      <c r="H27" s="32">
        <v>655</v>
      </c>
      <c r="I27" s="13">
        <v>4800</v>
      </c>
      <c r="J27" s="13">
        <f t="shared" ref="J27:J89" si="5">H27*I27</f>
        <v>3144000</v>
      </c>
    </row>
    <row r="28" spans="1:10" x14ac:dyDescent="0.25">
      <c r="A28" s="13">
        <v>2</v>
      </c>
      <c r="B28" s="184"/>
      <c r="C28" s="35" t="s">
        <v>112</v>
      </c>
      <c r="D28" s="13">
        <v>102</v>
      </c>
      <c r="E28" s="13" t="s">
        <v>94</v>
      </c>
      <c r="F28" s="25">
        <f>(39.567+11.158)*10.764</f>
        <v>546.00389999999993</v>
      </c>
      <c r="G28" s="25">
        <f>4.95*10.764</f>
        <v>53.281799999999997</v>
      </c>
      <c r="H28" s="32">
        <v>935</v>
      </c>
      <c r="I28" s="13">
        <v>4800</v>
      </c>
      <c r="J28" s="13">
        <f t="shared" si="5"/>
        <v>4488000</v>
      </c>
    </row>
    <row r="29" spans="1:10" x14ac:dyDescent="0.25">
      <c r="A29" s="13">
        <v>3</v>
      </c>
      <c r="B29" s="184"/>
      <c r="C29" s="35" t="s">
        <v>112</v>
      </c>
      <c r="D29" s="13">
        <v>103</v>
      </c>
      <c r="E29" s="13" t="s">
        <v>73</v>
      </c>
      <c r="F29" s="25">
        <f>(20.719+6.275)*10.764</f>
        <v>290.56341599999996</v>
      </c>
      <c r="G29" s="25">
        <v>0</v>
      </c>
      <c r="H29" s="32">
        <v>455</v>
      </c>
      <c r="I29" s="13">
        <v>4800</v>
      </c>
      <c r="J29" s="13">
        <f t="shared" si="5"/>
        <v>2184000</v>
      </c>
    </row>
    <row r="30" spans="1:10" x14ac:dyDescent="0.25">
      <c r="A30" s="13">
        <v>4</v>
      </c>
      <c r="B30" s="184"/>
      <c r="C30" s="35" t="s">
        <v>112</v>
      </c>
      <c r="D30" s="13">
        <v>104</v>
      </c>
      <c r="E30" s="13" t="s">
        <v>72</v>
      </c>
      <c r="F30" s="25">
        <f>(31.447+5.955)*10.764</f>
        <v>402.59512799999999</v>
      </c>
      <c r="G30" s="25">
        <f>5.55*10.764</f>
        <v>59.740199999999994</v>
      </c>
      <c r="H30" s="32">
        <v>715</v>
      </c>
      <c r="I30" s="13">
        <v>4800</v>
      </c>
      <c r="J30" s="13">
        <f t="shared" si="5"/>
        <v>3432000</v>
      </c>
    </row>
    <row r="31" spans="1:10" x14ac:dyDescent="0.25">
      <c r="A31" s="13">
        <v>5</v>
      </c>
      <c r="B31" s="184"/>
      <c r="C31" s="35" t="s">
        <v>112</v>
      </c>
      <c r="D31" s="13">
        <v>105</v>
      </c>
      <c r="E31" s="13" t="s">
        <v>72</v>
      </c>
      <c r="F31" s="25">
        <f>(32.062+6.825)*10.764</f>
        <v>418.57966799999997</v>
      </c>
      <c r="G31" s="25">
        <f>5.55*10.764</f>
        <v>59.740199999999994</v>
      </c>
      <c r="H31" s="32">
        <v>750</v>
      </c>
      <c r="I31" s="13">
        <v>4800</v>
      </c>
      <c r="J31" s="13">
        <f t="shared" si="5"/>
        <v>3600000</v>
      </c>
    </row>
    <row r="32" spans="1:10" x14ac:dyDescent="0.25">
      <c r="A32" s="13">
        <v>6</v>
      </c>
      <c r="B32" s="184"/>
      <c r="C32" s="35" t="s">
        <v>112</v>
      </c>
      <c r="D32" s="13">
        <v>106</v>
      </c>
      <c r="E32" s="13" t="s">
        <v>72</v>
      </c>
      <c r="F32" s="25">
        <f>(30.317+6.025)*10.764</f>
        <v>391.18528799999996</v>
      </c>
      <c r="G32" s="25">
        <f>4.301*10.764</f>
        <v>46.295963999999998</v>
      </c>
      <c r="H32" s="32">
        <v>675</v>
      </c>
      <c r="I32" s="13">
        <v>4800</v>
      </c>
      <c r="J32" s="13">
        <f t="shared" si="5"/>
        <v>3240000</v>
      </c>
    </row>
    <row r="33" spans="1:10" x14ac:dyDescent="0.25">
      <c r="A33" s="13">
        <v>7</v>
      </c>
      <c r="B33" s="184"/>
      <c r="C33" s="35" t="s">
        <v>112</v>
      </c>
      <c r="D33" s="13">
        <v>107</v>
      </c>
      <c r="E33" s="13" t="s">
        <v>72</v>
      </c>
      <c r="F33" s="25">
        <f>(29.392+5.25)*10.764</f>
        <v>372.88648799999993</v>
      </c>
      <c r="G33" s="25">
        <f>4.301*10.764</f>
        <v>46.295963999999998</v>
      </c>
      <c r="H33" s="32">
        <v>645</v>
      </c>
      <c r="I33" s="13">
        <v>4800</v>
      </c>
      <c r="J33" s="13">
        <f t="shared" si="5"/>
        <v>3096000</v>
      </c>
    </row>
    <row r="34" spans="1:10" x14ac:dyDescent="0.25">
      <c r="A34" s="13">
        <v>8</v>
      </c>
      <c r="B34" s="184"/>
      <c r="C34" s="35" t="s">
        <v>112</v>
      </c>
      <c r="D34" s="13">
        <v>108</v>
      </c>
      <c r="E34" s="13" t="s">
        <v>72</v>
      </c>
      <c r="F34" s="25">
        <f>(32.962+6.63)*10.764</f>
        <v>426.16828800000002</v>
      </c>
      <c r="G34" s="25">
        <f>4.185*10.764</f>
        <v>45.047339999999991</v>
      </c>
      <c r="H34" s="32">
        <v>740</v>
      </c>
      <c r="I34" s="13">
        <v>4800</v>
      </c>
      <c r="J34" s="13">
        <f t="shared" si="5"/>
        <v>3552000</v>
      </c>
    </row>
    <row r="35" spans="1:10" x14ac:dyDescent="0.25">
      <c r="A35" s="13">
        <v>9</v>
      </c>
      <c r="B35" s="185"/>
      <c r="C35" s="35" t="s">
        <v>112</v>
      </c>
      <c r="D35" s="13">
        <v>109</v>
      </c>
      <c r="E35" s="13" t="s">
        <v>72</v>
      </c>
      <c r="F35" s="25">
        <f>(35.312+3.624)*10.764</f>
        <v>419.10710399999999</v>
      </c>
      <c r="G35" s="25">
        <f>3.135*10.764</f>
        <v>33.745139999999992</v>
      </c>
      <c r="H35" s="32">
        <v>715</v>
      </c>
      <c r="I35" s="13">
        <v>4800</v>
      </c>
      <c r="J35" s="13">
        <f t="shared" si="5"/>
        <v>3432000</v>
      </c>
    </row>
    <row r="36" spans="1:10" x14ac:dyDescent="0.25">
      <c r="A36" s="13">
        <v>10</v>
      </c>
      <c r="B36" s="183" t="s">
        <v>84</v>
      </c>
      <c r="C36" s="35" t="s">
        <v>112</v>
      </c>
      <c r="D36" s="13">
        <f>D27+100</f>
        <v>201</v>
      </c>
      <c r="E36" s="13" t="s">
        <v>72</v>
      </c>
      <c r="F36" s="25">
        <f>34.505*10.764</f>
        <v>371.41181999999998</v>
      </c>
      <c r="G36" s="25">
        <v>0</v>
      </c>
      <c r="H36" s="32">
        <v>585</v>
      </c>
      <c r="I36" s="13">
        <v>4800</v>
      </c>
      <c r="J36" s="13">
        <f t="shared" si="5"/>
        <v>2808000</v>
      </c>
    </row>
    <row r="37" spans="1:10" x14ac:dyDescent="0.25">
      <c r="A37" s="13">
        <v>11</v>
      </c>
      <c r="B37" s="184"/>
      <c r="C37" s="35" t="s">
        <v>112</v>
      </c>
      <c r="D37" s="13">
        <f>D28+100</f>
        <v>202</v>
      </c>
      <c r="E37" s="13" t="s">
        <v>94</v>
      </c>
      <c r="F37" s="25">
        <f>(39.567+11.158)*10.764</f>
        <v>546.00389999999993</v>
      </c>
      <c r="G37" s="25">
        <v>0</v>
      </c>
      <c r="H37" s="32">
        <v>850</v>
      </c>
      <c r="I37" s="13">
        <v>4800</v>
      </c>
      <c r="J37" s="13">
        <f t="shared" si="5"/>
        <v>4080000</v>
      </c>
    </row>
    <row r="38" spans="1:10" x14ac:dyDescent="0.25">
      <c r="A38" s="13">
        <v>12</v>
      </c>
      <c r="B38" s="184"/>
      <c r="C38" s="35" t="s">
        <v>112</v>
      </c>
      <c r="D38" s="13">
        <f t="shared" ref="D38:D44" si="6">D29+100</f>
        <v>203</v>
      </c>
      <c r="E38" s="13" t="s">
        <v>73</v>
      </c>
      <c r="F38" s="25">
        <f>(20.719+6.275)*10.764</f>
        <v>290.56341599999996</v>
      </c>
      <c r="G38" s="25">
        <v>0</v>
      </c>
      <c r="H38" s="32">
        <v>455</v>
      </c>
      <c r="I38" s="13">
        <v>4800</v>
      </c>
      <c r="J38" s="13">
        <f t="shared" si="5"/>
        <v>2184000</v>
      </c>
    </row>
    <row r="39" spans="1:10" x14ac:dyDescent="0.25">
      <c r="A39" s="13">
        <v>13</v>
      </c>
      <c r="B39" s="184"/>
      <c r="C39" s="35" t="s">
        <v>112</v>
      </c>
      <c r="D39" s="13">
        <f t="shared" si="6"/>
        <v>204</v>
      </c>
      <c r="E39" s="13" t="s">
        <v>72</v>
      </c>
      <c r="F39" s="25">
        <f>(31.447+5.955)*10.764</f>
        <v>402.59512799999999</v>
      </c>
      <c r="G39" s="25">
        <v>0</v>
      </c>
      <c r="H39" s="32">
        <v>625</v>
      </c>
      <c r="I39" s="13">
        <v>4800</v>
      </c>
      <c r="J39" s="13">
        <f t="shared" si="5"/>
        <v>3000000</v>
      </c>
    </row>
    <row r="40" spans="1:10" x14ac:dyDescent="0.25">
      <c r="A40" s="13">
        <v>14</v>
      </c>
      <c r="B40" s="184"/>
      <c r="C40" s="35" t="s">
        <v>112</v>
      </c>
      <c r="D40" s="13">
        <f t="shared" si="6"/>
        <v>205</v>
      </c>
      <c r="E40" s="13" t="s">
        <v>72</v>
      </c>
      <c r="F40" s="25">
        <f>(32.062+6.825)*10.764</f>
        <v>418.57966799999997</v>
      </c>
      <c r="G40" s="25">
        <v>0</v>
      </c>
      <c r="H40" s="32">
        <v>660</v>
      </c>
      <c r="I40" s="13">
        <v>4800</v>
      </c>
      <c r="J40" s="13">
        <f t="shared" si="5"/>
        <v>3168000</v>
      </c>
    </row>
    <row r="41" spans="1:10" x14ac:dyDescent="0.25">
      <c r="A41" s="13">
        <v>15</v>
      </c>
      <c r="B41" s="184"/>
      <c r="C41" s="35" t="s">
        <v>112</v>
      </c>
      <c r="D41" s="13">
        <f t="shared" si="6"/>
        <v>206</v>
      </c>
      <c r="E41" s="13" t="s">
        <v>72</v>
      </c>
      <c r="F41" s="25">
        <f>(30.317+6.025)*10.764</f>
        <v>391.18528799999996</v>
      </c>
      <c r="G41" s="25">
        <v>0</v>
      </c>
      <c r="H41" s="32">
        <v>605</v>
      </c>
      <c r="I41" s="13">
        <v>4800</v>
      </c>
      <c r="J41" s="13">
        <f t="shared" si="5"/>
        <v>2904000</v>
      </c>
    </row>
    <row r="42" spans="1:10" x14ac:dyDescent="0.25">
      <c r="A42" s="13">
        <v>16</v>
      </c>
      <c r="B42" s="184"/>
      <c r="C42" s="35" t="s">
        <v>112</v>
      </c>
      <c r="D42" s="13">
        <f t="shared" si="6"/>
        <v>207</v>
      </c>
      <c r="E42" s="13" t="s">
        <v>72</v>
      </c>
      <c r="F42" s="25">
        <f>(29.392+5.25)*10.764</f>
        <v>372.88648799999993</v>
      </c>
      <c r="G42" s="25">
        <v>0</v>
      </c>
      <c r="H42" s="32">
        <v>570</v>
      </c>
      <c r="I42" s="13">
        <v>4800</v>
      </c>
      <c r="J42" s="13">
        <f t="shared" si="5"/>
        <v>2736000</v>
      </c>
    </row>
    <row r="43" spans="1:10" x14ac:dyDescent="0.25">
      <c r="A43" s="13">
        <v>17</v>
      </c>
      <c r="B43" s="184"/>
      <c r="C43" s="35" t="s">
        <v>112</v>
      </c>
      <c r="D43" s="13">
        <f t="shared" si="6"/>
        <v>208</v>
      </c>
      <c r="E43" s="13" t="s">
        <v>72</v>
      </c>
      <c r="F43" s="25">
        <f>(32.962+6.63)*10.764</f>
        <v>426.16828800000002</v>
      </c>
      <c r="G43" s="25">
        <v>0</v>
      </c>
      <c r="H43" s="32">
        <v>670</v>
      </c>
      <c r="I43" s="13">
        <v>4800</v>
      </c>
      <c r="J43" s="13">
        <f t="shared" si="5"/>
        <v>3216000</v>
      </c>
    </row>
    <row r="44" spans="1:10" x14ac:dyDescent="0.25">
      <c r="A44" s="13">
        <v>18</v>
      </c>
      <c r="B44" s="185"/>
      <c r="C44" s="35" t="s">
        <v>112</v>
      </c>
      <c r="D44" s="13">
        <f t="shared" si="6"/>
        <v>209</v>
      </c>
      <c r="E44" s="13" t="s">
        <v>72</v>
      </c>
      <c r="F44" s="25">
        <f>(35.312+3.624)*10.764</f>
        <v>419.10710399999999</v>
      </c>
      <c r="G44" s="25">
        <f>3.85*10.764</f>
        <v>41.441400000000002</v>
      </c>
      <c r="H44" s="32">
        <v>725</v>
      </c>
      <c r="I44" s="13">
        <v>4800</v>
      </c>
      <c r="J44" s="13">
        <f t="shared" si="5"/>
        <v>3480000</v>
      </c>
    </row>
    <row r="45" spans="1:10" x14ac:dyDescent="0.25">
      <c r="A45" s="13">
        <v>19</v>
      </c>
      <c r="B45" s="183" t="s">
        <v>85</v>
      </c>
      <c r="C45" s="35" t="s">
        <v>112</v>
      </c>
      <c r="D45" s="13">
        <f>D36+100</f>
        <v>301</v>
      </c>
      <c r="E45" s="13" t="s">
        <v>72</v>
      </c>
      <c r="F45" s="25">
        <f>34.505*10.764</f>
        <v>371.41181999999998</v>
      </c>
      <c r="G45" s="25">
        <f>4.32*10.764</f>
        <v>46.500480000000003</v>
      </c>
      <c r="H45" s="32">
        <v>655</v>
      </c>
      <c r="I45" s="13">
        <v>4800</v>
      </c>
      <c r="J45" s="13">
        <f t="shared" si="5"/>
        <v>3144000</v>
      </c>
    </row>
    <row r="46" spans="1:10" x14ac:dyDescent="0.25">
      <c r="A46" s="13">
        <v>20</v>
      </c>
      <c r="B46" s="184"/>
      <c r="C46" s="35" t="s">
        <v>112</v>
      </c>
      <c r="D46" s="13">
        <f>D37+100</f>
        <v>302</v>
      </c>
      <c r="E46" s="13" t="s">
        <v>94</v>
      </c>
      <c r="F46" s="25">
        <f>(39.567+11.158)*10.764</f>
        <v>546.00389999999993</v>
      </c>
      <c r="G46" s="25">
        <f>4.95*10.764</f>
        <v>53.281799999999997</v>
      </c>
      <c r="H46" s="32">
        <v>935</v>
      </c>
      <c r="I46" s="13">
        <v>4800</v>
      </c>
      <c r="J46" s="13">
        <f t="shared" si="5"/>
        <v>4488000</v>
      </c>
    </row>
    <row r="47" spans="1:10" x14ac:dyDescent="0.25">
      <c r="A47" s="13">
        <v>21</v>
      </c>
      <c r="B47" s="184"/>
      <c r="C47" s="35" t="s">
        <v>112</v>
      </c>
      <c r="D47" s="13">
        <f t="shared" ref="D47:D53" si="7">D38+100</f>
        <v>303</v>
      </c>
      <c r="E47" s="13" t="s">
        <v>73</v>
      </c>
      <c r="F47" s="25">
        <f>(20.719+6.275)*10.764</f>
        <v>290.56341599999996</v>
      </c>
      <c r="G47" s="25">
        <v>0</v>
      </c>
      <c r="H47" s="32">
        <v>455</v>
      </c>
      <c r="I47" s="13">
        <v>4800</v>
      </c>
      <c r="J47" s="13">
        <f t="shared" si="5"/>
        <v>2184000</v>
      </c>
    </row>
    <row r="48" spans="1:10" x14ac:dyDescent="0.25">
      <c r="A48" s="13">
        <v>22</v>
      </c>
      <c r="B48" s="184"/>
      <c r="C48" s="35" t="s">
        <v>112</v>
      </c>
      <c r="D48" s="13">
        <f t="shared" si="7"/>
        <v>304</v>
      </c>
      <c r="E48" s="13" t="s">
        <v>72</v>
      </c>
      <c r="F48" s="25">
        <f>(31.447+5.955)*10.764</f>
        <v>402.59512799999999</v>
      </c>
      <c r="G48" s="25">
        <f>5.55*10.764</f>
        <v>59.740199999999994</v>
      </c>
      <c r="H48" s="32">
        <v>715</v>
      </c>
      <c r="I48" s="13">
        <v>4800</v>
      </c>
      <c r="J48" s="13">
        <f t="shared" si="5"/>
        <v>3432000</v>
      </c>
    </row>
    <row r="49" spans="1:10" x14ac:dyDescent="0.25">
      <c r="A49" s="13">
        <v>23</v>
      </c>
      <c r="B49" s="184"/>
      <c r="C49" s="35" t="s">
        <v>112</v>
      </c>
      <c r="D49" s="13">
        <f t="shared" si="7"/>
        <v>305</v>
      </c>
      <c r="E49" s="13" t="s">
        <v>72</v>
      </c>
      <c r="F49" s="25">
        <f>(32.062+6.825)*10.764</f>
        <v>418.57966799999997</v>
      </c>
      <c r="G49" s="25">
        <f>5.55*10.764</f>
        <v>59.740199999999994</v>
      </c>
      <c r="H49" s="32">
        <v>750</v>
      </c>
      <c r="I49" s="13">
        <v>4800</v>
      </c>
      <c r="J49" s="13">
        <f t="shared" si="5"/>
        <v>3600000</v>
      </c>
    </row>
    <row r="50" spans="1:10" x14ac:dyDescent="0.25">
      <c r="A50" s="13">
        <v>24</v>
      </c>
      <c r="B50" s="184"/>
      <c r="C50" s="35" t="s">
        <v>112</v>
      </c>
      <c r="D50" s="13">
        <f t="shared" si="7"/>
        <v>306</v>
      </c>
      <c r="E50" s="13" t="s">
        <v>72</v>
      </c>
      <c r="F50" s="25">
        <f>(30.317+6.025)*10.764</f>
        <v>391.18528799999996</v>
      </c>
      <c r="G50" s="25">
        <f>4.301*10.764</f>
        <v>46.295963999999998</v>
      </c>
      <c r="H50" s="32">
        <v>675</v>
      </c>
      <c r="I50" s="13">
        <v>4800</v>
      </c>
      <c r="J50" s="13">
        <f t="shared" si="5"/>
        <v>3240000</v>
      </c>
    </row>
    <row r="51" spans="1:10" x14ac:dyDescent="0.25">
      <c r="A51" s="13">
        <v>25</v>
      </c>
      <c r="B51" s="184"/>
      <c r="C51" s="35" t="s">
        <v>112</v>
      </c>
      <c r="D51" s="13">
        <f t="shared" si="7"/>
        <v>307</v>
      </c>
      <c r="E51" s="13" t="s">
        <v>72</v>
      </c>
      <c r="F51" s="25">
        <f>(29.392+5.25)*10.764</f>
        <v>372.88648799999993</v>
      </c>
      <c r="G51" s="25">
        <f>4.301*10.764</f>
        <v>46.295963999999998</v>
      </c>
      <c r="H51" s="32">
        <v>645</v>
      </c>
      <c r="I51" s="13">
        <v>4800</v>
      </c>
      <c r="J51" s="13">
        <f t="shared" si="5"/>
        <v>3096000</v>
      </c>
    </row>
    <row r="52" spans="1:10" x14ac:dyDescent="0.25">
      <c r="A52" s="13">
        <v>26</v>
      </c>
      <c r="B52" s="184"/>
      <c r="C52" s="35" t="s">
        <v>112</v>
      </c>
      <c r="D52" s="13">
        <f t="shared" si="7"/>
        <v>308</v>
      </c>
      <c r="E52" s="13" t="s">
        <v>72</v>
      </c>
      <c r="F52" s="25">
        <f>(32.962+6.63)*10.764</f>
        <v>426.16828800000002</v>
      </c>
      <c r="G52" s="25">
        <f>4.185*10.764</f>
        <v>45.047339999999991</v>
      </c>
      <c r="H52" s="32">
        <v>740</v>
      </c>
      <c r="I52" s="13">
        <v>4800</v>
      </c>
      <c r="J52" s="13">
        <f t="shared" si="5"/>
        <v>3552000</v>
      </c>
    </row>
    <row r="53" spans="1:10" x14ac:dyDescent="0.25">
      <c r="A53" s="13">
        <v>27</v>
      </c>
      <c r="B53" s="185"/>
      <c r="C53" s="35" t="s">
        <v>112</v>
      </c>
      <c r="D53" s="13">
        <f t="shared" si="7"/>
        <v>309</v>
      </c>
      <c r="E53" s="13" t="s">
        <v>72</v>
      </c>
      <c r="F53" s="25">
        <f>(35.312+3.624)*10.764</f>
        <v>419.10710399999999</v>
      </c>
      <c r="G53" s="25">
        <f>3.135*10.764</f>
        <v>33.745139999999992</v>
      </c>
      <c r="H53" s="32">
        <v>715</v>
      </c>
      <c r="I53" s="13">
        <v>4800</v>
      </c>
      <c r="J53" s="13">
        <f t="shared" si="5"/>
        <v>3432000</v>
      </c>
    </row>
    <row r="54" spans="1:10" x14ac:dyDescent="0.25">
      <c r="A54" s="13">
        <v>28</v>
      </c>
      <c r="B54" s="183" t="s">
        <v>86</v>
      </c>
      <c r="C54" s="35" t="s">
        <v>112</v>
      </c>
      <c r="D54" s="13">
        <f>D45+100</f>
        <v>401</v>
      </c>
      <c r="E54" s="13" t="s">
        <v>72</v>
      </c>
      <c r="F54" s="25">
        <f>34.505*10.764</f>
        <v>371.41181999999998</v>
      </c>
      <c r="G54" s="25">
        <v>0</v>
      </c>
      <c r="H54" s="32">
        <v>585</v>
      </c>
      <c r="I54" s="13">
        <v>4800</v>
      </c>
      <c r="J54" s="13">
        <f t="shared" si="5"/>
        <v>2808000</v>
      </c>
    </row>
    <row r="55" spans="1:10" x14ac:dyDescent="0.25">
      <c r="A55" s="13">
        <v>29</v>
      </c>
      <c r="B55" s="184"/>
      <c r="C55" s="35" t="s">
        <v>112</v>
      </c>
      <c r="D55" s="13">
        <f>D46+100</f>
        <v>402</v>
      </c>
      <c r="E55" s="13" t="s">
        <v>94</v>
      </c>
      <c r="F55" s="25">
        <f>(39.567+11.158)*10.764</f>
        <v>546.00389999999993</v>
      </c>
      <c r="G55" s="25">
        <v>0</v>
      </c>
      <c r="H55" s="32">
        <v>850</v>
      </c>
      <c r="I55" s="13">
        <v>4800</v>
      </c>
      <c r="J55" s="13">
        <f t="shared" si="5"/>
        <v>4080000</v>
      </c>
    </row>
    <row r="56" spans="1:10" x14ac:dyDescent="0.25">
      <c r="A56" s="13">
        <v>30</v>
      </c>
      <c r="B56" s="184"/>
      <c r="C56" s="35" t="s">
        <v>112</v>
      </c>
      <c r="D56" s="13">
        <f t="shared" ref="D56:D62" si="8">D47+100</f>
        <v>403</v>
      </c>
      <c r="E56" s="13" t="s">
        <v>73</v>
      </c>
      <c r="F56" s="25">
        <f>(20.719+6.275)*10.764</f>
        <v>290.56341599999996</v>
      </c>
      <c r="G56" s="25">
        <v>0</v>
      </c>
      <c r="H56" s="32">
        <v>455</v>
      </c>
      <c r="I56" s="13">
        <v>4800</v>
      </c>
      <c r="J56" s="13">
        <f t="shared" si="5"/>
        <v>2184000</v>
      </c>
    </row>
    <row r="57" spans="1:10" x14ac:dyDescent="0.25">
      <c r="A57" s="13">
        <v>31</v>
      </c>
      <c r="B57" s="184"/>
      <c r="C57" s="35" t="s">
        <v>112</v>
      </c>
      <c r="D57" s="13">
        <f t="shared" si="8"/>
        <v>404</v>
      </c>
      <c r="E57" s="13" t="s">
        <v>72</v>
      </c>
      <c r="F57" s="25">
        <f>(31.447+5.955)*10.764</f>
        <v>402.59512799999999</v>
      </c>
      <c r="G57" s="25">
        <v>0</v>
      </c>
      <c r="H57" s="32">
        <v>625</v>
      </c>
      <c r="I57" s="13">
        <v>4800</v>
      </c>
      <c r="J57" s="13">
        <f t="shared" si="5"/>
        <v>3000000</v>
      </c>
    </row>
    <row r="58" spans="1:10" x14ac:dyDescent="0.25">
      <c r="A58" s="13">
        <v>32</v>
      </c>
      <c r="B58" s="184"/>
      <c r="C58" s="35" t="s">
        <v>112</v>
      </c>
      <c r="D58" s="13">
        <f t="shared" si="8"/>
        <v>405</v>
      </c>
      <c r="E58" s="13" t="s">
        <v>72</v>
      </c>
      <c r="F58" s="25">
        <f>(32.062+6.825)*10.764</f>
        <v>418.57966799999997</v>
      </c>
      <c r="G58" s="25">
        <v>0</v>
      </c>
      <c r="H58" s="32">
        <v>660</v>
      </c>
      <c r="I58" s="13">
        <v>4800</v>
      </c>
      <c r="J58" s="13">
        <f t="shared" si="5"/>
        <v>3168000</v>
      </c>
    </row>
    <row r="59" spans="1:10" x14ac:dyDescent="0.25">
      <c r="A59" s="13">
        <v>33</v>
      </c>
      <c r="B59" s="184"/>
      <c r="C59" s="35" t="s">
        <v>112</v>
      </c>
      <c r="D59" s="13">
        <f t="shared" si="8"/>
        <v>406</v>
      </c>
      <c r="E59" s="13" t="s">
        <v>72</v>
      </c>
      <c r="F59" s="25">
        <f>(30.317+6.025)*10.764</f>
        <v>391.18528799999996</v>
      </c>
      <c r="G59" s="25">
        <v>0</v>
      </c>
      <c r="H59" s="32">
        <v>605</v>
      </c>
      <c r="I59" s="13">
        <v>4800</v>
      </c>
      <c r="J59" s="13">
        <f t="shared" si="5"/>
        <v>2904000</v>
      </c>
    </row>
    <row r="60" spans="1:10" x14ac:dyDescent="0.25">
      <c r="A60" s="13">
        <v>34</v>
      </c>
      <c r="B60" s="184"/>
      <c r="C60" s="35" t="s">
        <v>112</v>
      </c>
      <c r="D60" s="13">
        <f t="shared" si="8"/>
        <v>407</v>
      </c>
      <c r="E60" s="13" t="s">
        <v>72</v>
      </c>
      <c r="F60" s="25">
        <f>(29.392+5.25)*10.764</f>
        <v>372.88648799999993</v>
      </c>
      <c r="G60" s="25">
        <v>0</v>
      </c>
      <c r="H60" s="32">
        <v>570</v>
      </c>
      <c r="I60" s="13">
        <v>4800</v>
      </c>
      <c r="J60" s="13">
        <f t="shared" si="5"/>
        <v>2736000</v>
      </c>
    </row>
    <row r="61" spans="1:10" x14ac:dyDescent="0.25">
      <c r="A61" s="13">
        <v>35</v>
      </c>
      <c r="B61" s="184"/>
      <c r="C61" s="35" t="s">
        <v>112</v>
      </c>
      <c r="D61" s="13">
        <f t="shared" si="8"/>
        <v>408</v>
      </c>
      <c r="E61" s="13" t="s">
        <v>72</v>
      </c>
      <c r="F61" s="25">
        <f>(32.962+6.63)*10.764</f>
        <v>426.16828800000002</v>
      </c>
      <c r="G61" s="25">
        <v>0</v>
      </c>
      <c r="H61" s="32">
        <v>670</v>
      </c>
      <c r="I61" s="13">
        <v>4800</v>
      </c>
      <c r="J61" s="13">
        <f t="shared" si="5"/>
        <v>3216000</v>
      </c>
    </row>
    <row r="62" spans="1:10" x14ac:dyDescent="0.25">
      <c r="A62" s="13">
        <v>36</v>
      </c>
      <c r="B62" s="185"/>
      <c r="C62" s="35" t="s">
        <v>112</v>
      </c>
      <c r="D62" s="13">
        <f t="shared" si="8"/>
        <v>409</v>
      </c>
      <c r="E62" s="13" t="s">
        <v>72</v>
      </c>
      <c r="F62" s="25">
        <f>(35.312+3.624)*10.764</f>
        <v>419.10710399999999</v>
      </c>
      <c r="G62" s="25">
        <f>3.85*10.764</f>
        <v>41.441400000000002</v>
      </c>
      <c r="H62" s="32">
        <v>725</v>
      </c>
      <c r="I62" s="13">
        <v>4800</v>
      </c>
      <c r="J62" s="13">
        <f t="shared" si="5"/>
        <v>3480000</v>
      </c>
    </row>
    <row r="63" spans="1:10" x14ac:dyDescent="0.25">
      <c r="A63" s="13">
        <v>37</v>
      </c>
      <c r="B63" s="183" t="s">
        <v>87</v>
      </c>
      <c r="C63" s="35" t="s">
        <v>112</v>
      </c>
      <c r="D63" s="13">
        <f>D54+100</f>
        <v>501</v>
      </c>
      <c r="E63" s="13" t="s">
        <v>72</v>
      </c>
      <c r="F63" s="25">
        <f>34.505*10.764</f>
        <v>371.41181999999998</v>
      </c>
      <c r="G63" s="25">
        <f>4.32*10.764</f>
        <v>46.500480000000003</v>
      </c>
      <c r="H63" s="32">
        <v>655</v>
      </c>
      <c r="I63" s="13">
        <v>4800</v>
      </c>
      <c r="J63" s="13">
        <f t="shared" si="5"/>
        <v>3144000</v>
      </c>
    </row>
    <row r="64" spans="1:10" x14ac:dyDescent="0.25">
      <c r="A64" s="13">
        <v>38</v>
      </c>
      <c r="B64" s="184"/>
      <c r="C64" s="35" t="s">
        <v>112</v>
      </c>
      <c r="D64" s="13">
        <f>D55+100</f>
        <v>502</v>
      </c>
      <c r="E64" s="13" t="s">
        <v>94</v>
      </c>
      <c r="F64" s="25">
        <f>(39.567+11.158)*10.764</f>
        <v>546.00389999999993</v>
      </c>
      <c r="G64" s="25">
        <f>4.95*10.764</f>
        <v>53.281799999999997</v>
      </c>
      <c r="H64" s="32">
        <v>935</v>
      </c>
      <c r="I64" s="13">
        <v>4800</v>
      </c>
      <c r="J64" s="13">
        <f t="shared" si="5"/>
        <v>4488000</v>
      </c>
    </row>
    <row r="65" spans="1:10" x14ac:dyDescent="0.25">
      <c r="A65" s="13">
        <v>39</v>
      </c>
      <c r="B65" s="184"/>
      <c r="C65" s="35" t="s">
        <v>112</v>
      </c>
      <c r="D65" s="13">
        <f t="shared" ref="D65:D71" si="9">D56+100</f>
        <v>503</v>
      </c>
      <c r="E65" s="13" t="s">
        <v>73</v>
      </c>
      <c r="F65" s="25">
        <f>(20.719+6.275)*10.764</f>
        <v>290.56341599999996</v>
      </c>
      <c r="G65" s="25">
        <v>0</v>
      </c>
      <c r="H65" s="32">
        <v>455</v>
      </c>
      <c r="I65" s="13">
        <v>4800</v>
      </c>
      <c r="J65" s="13">
        <f t="shared" si="5"/>
        <v>2184000</v>
      </c>
    </row>
    <row r="66" spans="1:10" x14ac:dyDescent="0.25">
      <c r="A66" s="13">
        <v>40</v>
      </c>
      <c r="B66" s="184"/>
      <c r="C66" s="35" t="s">
        <v>112</v>
      </c>
      <c r="D66" s="13">
        <f t="shared" si="9"/>
        <v>504</v>
      </c>
      <c r="E66" s="13" t="s">
        <v>72</v>
      </c>
      <c r="F66" s="25">
        <f>(31.447+5.955)*10.764</f>
        <v>402.59512799999999</v>
      </c>
      <c r="G66" s="25">
        <f>5.55*10.764</f>
        <v>59.740199999999994</v>
      </c>
      <c r="H66" s="32">
        <v>715</v>
      </c>
      <c r="I66" s="13">
        <v>4800</v>
      </c>
      <c r="J66" s="13">
        <f t="shared" si="5"/>
        <v>3432000</v>
      </c>
    </row>
    <row r="67" spans="1:10" x14ac:dyDescent="0.25">
      <c r="A67" s="13">
        <v>41</v>
      </c>
      <c r="B67" s="184"/>
      <c r="C67" s="35" t="s">
        <v>112</v>
      </c>
      <c r="D67" s="13">
        <f t="shared" si="9"/>
        <v>505</v>
      </c>
      <c r="E67" s="13" t="s">
        <v>72</v>
      </c>
      <c r="F67" s="25">
        <f>(32.062+6.825)*10.764</f>
        <v>418.57966799999997</v>
      </c>
      <c r="G67" s="25">
        <f>5.55*10.764</f>
        <v>59.740199999999994</v>
      </c>
      <c r="H67" s="32">
        <v>750</v>
      </c>
      <c r="I67" s="13">
        <v>4800</v>
      </c>
      <c r="J67" s="13">
        <f t="shared" si="5"/>
        <v>3600000</v>
      </c>
    </row>
    <row r="68" spans="1:10" x14ac:dyDescent="0.25">
      <c r="A68" s="13">
        <v>42</v>
      </c>
      <c r="B68" s="184"/>
      <c r="C68" s="35" t="s">
        <v>112</v>
      </c>
      <c r="D68" s="13">
        <f t="shared" si="9"/>
        <v>506</v>
      </c>
      <c r="E68" s="13" t="s">
        <v>72</v>
      </c>
      <c r="F68" s="25">
        <f>(30.317+6.025)*10.764</f>
        <v>391.18528799999996</v>
      </c>
      <c r="G68" s="25">
        <f>4.301*10.764</f>
        <v>46.295963999999998</v>
      </c>
      <c r="H68" s="32">
        <v>675</v>
      </c>
      <c r="I68" s="13">
        <v>4800</v>
      </c>
      <c r="J68" s="13">
        <f t="shared" si="5"/>
        <v>3240000</v>
      </c>
    </row>
    <row r="69" spans="1:10" x14ac:dyDescent="0.25">
      <c r="A69" s="13">
        <v>43</v>
      </c>
      <c r="B69" s="184"/>
      <c r="C69" s="35" t="s">
        <v>112</v>
      </c>
      <c r="D69" s="13">
        <f t="shared" si="9"/>
        <v>507</v>
      </c>
      <c r="E69" s="13" t="s">
        <v>72</v>
      </c>
      <c r="F69" s="25">
        <f>(29.392+5.25)*10.764</f>
        <v>372.88648799999993</v>
      </c>
      <c r="G69" s="25">
        <f>4.301*10.764</f>
        <v>46.295963999999998</v>
      </c>
      <c r="H69" s="32">
        <v>645</v>
      </c>
      <c r="I69" s="13">
        <v>4800</v>
      </c>
      <c r="J69" s="13">
        <f t="shared" si="5"/>
        <v>3096000</v>
      </c>
    </row>
    <row r="70" spans="1:10" x14ac:dyDescent="0.25">
      <c r="A70" s="13">
        <v>44</v>
      </c>
      <c r="B70" s="184"/>
      <c r="C70" s="35" t="s">
        <v>112</v>
      </c>
      <c r="D70" s="13">
        <f t="shared" si="9"/>
        <v>508</v>
      </c>
      <c r="E70" s="13" t="s">
        <v>72</v>
      </c>
      <c r="F70" s="25">
        <f>(32.962+6.63)*10.764</f>
        <v>426.16828800000002</v>
      </c>
      <c r="G70" s="25">
        <f>4.185*10.764</f>
        <v>45.047339999999991</v>
      </c>
      <c r="H70" s="32">
        <v>740</v>
      </c>
      <c r="I70" s="13">
        <v>4800</v>
      </c>
      <c r="J70" s="13">
        <f t="shared" si="5"/>
        <v>3552000</v>
      </c>
    </row>
    <row r="71" spans="1:10" x14ac:dyDescent="0.25">
      <c r="A71" s="13">
        <v>45</v>
      </c>
      <c r="B71" s="185"/>
      <c r="C71" s="35" t="s">
        <v>112</v>
      </c>
      <c r="D71" s="13">
        <f t="shared" si="9"/>
        <v>509</v>
      </c>
      <c r="E71" s="13" t="s">
        <v>72</v>
      </c>
      <c r="F71" s="25">
        <f>(35.312+3.624)*10.764</f>
        <v>419.10710399999999</v>
      </c>
      <c r="G71" s="25">
        <f>3.135*10.764</f>
        <v>33.745139999999992</v>
      </c>
      <c r="H71" s="32">
        <v>715</v>
      </c>
      <c r="I71" s="13">
        <v>4800</v>
      </c>
      <c r="J71" s="13">
        <f t="shared" si="5"/>
        <v>3432000</v>
      </c>
    </row>
    <row r="72" spans="1:10" x14ac:dyDescent="0.25">
      <c r="A72" s="13">
        <v>46</v>
      </c>
      <c r="B72" s="183" t="s">
        <v>88</v>
      </c>
      <c r="C72" s="35" t="s">
        <v>112</v>
      </c>
      <c r="D72" s="13">
        <f>D63+100</f>
        <v>601</v>
      </c>
      <c r="E72" s="13" t="s">
        <v>72</v>
      </c>
      <c r="F72" s="25">
        <f>34.505*10.764</f>
        <v>371.41181999999998</v>
      </c>
      <c r="G72" s="25">
        <v>0</v>
      </c>
      <c r="H72" s="32">
        <v>585</v>
      </c>
      <c r="I72" s="13">
        <v>4800</v>
      </c>
      <c r="J72" s="13">
        <f t="shared" si="5"/>
        <v>2808000</v>
      </c>
    </row>
    <row r="73" spans="1:10" x14ac:dyDescent="0.25">
      <c r="A73" s="13">
        <v>47</v>
      </c>
      <c r="B73" s="184"/>
      <c r="C73" s="35" t="s">
        <v>112</v>
      </c>
      <c r="D73" s="13">
        <f>D64+100</f>
        <v>602</v>
      </c>
      <c r="E73" s="13" t="s">
        <v>94</v>
      </c>
      <c r="F73" s="25">
        <f>(39.567+11.158)*10.764</f>
        <v>546.00389999999993</v>
      </c>
      <c r="G73" s="25">
        <v>0</v>
      </c>
      <c r="H73" s="32">
        <v>850</v>
      </c>
      <c r="I73" s="13">
        <v>4800</v>
      </c>
      <c r="J73" s="13">
        <f t="shared" si="5"/>
        <v>4080000</v>
      </c>
    </row>
    <row r="74" spans="1:10" x14ac:dyDescent="0.25">
      <c r="A74" s="13">
        <v>48</v>
      </c>
      <c r="B74" s="184"/>
      <c r="C74" s="35" t="s">
        <v>112</v>
      </c>
      <c r="D74" s="13">
        <f t="shared" ref="D74:D80" si="10">D65+100</f>
        <v>603</v>
      </c>
      <c r="E74" s="13" t="s">
        <v>73</v>
      </c>
      <c r="F74" s="25">
        <f>(20.719+6.275)*10.764</f>
        <v>290.56341599999996</v>
      </c>
      <c r="G74" s="25">
        <v>0</v>
      </c>
      <c r="H74" s="32">
        <v>455</v>
      </c>
      <c r="I74" s="13">
        <v>4800</v>
      </c>
      <c r="J74" s="13">
        <f t="shared" si="5"/>
        <v>2184000</v>
      </c>
    </row>
    <row r="75" spans="1:10" x14ac:dyDescent="0.25">
      <c r="A75" s="13">
        <v>49</v>
      </c>
      <c r="B75" s="184"/>
      <c r="C75" s="35" t="s">
        <v>112</v>
      </c>
      <c r="D75" s="13">
        <f t="shared" si="10"/>
        <v>604</v>
      </c>
      <c r="E75" s="13" t="s">
        <v>72</v>
      </c>
      <c r="F75" s="25">
        <f>(31.447+5.955)*10.764</f>
        <v>402.59512799999999</v>
      </c>
      <c r="G75" s="25">
        <v>0</v>
      </c>
      <c r="H75" s="32">
        <v>625</v>
      </c>
      <c r="I75" s="13">
        <v>4800</v>
      </c>
      <c r="J75" s="13">
        <f t="shared" si="5"/>
        <v>3000000</v>
      </c>
    </row>
    <row r="76" spans="1:10" x14ac:dyDescent="0.25">
      <c r="A76" s="13">
        <v>50</v>
      </c>
      <c r="B76" s="184"/>
      <c r="C76" s="35" t="s">
        <v>112</v>
      </c>
      <c r="D76" s="13">
        <f t="shared" si="10"/>
        <v>605</v>
      </c>
      <c r="E76" s="13" t="s">
        <v>72</v>
      </c>
      <c r="F76" s="25">
        <f>(32.062+6.825)*10.764</f>
        <v>418.57966799999997</v>
      </c>
      <c r="G76" s="25">
        <v>0</v>
      </c>
      <c r="H76" s="32">
        <v>660</v>
      </c>
      <c r="I76" s="13">
        <v>4800</v>
      </c>
      <c r="J76" s="13">
        <f t="shared" si="5"/>
        <v>3168000</v>
      </c>
    </row>
    <row r="77" spans="1:10" x14ac:dyDescent="0.25">
      <c r="A77" s="13">
        <v>51</v>
      </c>
      <c r="B77" s="184"/>
      <c r="C77" s="35" t="s">
        <v>112</v>
      </c>
      <c r="D77" s="13">
        <f t="shared" si="10"/>
        <v>606</v>
      </c>
      <c r="E77" s="13" t="s">
        <v>72</v>
      </c>
      <c r="F77" s="25">
        <f>(30.317+6.025)*10.764</f>
        <v>391.18528799999996</v>
      </c>
      <c r="G77" s="25">
        <v>0</v>
      </c>
      <c r="H77" s="32">
        <v>605</v>
      </c>
      <c r="I77" s="13">
        <v>4800</v>
      </c>
      <c r="J77" s="13">
        <f t="shared" si="5"/>
        <v>2904000</v>
      </c>
    </row>
    <row r="78" spans="1:10" x14ac:dyDescent="0.25">
      <c r="A78" s="13">
        <v>52</v>
      </c>
      <c r="B78" s="184"/>
      <c r="C78" s="35" t="s">
        <v>112</v>
      </c>
      <c r="D78" s="13">
        <f t="shared" si="10"/>
        <v>607</v>
      </c>
      <c r="E78" s="13" t="s">
        <v>72</v>
      </c>
      <c r="F78" s="25">
        <f>(29.392+5.25)*10.764</f>
        <v>372.88648799999993</v>
      </c>
      <c r="G78" s="25">
        <v>0</v>
      </c>
      <c r="H78" s="32">
        <v>570</v>
      </c>
      <c r="I78" s="13">
        <v>4800</v>
      </c>
      <c r="J78" s="13">
        <f t="shared" si="5"/>
        <v>2736000</v>
      </c>
    </row>
    <row r="79" spans="1:10" x14ac:dyDescent="0.25">
      <c r="A79" s="13">
        <v>53</v>
      </c>
      <c r="B79" s="184"/>
      <c r="C79" s="35" t="s">
        <v>112</v>
      </c>
      <c r="D79" s="13">
        <f t="shared" si="10"/>
        <v>608</v>
      </c>
      <c r="E79" s="13" t="s">
        <v>72</v>
      </c>
      <c r="F79" s="25">
        <f>(32.962+6.63)*10.764</f>
        <v>426.16828800000002</v>
      </c>
      <c r="G79" s="25">
        <v>0</v>
      </c>
      <c r="H79" s="32">
        <v>670</v>
      </c>
      <c r="I79" s="13">
        <v>4800</v>
      </c>
      <c r="J79" s="13">
        <f t="shared" si="5"/>
        <v>3216000</v>
      </c>
    </row>
    <row r="80" spans="1:10" x14ac:dyDescent="0.25">
      <c r="A80" s="13">
        <v>54</v>
      </c>
      <c r="B80" s="185"/>
      <c r="C80" s="35" t="s">
        <v>112</v>
      </c>
      <c r="D80" s="13">
        <f t="shared" si="10"/>
        <v>609</v>
      </c>
      <c r="E80" s="13" t="s">
        <v>72</v>
      </c>
      <c r="F80" s="25">
        <f>(35.312+3.624)*10.764</f>
        <v>419.10710399999999</v>
      </c>
      <c r="G80" s="25">
        <f>3.85*10.764</f>
        <v>41.441400000000002</v>
      </c>
      <c r="H80" s="32">
        <v>725</v>
      </c>
      <c r="I80" s="13">
        <v>4800</v>
      </c>
      <c r="J80" s="13">
        <f t="shared" si="5"/>
        <v>3480000</v>
      </c>
    </row>
    <row r="81" spans="1:10" x14ac:dyDescent="0.25">
      <c r="A81" s="13">
        <v>55</v>
      </c>
      <c r="B81" s="183" t="s">
        <v>89</v>
      </c>
      <c r="C81" s="35" t="s">
        <v>112</v>
      </c>
      <c r="D81" s="13">
        <f>D72+100</f>
        <v>701</v>
      </c>
      <c r="E81" s="13" t="s">
        <v>72</v>
      </c>
      <c r="F81" s="25">
        <f>34.505*10.764</f>
        <v>371.41181999999998</v>
      </c>
      <c r="G81" s="25">
        <f>4.32*10.764</f>
        <v>46.500480000000003</v>
      </c>
      <c r="H81" s="32">
        <v>655</v>
      </c>
      <c r="I81" s="13">
        <v>4800</v>
      </c>
      <c r="J81" s="13">
        <f t="shared" si="5"/>
        <v>3144000</v>
      </c>
    </row>
    <row r="82" spans="1:10" x14ac:dyDescent="0.25">
      <c r="A82" s="13">
        <v>56</v>
      </c>
      <c r="B82" s="184"/>
      <c r="C82" s="35" t="s">
        <v>112</v>
      </c>
      <c r="D82" s="13">
        <f>D73+100</f>
        <v>702</v>
      </c>
      <c r="E82" s="13" t="s">
        <v>94</v>
      </c>
      <c r="F82" s="25">
        <f>(39.567+11.158)*10.764</f>
        <v>546.00389999999993</v>
      </c>
      <c r="G82" s="25">
        <f>4.95*10.764</f>
        <v>53.281799999999997</v>
      </c>
      <c r="H82" s="32">
        <v>935</v>
      </c>
      <c r="I82" s="13">
        <v>4800</v>
      </c>
      <c r="J82" s="13">
        <f t="shared" si="5"/>
        <v>4488000</v>
      </c>
    </row>
    <row r="83" spans="1:10" x14ac:dyDescent="0.25">
      <c r="A83" s="13">
        <v>57</v>
      </c>
      <c r="B83" s="184"/>
      <c r="C83" s="35" t="s">
        <v>112</v>
      </c>
      <c r="D83" s="13">
        <f t="shared" ref="D83:D89" si="11">D74+100</f>
        <v>703</v>
      </c>
      <c r="E83" s="13" t="s">
        <v>73</v>
      </c>
      <c r="F83" s="25">
        <f>(20.719+6.275)*10.764</f>
        <v>290.56341599999996</v>
      </c>
      <c r="G83" s="25">
        <v>0</v>
      </c>
      <c r="H83" s="32">
        <v>455</v>
      </c>
      <c r="I83" s="13">
        <v>4800</v>
      </c>
      <c r="J83" s="13">
        <f t="shared" si="5"/>
        <v>2184000</v>
      </c>
    </row>
    <row r="84" spans="1:10" x14ac:dyDescent="0.25">
      <c r="A84" s="13">
        <v>58</v>
      </c>
      <c r="B84" s="184"/>
      <c r="C84" s="35" t="s">
        <v>112</v>
      </c>
      <c r="D84" s="13">
        <f t="shared" si="11"/>
        <v>704</v>
      </c>
      <c r="E84" s="13" t="s">
        <v>72</v>
      </c>
      <c r="F84" s="25">
        <f>(31.447+5.955)*10.764</f>
        <v>402.59512799999999</v>
      </c>
      <c r="G84" s="25">
        <f>5.55*10.764</f>
        <v>59.740199999999994</v>
      </c>
      <c r="H84" s="32">
        <v>715</v>
      </c>
      <c r="I84" s="13">
        <v>4800</v>
      </c>
      <c r="J84" s="13">
        <f t="shared" si="5"/>
        <v>3432000</v>
      </c>
    </row>
    <row r="85" spans="1:10" x14ac:dyDescent="0.25">
      <c r="A85" s="13">
        <v>59</v>
      </c>
      <c r="B85" s="184"/>
      <c r="C85" s="35" t="s">
        <v>112</v>
      </c>
      <c r="D85" s="13">
        <f t="shared" si="11"/>
        <v>705</v>
      </c>
      <c r="E85" s="13" t="s">
        <v>72</v>
      </c>
      <c r="F85" s="25">
        <f>(32.062+6.825)*10.764</f>
        <v>418.57966799999997</v>
      </c>
      <c r="G85" s="25">
        <f>5.55*10.764</f>
        <v>59.740199999999994</v>
      </c>
      <c r="H85" s="32">
        <v>750</v>
      </c>
      <c r="I85" s="13">
        <v>4800</v>
      </c>
      <c r="J85" s="13">
        <f t="shared" si="5"/>
        <v>3600000</v>
      </c>
    </row>
    <row r="86" spans="1:10" x14ac:dyDescent="0.25">
      <c r="A86" s="13">
        <v>60</v>
      </c>
      <c r="B86" s="184"/>
      <c r="C86" s="35" t="s">
        <v>112</v>
      </c>
      <c r="D86" s="13">
        <f t="shared" si="11"/>
        <v>706</v>
      </c>
      <c r="E86" s="13" t="s">
        <v>72</v>
      </c>
      <c r="F86" s="25">
        <f>(30.317+6.025)*10.764</f>
        <v>391.18528799999996</v>
      </c>
      <c r="G86" s="25">
        <f>4.301*10.764</f>
        <v>46.295963999999998</v>
      </c>
      <c r="H86" s="32">
        <v>675</v>
      </c>
      <c r="I86" s="13">
        <v>4800</v>
      </c>
      <c r="J86" s="13">
        <f t="shared" si="5"/>
        <v>3240000</v>
      </c>
    </row>
    <row r="87" spans="1:10" x14ac:dyDescent="0.25">
      <c r="A87" s="13">
        <v>61</v>
      </c>
      <c r="B87" s="184"/>
      <c r="C87" s="35" t="s">
        <v>112</v>
      </c>
      <c r="D87" s="13">
        <f t="shared" si="11"/>
        <v>707</v>
      </c>
      <c r="E87" s="13" t="s">
        <v>72</v>
      </c>
      <c r="F87" s="25">
        <f>(29.392+5.25)*10.764</f>
        <v>372.88648799999993</v>
      </c>
      <c r="G87" s="25">
        <f>4.301*10.764</f>
        <v>46.295963999999998</v>
      </c>
      <c r="H87" s="32">
        <v>645</v>
      </c>
      <c r="I87" s="13">
        <v>4800</v>
      </c>
      <c r="J87" s="13">
        <f t="shared" si="5"/>
        <v>3096000</v>
      </c>
    </row>
    <row r="88" spans="1:10" x14ac:dyDescent="0.25">
      <c r="A88" s="13">
        <v>62</v>
      </c>
      <c r="B88" s="184"/>
      <c r="C88" s="35" t="s">
        <v>112</v>
      </c>
      <c r="D88" s="13">
        <f t="shared" si="11"/>
        <v>708</v>
      </c>
      <c r="E88" s="13" t="s">
        <v>72</v>
      </c>
      <c r="F88" s="25">
        <f>(32.962+6.63)*10.764</f>
        <v>426.16828800000002</v>
      </c>
      <c r="G88" s="25">
        <f>4.185*10.764</f>
        <v>45.047339999999991</v>
      </c>
      <c r="H88" s="32">
        <v>740</v>
      </c>
      <c r="I88" s="13">
        <v>4800</v>
      </c>
      <c r="J88" s="13">
        <f t="shared" si="5"/>
        <v>3552000</v>
      </c>
    </row>
    <row r="89" spans="1:10" x14ac:dyDescent="0.25">
      <c r="A89" s="13">
        <v>63</v>
      </c>
      <c r="B89" s="185"/>
      <c r="C89" s="35" t="s">
        <v>112</v>
      </c>
      <c r="D89" s="13">
        <f t="shared" si="11"/>
        <v>709</v>
      </c>
      <c r="E89" s="13" t="s">
        <v>72</v>
      </c>
      <c r="F89" s="25">
        <f>(35.312+3.624)*10.764</f>
        <v>419.10710399999999</v>
      </c>
      <c r="G89" s="25">
        <f>3.135*10.764</f>
        <v>33.745139999999992</v>
      </c>
      <c r="H89" s="32">
        <v>715</v>
      </c>
      <c r="I89" s="13">
        <v>4800</v>
      </c>
      <c r="J89" s="13">
        <f t="shared" si="5"/>
        <v>3432000</v>
      </c>
    </row>
    <row r="90" spans="1:10" x14ac:dyDescent="0.25">
      <c r="A90" s="498" t="s">
        <v>96</v>
      </c>
      <c r="B90" s="498"/>
      <c r="C90" s="498"/>
      <c r="D90" s="498"/>
      <c r="E90" s="498"/>
      <c r="F90" s="498"/>
      <c r="G90" s="498"/>
      <c r="H90" s="498"/>
      <c r="I90" s="498"/>
      <c r="J90" s="498"/>
    </row>
    <row r="91" spans="1:10" x14ac:dyDescent="0.25">
      <c r="A91" s="498" t="s">
        <v>81</v>
      </c>
      <c r="B91" s="498"/>
      <c r="C91" s="498"/>
      <c r="D91" s="498"/>
      <c r="E91" s="498"/>
      <c r="F91" s="498"/>
      <c r="G91" s="498"/>
      <c r="H91" s="498"/>
      <c r="I91" s="498"/>
      <c r="J91" s="498"/>
    </row>
    <row r="92" spans="1:10" x14ac:dyDescent="0.25">
      <c r="A92" s="13">
        <v>1</v>
      </c>
      <c r="B92" s="183" t="s">
        <v>82</v>
      </c>
      <c r="C92" s="35" t="s">
        <v>113</v>
      </c>
      <c r="D92" s="13">
        <v>101</v>
      </c>
      <c r="E92" s="13" t="s">
        <v>94</v>
      </c>
      <c r="F92" s="25">
        <f>(41.081+11.114)*10.764</f>
        <v>561.82698000000005</v>
      </c>
      <c r="G92" s="25">
        <f>5.896*10.764</f>
        <v>63.464543999999997</v>
      </c>
      <c r="H92" s="32">
        <v>980</v>
      </c>
      <c r="I92" s="13">
        <v>4800</v>
      </c>
      <c r="J92" s="13">
        <f t="shared" ref="J92:J155" si="12">H92*I92</f>
        <v>4704000</v>
      </c>
    </row>
    <row r="93" spans="1:10" x14ac:dyDescent="0.25">
      <c r="A93" s="13">
        <v>2</v>
      </c>
      <c r="B93" s="184"/>
      <c r="C93" s="35" t="s">
        <v>113</v>
      </c>
      <c r="D93" s="13">
        <v>102</v>
      </c>
      <c r="E93" s="13" t="s">
        <v>73</v>
      </c>
      <c r="F93" s="25">
        <f>(18.012+6.59)*10.764</f>
        <v>264.81592799999999</v>
      </c>
      <c r="G93" s="25">
        <v>0</v>
      </c>
      <c r="H93" s="32">
        <v>405</v>
      </c>
      <c r="I93" s="13">
        <v>4800</v>
      </c>
      <c r="J93" s="13">
        <f t="shared" si="12"/>
        <v>1944000</v>
      </c>
    </row>
    <row r="94" spans="1:10" x14ac:dyDescent="0.25">
      <c r="A94" s="13">
        <v>3</v>
      </c>
      <c r="B94" s="184"/>
      <c r="C94" s="35" t="s">
        <v>113</v>
      </c>
      <c r="D94" s="13">
        <v>103</v>
      </c>
      <c r="E94" s="13" t="s">
        <v>72</v>
      </c>
      <c r="F94" s="25">
        <f>(29.805+7.205)*10.764</f>
        <v>398.37563999999998</v>
      </c>
      <c r="G94" s="25">
        <f>5.7*10.764</f>
        <v>61.354799999999997</v>
      </c>
      <c r="H94" s="32">
        <v>720</v>
      </c>
      <c r="I94" s="13">
        <v>4800</v>
      </c>
      <c r="J94" s="13">
        <f t="shared" si="12"/>
        <v>3456000</v>
      </c>
    </row>
    <row r="95" spans="1:10" x14ac:dyDescent="0.25">
      <c r="A95" s="13">
        <v>4</v>
      </c>
      <c r="B95" s="184"/>
      <c r="C95" s="35" t="s">
        <v>113</v>
      </c>
      <c r="D95" s="13">
        <v>104</v>
      </c>
      <c r="E95" s="13" t="s">
        <v>72</v>
      </c>
      <c r="F95" s="25">
        <f>(31.83)*10.764</f>
        <v>342.61811999999998</v>
      </c>
      <c r="G95" s="25">
        <f>6.383*10.764</f>
        <v>68.706611999999993</v>
      </c>
      <c r="H95" s="32">
        <v>650</v>
      </c>
      <c r="I95" s="13">
        <v>4800</v>
      </c>
      <c r="J95" s="13">
        <f t="shared" si="12"/>
        <v>3120000</v>
      </c>
    </row>
    <row r="96" spans="1:10" x14ac:dyDescent="0.25">
      <c r="A96" s="13">
        <v>5</v>
      </c>
      <c r="B96" s="184"/>
      <c r="C96" s="35" t="s">
        <v>113</v>
      </c>
      <c r="D96" s="13">
        <v>105</v>
      </c>
      <c r="E96" s="13" t="s">
        <v>72</v>
      </c>
      <c r="F96" s="25">
        <f>(32.089+6.728)*10.764</f>
        <v>417.826188</v>
      </c>
      <c r="G96" s="25">
        <f>6.383*10.764</f>
        <v>68.706611999999993</v>
      </c>
      <c r="H96" s="32">
        <v>765</v>
      </c>
      <c r="I96" s="13">
        <v>4800</v>
      </c>
      <c r="J96" s="13">
        <f t="shared" si="12"/>
        <v>3672000</v>
      </c>
    </row>
    <row r="97" spans="1:10" x14ac:dyDescent="0.25">
      <c r="A97" s="13">
        <v>6</v>
      </c>
      <c r="B97" s="184"/>
      <c r="C97" s="35" t="s">
        <v>113</v>
      </c>
      <c r="D97" s="13">
        <v>106</v>
      </c>
      <c r="E97" s="13" t="s">
        <v>72</v>
      </c>
      <c r="F97" s="25">
        <f>(31.884+6.728)*10.764</f>
        <v>415.61956800000002</v>
      </c>
      <c r="G97" s="25">
        <f>4.093*10.764</f>
        <v>44.057051999999999</v>
      </c>
      <c r="H97" s="32">
        <v>725</v>
      </c>
      <c r="I97" s="13">
        <v>4800</v>
      </c>
      <c r="J97" s="13">
        <f t="shared" si="12"/>
        <v>3480000</v>
      </c>
    </row>
    <row r="98" spans="1:10" x14ac:dyDescent="0.25">
      <c r="A98" s="13">
        <v>7</v>
      </c>
      <c r="B98" s="184"/>
      <c r="C98" s="35" t="s">
        <v>113</v>
      </c>
      <c r="D98" s="13">
        <v>107</v>
      </c>
      <c r="E98" s="13" t="s">
        <v>72</v>
      </c>
      <c r="F98" s="25">
        <f>(32.144+7.085)*10.764</f>
        <v>422.26095599999996</v>
      </c>
      <c r="G98" s="25">
        <f>4.093*10.764</f>
        <v>44.057051999999999</v>
      </c>
      <c r="H98" s="32">
        <v>735</v>
      </c>
      <c r="I98" s="13">
        <v>4800</v>
      </c>
      <c r="J98" s="13">
        <f t="shared" si="12"/>
        <v>3528000</v>
      </c>
    </row>
    <row r="99" spans="1:10" x14ac:dyDescent="0.25">
      <c r="A99" s="13">
        <v>8</v>
      </c>
      <c r="B99" s="184"/>
      <c r="C99" s="35" t="s">
        <v>113</v>
      </c>
      <c r="D99" s="13">
        <v>108</v>
      </c>
      <c r="E99" s="13" t="s">
        <v>72</v>
      </c>
      <c r="F99" s="25">
        <f>(31.468+6.89)*10.764</f>
        <v>412.88551199999995</v>
      </c>
      <c r="G99" s="25">
        <f>5.059*10.764</f>
        <v>54.455075999999998</v>
      </c>
      <c r="H99" s="32">
        <v>735</v>
      </c>
      <c r="I99" s="13">
        <v>4800</v>
      </c>
      <c r="J99" s="13">
        <f t="shared" si="12"/>
        <v>3528000</v>
      </c>
    </row>
    <row r="100" spans="1:10" x14ac:dyDescent="0.25">
      <c r="A100" s="13">
        <v>9</v>
      </c>
      <c r="B100" s="184"/>
      <c r="C100" s="35" t="s">
        <v>113</v>
      </c>
      <c r="D100" s="13">
        <v>109</v>
      </c>
      <c r="E100" s="13" t="s">
        <v>72</v>
      </c>
      <c r="F100" s="25">
        <f>(28.608+5.955)*10.764</f>
        <v>372.03613200000001</v>
      </c>
      <c r="G100" s="25">
        <f>3.983*10.764</f>
        <v>42.873011999999996</v>
      </c>
      <c r="H100" s="32">
        <v>645</v>
      </c>
      <c r="I100" s="13">
        <v>4800</v>
      </c>
      <c r="J100" s="13">
        <f t="shared" si="12"/>
        <v>3096000</v>
      </c>
    </row>
    <row r="101" spans="1:10" x14ac:dyDescent="0.25">
      <c r="A101" s="13">
        <v>10</v>
      </c>
      <c r="B101" s="185"/>
      <c r="C101" s="35" t="s">
        <v>113</v>
      </c>
      <c r="D101" s="13">
        <v>110</v>
      </c>
      <c r="E101" s="13" t="s">
        <v>72</v>
      </c>
      <c r="F101" s="25">
        <f>(28.608+2.9)*10.764</f>
        <v>339.15211199999999</v>
      </c>
      <c r="G101" s="25">
        <f>3.173*10.764</f>
        <v>34.154171999999996</v>
      </c>
      <c r="H101" s="32">
        <v>580</v>
      </c>
      <c r="I101" s="13">
        <v>4800</v>
      </c>
      <c r="J101" s="13">
        <f t="shared" si="12"/>
        <v>2784000</v>
      </c>
    </row>
    <row r="102" spans="1:10" x14ac:dyDescent="0.25">
      <c r="A102" s="13">
        <v>11</v>
      </c>
      <c r="B102" s="183" t="s">
        <v>84</v>
      </c>
      <c r="C102" s="35" t="s">
        <v>113</v>
      </c>
      <c r="D102" s="13">
        <f>D92+100</f>
        <v>201</v>
      </c>
      <c r="E102" s="13" t="s">
        <v>94</v>
      </c>
      <c r="F102" s="25">
        <f>(41.081+11.114)*10.764</f>
        <v>561.82698000000005</v>
      </c>
      <c r="G102" s="25">
        <v>0</v>
      </c>
      <c r="H102" s="32">
        <v>880</v>
      </c>
      <c r="I102" s="13">
        <v>4800</v>
      </c>
      <c r="J102" s="13">
        <f t="shared" si="12"/>
        <v>4224000</v>
      </c>
    </row>
    <row r="103" spans="1:10" x14ac:dyDescent="0.25">
      <c r="A103" s="13">
        <v>12</v>
      </c>
      <c r="B103" s="184"/>
      <c r="C103" s="35" t="s">
        <v>113</v>
      </c>
      <c r="D103" s="13">
        <f>D93+100</f>
        <v>202</v>
      </c>
      <c r="E103" s="13" t="s">
        <v>73</v>
      </c>
      <c r="F103" s="25">
        <f>(18.012+6.59)*10.764</f>
        <v>264.81592799999999</v>
      </c>
      <c r="G103" s="25">
        <v>0</v>
      </c>
      <c r="H103" s="32">
        <v>405</v>
      </c>
      <c r="I103" s="13">
        <v>4800</v>
      </c>
      <c r="J103" s="13">
        <f t="shared" si="12"/>
        <v>1944000</v>
      </c>
    </row>
    <row r="104" spans="1:10" x14ac:dyDescent="0.25">
      <c r="A104" s="13">
        <v>13</v>
      </c>
      <c r="B104" s="184"/>
      <c r="C104" s="35" t="s">
        <v>113</v>
      </c>
      <c r="D104" s="13">
        <f t="shared" ref="D104:D111" si="13">D94+100</f>
        <v>203</v>
      </c>
      <c r="E104" s="13" t="s">
        <v>72</v>
      </c>
      <c r="F104" s="25">
        <f>(29.805+7.205)*10.764</f>
        <v>398.37563999999998</v>
      </c>
      <c r="G104" s="25">
        <v>0</v>
      </c>
      <c r="H104" s="32">
        <v>625</v>
      </c>
      <c r="I104" s="13">
        <v>4800</v>
      </c>
      <c r="J104" s="13">
        <f t="shared" si="12"/>
        <v>3000000</v>
      </c>
    </row>
    <row r="105" spans="1:10" x14ac:dyDescent="0.25">
      <c r="A105" s="13">
        <v>14</v>
      </c>
      <c r="B105" s="184"/>
      <c r="C105" s="35" t="s">
        <v>113</v>
      </c>
      <c r="D105" s="13">
        <f t="shared" si="13"/>
        <v>204</v>
      </c>
      <c r="E105" s="13" t="s">
        <v>72</v>
      </c>
      <c r="F105" s="25">
        <f>(31.83)*10.764</f>
        <v>342.61811999999998</v>
      </c>
      <c r="G105" s="25">
        <v>0</v>
      </c>
      <c r="H105" s="32">
        <v>545</v>
      </c>
      <c r="I105" s="13">
        <v>4800</v>
      </c>
      <c r="J105" s="13">
        <f t="shared" si="12"/>
        <v>2616000</v>
      </c>
    </row>
    <row r="106" spans="1:10" x14ac:dyDescent="0.25">
      <c r="A106" s="13">
        <v>15</v>
      </c>
      <c r="B106" s="184"/>
      <c r="C106" s="35" t="s">
        <v>113</v>
      </c>
      <c r="D106" s="13">
        <f t="shared" si="13"/>
        <v>205</v>
      </c>
      <c r="E106" s="13" t="s">
        <v>72</v>
      </c>
      <c r="F106" s="25">
        <f>(32.089+6.728)*10.764</f>
        <v>417.826188</v>
      </c>
      <c r="G106" s="25">
        <v>0</v>
      </c>
      <c r="H106" s="32">
        <v>655</v>
      </c>
      <c r="I106" s="13">
        <v>4800</v>
      </c>
      <c r="J106" s="13">
        <f t="shared" si="12"/>
        <v>3144000</v>
      </c>
    </row>
    <row r="107" spans="1:10" x14ac:dyDescent="0.25">
      <c r="A107" s="13">
        <v>16</v>
      </c>
      <c r="B107" s="184"/>
      <c r="C107" s="35" t="s">
        <v>113</v>
      </c>
      <c r="D107" s="13">
        <f t="shared" si="13"/>
        <v>206</v>
      </c>
      <c r="E107" s="13" t="s">
        <v>72</v>
      </c>
      <c r="F107" s="25">
        <f>(31.884+6.728)*10.764</f>
        <v>415.61956800000002</v>
      </c>
      <c r="G107" s="25">
        <v>0</v>
      </c>
      <c r="H107" s="32">
        <v>655</v>
      </c>
      <c r="I107" s="13">
        <v>4800</v>
      </c>
      <c r="J107" s="13">
        <f t="shared" si="12"/>
        <v>3144000</v>
      </c>
    </row>
    <row r="108" spans="1:10" x14ac:dyDescent="0.25">
      <c r="A108" s="13">
        <v>17</v>
      </c>
      <c r="B108" s="184"/>
      <c r="C108" s="35" t="s">
        <v>113</v>
      </c>
      <c r="D108" s="13">
        <f t="shared" si="13"/>
        <v>207</v>
      </c>
      <c r="E108" s="13" t="s">
        <v>72</v>
      </c>
      <c r="F108" s="25">
        <f>(32.144+7.085)*10.764</f>
        <v>422.26095599999996</v>
      </c>
      <c r="G108" s="25">
        <v>0</v>
      </c>
      <c r="H108" s="32">
        <v>780</v>
      </c>
      <c r="I108" s="13">
        <v>4800</v>
      </c>
      <c r="J108" s="13">
        <f t="shared" si="12"/>
        <v>3744000</v>
      </c>
    </row>
    <row r="109" spans="1:10" x14ac:dyDescent="0.25">
      <c r="A109" s="13">
        <v>18</v>
      </c>
      <c r="B109" s="184"/>
      <c r="C109" s="35" t="s">
        <v>113</v>
      </c>
      <c r="D109" s="13">
        <f t="shared" si="13"/>
        <v>208</v>
      </c>
      <c r="E109" s="13" t="s">
        <v>72</v>
      </c>
      <c r="F109" s="25">
        <f>(31.468+6.89)*10.764</f>
        <v>412.88551199999995</v>
      </c>
      <c r="G109" s="25">
        <f>6.97*10.764</f>
        <v>75.025079999999988</v>
      </c>
      <c r="H109" s="32">
        <v>650</v>
      </c>
      <c r="I109" s="13">
        <v>4800</v>
      </c>
      <c r="J109" s="13">
        <f t="shared" si="12"/>
        <v>3120000</v>
      </c>
    </row>
    <row r="110" spans="1:10" x14ac:dyDescent="0.25">
      <c r="A110" s="13">
        <v>19</v>
      </c>
      <c r="B110" s="184"/>
      <c r="C110" s="35" t="s">
        <v>113</v>
      </c>
      <c r="D110" s="13">
        <f t="shared" si="13"/>
        <v>209</v>
      </c>
      <c r="E110" s="13" t="s">
        <v>72</v>
      </c>
      <c r="F110" s="25">
        <f>(28.608+5.955)*10.764</f>
        <v>372.03613200000001</v>
      </c>
      <c r="G110" s="25">
        <f>2.625*10.764</f>
        <v>28.255499999999998</v>
      </c>
      <c r="H110" s="32">
        <v>580</v>
      </c>
      <c r="I110" s="13">
        <v>4800</v>
      </c>
      <c r="J110" s="13">
        <f t="shared" si="12"/>
        <v>2784000</v>
      </c>
    </row>
    <row r="111" spans="1:10" x14ac:dyDescent="0.25">
      <c r="A111" s="13">
        <v>20</v>
      </c>
      <c r="B111" s="185"/>
      <c r="C111" s="35" t="s">
        <v>113</v>
      </c>
      <c r="D111" s="13">
        <f t="shared" si="13"/>
        <v>210</v>
      </c>
      <c r="E111" s="13" t="s">
        <v>72</v>
      </c>
      <c r="F111" s="25">
        <f>(28.608+2.9)*10.764</f>
        <v>339.15211199999999</v>
      </c>
      <c r="G111" s="25">
        <f>2.625*10.764</f>
        <v>28.255499999999998</v>
      </c>
      <c r="H111" s="32">
        <v>525</v>
      </c>
      <c r="I111" s="13">
        <v>4800</v>
      </c>
      <c r="J111" s="13">
        <f t="shared" si="12"/>
        <v>2520000</v>
      </c>
    </row>
    <row r="112" spans="1:10" x14ac:dyDescent="0.25">
      <c r="A112" s="13">
        <v>21</v>
      </c>
      <c r="B112" s="183" t="s">
        <v>85</v>
      </c>
      <c r="C112" s="35" t="s">
        <v>113</v>
      </c>
      <c r="D112" s="13">
        <f>D102+100</f>
        <v>301</v>
      </c>
      <c r="E112" s="13" t="s">
        <v>94</v>
      </c>
      <c r="F112" s="25">
        <f>(41.081+11.114)*10.764</f>
        <v>561.82698000000005</v>
      </c>
      <c r="G112" s="25">
        <f>5.896*10.764</f>
        <v>63.464543999999997</v>
      </c>
      <c r="H112" s="32">
        <v>980</v>
      </c>
      <c r="I112" s="13">
        <v>4800</v>
      </c>
      <c r="J112" s="13">
        <f t="shared" si="12"/>
        <v>4704000</v>
      </c>
    </row>
    <row r="113" spans="1:10" x14ac:dyDescent="0.25">
      <c r="A113" s="13">
        <v>22</v>
      </c>
      <c r="B113" s="184"/>
      <c r="C113" s="35" t="s">
        <v>113</v>
      </c>
      <c r="D113" s="13">
        <f>D103+100</f>
        <v>302</v>
      </c>
      <c r="E113" s="13" t="s">
        <v>73</v>
      </c>
      <c r="F113" s="25">
        <f>(18.012+6.59)*10.764</f>
        <v>264.81592799999999</v>
      </c>
      <c r="G113" s="25">
        <v>0</v>
      </c>
      <c r="H113" s="32">
        <v>405</v>
      </c>
      <c r="I113" s="13">
        <v>4800</v>
      </c>
      <c r="J113" s="13">
        <f t="shared" si="12"/>
        <v>1944000</v>
      </c>
    </row>
    <row r="114" spans="1:10" x14ac:dyDescent="0.25">
      <c r="A114" s="13">
        <v>23</v>
      </c>
      <c r="B114" s="184"/>
      <c r="C114" s="35" t="s">
        <v>113</v>
      </c>
      <c r="D114" s="13">
        <f t="shared" ref="D114:D121" si="14">D104+100</f>
        <v>303</v>
      </c>
      <c r="E114" s="13" t="s">
        <v>72</v>
      </c>
      <c r="F114" s="25">
        <f>(29.805+7.205)*10.764</f>
        <v>398.37563999999998</v>
      </c>
      <c r="G114" s="25">
        <f>5.7*10.764</f>
        <v>61.354799999999997</v>
      </c>
      <c r="H114" s="32">
        <v>720</v>
      </c>
      <c r="I114" s="13">
        <v>4800</v>
      </c>
      <c r="J114" s="13">
        <f t="shared" si="12"/>
        <v>3456000</v>
      </c>
    </row>
    <row r="115" spans="1:10" x14ac:dyDescent="0.25">
      <c r="A115" s="13">
        <v>24</v>
      </c>
      <c r="B115" s="184"/>
      <c r="C115" s="35" t="s">
        <v>113</v>
      </c>
      <c r="D115" s="13">
        <f t="shared" si="14"/>
        <v>304</v>
      </c>
      <c r="E115" s="13" t="s">
        <v>72</v>
      </c>
      <c r="F115" s="25">
        <f>(31.83)*10.764</f>
        <v>342.61811999999998</v>
      </c>
      <c r="G115" s="25">
        <f>6.383*10.764</f>
        <v>68.706611999999993</v>
      </c>
      <c r="H115" s="32">
        <v>650</v>
      </c>
      <c r="I115" s="13">
        <v>4800</v>
      </c>
      <c r="J115" s="13">
        <f t="shared" si="12"/>
        <v>3120000</v>
      </c>
    </row>
    <row r="116" spans="1:10" x14ac:dyDescent="0.25">
      <c r="A116" s="13">
        <v>25</v>
      </c>
      <c r="B116" s="184"/>
      <c r="C116" s="35" t="s">
        <v>113</v>
      </c>
      <c r="D116" s="13">
        <f t="shared" si="14"/>
        <v>305</v>
      </c>
      <c r="E116" s="13" t="s">
        <v>72</v>
      </c>
      <c r="F116" s="25">
        <f>(32.089+6.728)*10.764</f>
        <v>417.826188</v>
      </c>
      <c r="G116" s="25">
        <f>6.383*10.764</f>
        <v>68.706611999999993</v>
      </c>
      <c r="H116" s="32">
        <v>765</v>
      </c>
      <c r="I116" s="13">
        <v>4800</v>
      </c>
      <c r="J116" s="13">
        <f t="shared" si="12"/>
        <v>3672000</v>
      </c>
    </row>
    <row r="117" spans="1:10" x14ac:dyDescent="0.25">
      <c r="A117" s="13">
        <v>26</v>
      </c>
      <c r="B117" s="184"/>
      <c r="C117" s="35" t="s">
        <v>113</v>
      </c>
      <c r="D117" s="13">
        <f t="shared" si="14"/>
        <v>306</v>
      </c>
      <c r="E117" s="13" t="s">
        <v>72</v>
      </c>
      <c r="F117" s="25">
        <f>(31.884+6.728)*10.764</f>
        <v>415.61956800000002</v>
      </c>
      <c r="G117" s="25">
        <f>4.093*10.764</f>
        <v>44.057051999999999</v>
      </c>
      <c r="H117" s="32">
        <v>725</v>
      </c>
      <c r="I117" s="13">
        <v>4800</v>
      </c>
      <c r="J117" s="13">
        <f t="shared" si="12"/>
        <v>3480000</v>
      </c>
    </row>
    <row r="118" spans="1:10" x14ac:dyDescent="0.25">
      <c r="A118" s="13">
        <v>27</v>
      </c>
      <c r="B118" s="184"/>
      <c r="C118" s="35" t="s">
        <v>113</v>
      </c>
      <c r="D118" s="13">
        <f t="shared" si="14"/>
        <v>307</v>
      </c>
      <c r="E118" s="13" t="s">
        <v>72</v>
      </c>
      <c r="F118" s="25">
        <f>(32.144+7.085)*10.764</f>
        <v>422.26095599999996</v>
      </c>
      <c r="G118" s="25">
        <f>4.093*10.764</f>
        <v>44.057051999999999</v>
      </c>
      <c r="H118" s="32">
        <v>735</v>
      </c>
      <c r="I118" s="13">
        <v>4800</v>
      </c>
      <c r="J118" s="13">
        <f t="shared" si="12"/>
        <v>3528000</v>
      </c>
    </row>
    <row r="119" spans="1:10" x14ac:dyDescent="0.25">
      <c r="A119" s="13">
        <v>28</v>
      </c>
      <c r="B119" s="184"/>
      <c r="C119" s="35" t="s">
        <v>113</v>
      </c>
      <c r="D119" s="13">
        <f t="shared" si="14"/>
        <v>308</v>
      </c>
      <c r="E119" s="13" t="s">
        <v>72</v>
      </c>
      <c r="F119" s="25">
        <f>(31.468+6.89)*10.764</f>
        <v>412.88551199999995</v>
      </c>
      <c r="G119" s="25">
        <f>5.059*10.764</f>
        <v>54.455075999999998</v>
      </c>
      <c r="H119" s="32">
        <v>735</v>
      </c>
      <c r="I119" s="13">
        <v>4800</v>
      </c>
      <c r="J119" s="13">
        <f t="shared" si="12"/>
        <v>3528000</v>
      </c>
    </row>
    <row r="120" spans="1:10" x14ac:dyDescent="0.25">
      <c r="A120" s="13">
        <v>29</v>
      </c>
      <c r="B120" s="184"/>
      <c r="C120" s="35" t="s">
        <v>113</v>
      </c>
      <c r="D120" s="13">
        <f t="shared" si="14"/>
        <v>309</v>
      </c>
      <c r="E120" s="13" t="s">
        <v>72</v>
      </c>
      <c r="F120" s="25">
        <f>(28.608+5.955)*10.764</f>
        <v>372.03613200000001</v>
      </c>
      <c r="G120" s="25">
        <f>3.983*10.764</f>
        <v>42.873011999999996</v>
      </c>
      <c r="H120" s="32">
        <v>645</v>
      </c>
      <c r="I120" s="13">
        <v>4800</v>
      </c>
      <c r="J120" s="13">
        <f t="shared" si="12"/>
        <v>3096000</v>
      </c>
    </row>
    <row r="121" spans="1:10" x14ac:dyDescent="0.25">
      <c r="A121" s="13">
        <v>30</v>
      </c>
      <c r="B121" s="185"/>
      <c r="C121" s="35" t="s">
        <v>113</v>
      </c>
      <c r="D121" s="13">
        <f t="shared" si="14"/>
        <v>310</v>
      </c>
      <c r="E121" s="13" t="s">
        <v>72</v>
      </c>
      <c r="F121" s="25">
        <f>(28.608+2.9)*10.764</f>
        <v>339.15211199999999</v>
      </c>
      <c r="G121" s="25">
        <f>3.173*10.764</f>
        <v>34.154171999999996</v>
      </c>
      <c r="H121" s="32">
        <v>580</v>
      </c>
      <c r="I121" s="13">
        <v>4800</v>
      </c>
      <c r="J121" s="13">
        <f t="shared" si="12"/>
        <v>2784000</v>
      </c>
    </row>
    <row r="122" spans="1:10" x14ac:dyDescent="0.25">
      <c r="A122" s="13">
        <v>31</v>
      </c>
      <c r="B122" s="183" t="s">
        <v>86</v>
      </c>
      <c r="C122" s="35" t="s">
        <v>113</v>
      </c>
      <c r="D122" s="13">
        <f>D112+100</f>
        <v>401</v>
      </c>
      <c r="E122" s="13" t="s">
        <v>94</v>
      </c>
      <c r="F122" s="25">
        <f>(41.081+11.114)*10.764</f>
        <v>561.82698000000005</v>
      </c>
      <c r="G122" s="25">
        <v>0</v>
      </c>
      <c r="H122" s="32">
        <v>880</v>
      </c>
      <c r="I122" s="13">
        <v>4800</v>
      </c>
      <c r="J122" s="13">
        <f t="shared" si="12"/>
        <v>4224000</v>
      </c>
    </row>
    <row r="123" spans="1:10" x14ac:dyDescent="0.25">
      <c r="A123" s="13">
        <v>32</v>
      </c>
      <c r="B123" s="184"/>
      <c r="C123" s="35" t="s">
        <v>113</v>
      </c>
      <c r="D123" s="13">
        <f>D113+100</f>
        <v>402</v>
      </c>
      <c r="E123" s="13" t="s">
        <v>73</v>
      </c>
      <c r="F123" s="25">
        <f>(18.012+6.59)*10.764</f>
        <v>264.81592799999999</v>
      </c>
      <c r="G123" s="25">
        <v>0</v>
      </c>
      <c r="H123" s="32">
        <v>405</v>
      </c>
      <c r="I123" s="13">
        <v>4800</v>
      </c>
      <c r="J123" s="13">
        <f t="shared" si="12"/>
        <v>1944000</v>
      </c>
    </row>
    <row r="124" spans="1:10" x14ac:dyDescent="0.25">
      <c r="A124" s="13">
        <v>33</v>
      </c>
      <c r="B124" s="184"/>
      <c r="C124" s="35" t="s">
        <v>113</v>
      </c>
      <c r="D124" s="13">
        <f t="shared" ref="D124:D131" si="15">D114+100</f>
        <v>403</v>
      </c>
      <c r="E124" s="13" t="s">
        <v>72</v>
      </c>
      <c r="F124" s="25">
        <f>(29.805+7.205)*10.764</f>
        <v>398.37563999999998</v>
      </c>
      <c r="G124" s="25">
        <v>0</v>
      </c>
      <c r="H124" s="32">
        <v>625</v>
      </c>
      <c r="I124" s="13">
        <v>4800</v>
      </c>
      <c r="J124" s="13">
        <f t="shared" si="12"/>
        <v>3000000</v>
      </c>
    </row>
    <row r="125" spans="1:10" x14ac:dyDescent="0.25">
      <c r="A125" s="13">
        <v>34</v>
      </c>
      <c r="B125" s="184"/>
      <c r="C125" s="35" t="s">
        <v>113</v>
      </c>
      <c r="D125" s="13">
        <f t="shared" si="15"/>
        <v>404</v>
      </c>
      <c r="E125" s="13" t="s">
        <v>72</v>
      </c>
      <c r="F125" s="25">
        <f>(31.83)*10.764</f>
        <v>342.61811999999998</v>
      </c>
      <c r="G125" s="25">
        <v>0</v>
      </c>
      <c r="H125" s="32">
        <v>545</v>
      </c>
      <c r="I125" s="13">
        <v>4800</v>
      </c>
      <c r="J125" s="13">
        <f t="shared" si="12"/>
        <v>2616000</v>
      </c>
    </row>
    <row r="126" spans="1:10" x14ac:dyDescent="0.25">
      <c r="A126" s="13">
        <v>35</v>
      </c>
      <c r="B126" s="184"/>
      <c r="C126" s="35" t="s">
        <v>113</v>
      </c>
      <c r="D126" s="13">
        <f t="shared" si="15"/>
        <v>405</v>
      </c>
      <c r="E126" s="13" t="s">
        <v>72</v>
      </c>
      <c r="F126" s="25">
        <f>(32.089+6.728)*10.764</f>
        <v>417.826188</v>
      </c>
      <c r="G126" s="25">
        <v>0</v>
      </c>
      <c r="H126" s="32">
        <v>655</v>
      </c>
      <c r="I126" s="13">
        <v>4800</v>
      </c>
      <c r="J126" s="13">
        <f t="shared" si="12"/>
        <v>3144000</v>
      </c>
    </row>
    <row r="127" spans="1:10" x14ac:dyDescent="0.25">
      <c r="A127" s="13">
        <v>36</v>
      </c>
      <c r="B127" s="184"/>
      <c r="C127" s="35" t="s">
        <v>113</v>
      </c>
      <c r="D127" s="13">
        <f t="shared" si="15"/>
        <v>406</v>
      </c>
      <c r="E127" s="13" t="s">
        <v>72</v>
      </c>
      <c r="F127" s="25">
        <f>(31.884+6.728)*10.764</f>
        <v>415.61956800000002</v>
      </c>
      <c r="G127" s="25">
        <v>0</v>
      </c>
      <c r="H127" s="32">
        <v>655</v>
      </c>
      <c r="I127" s="13">
        <v>4800</v>
      </c>
      <c r="J127" s="13">
        <f t="shared" si="12"/>
        <v>3144000</v>
      </c>
    </row>
    <row r="128" spans="1:10" x14ac:dyDescent="0.25">
      <c r="A128" s="13">
        <v>37</v>
      </c>
      <c r="B128" s="184"/>
      <c r="C128" s="35" t="s">
        <v>113</v>
      </c>
      <c r="D128" s="13">
        <f t="shared" si="15"/>
        <v>407</v>
      </c>
      <c r="E128" s="13" t="s">
        <v>72</v>
      </c>
      <c r="F128" s="25">
        <f>(32.144+7.085)*10.764</f>
        <v>422.26095599999996</v>
      </c>
      <c r="G128" s="25">
        <v>0</v>
      </c>
      <c r="H128" s="32">
        <v>780</v>
      </c>
      <c r="I128" s="13">
        <v>4800</v>
      </c>
      <c r="J128" s="13">
        <f t="shared" si="12"/>
        <v>3744000</v>
      </c>
    </row>
    <row r="129" spans="1:10" x14ac:dyDescent="0.25">
      <c r="A129" s="13">
        <v>38</v>
      </c>
      <c r="B129" s="184"/>
      <c r="C129" s="35" t="s">
        <v>113</v>
      </c>
      <c r="D129" s="13">
        <f t="shared" si="15"/>
        <v>408</v>
      </c>
      <c r="E129" s="13" t="s">
        <v>72</v>
      </c>
      <c r="F129" s="25">
        <f>(31.468+6.89)*10.764</f>
        <v>412.88551199999995</v>
      </c>
      <c r="G129" s="25">
        <f>6.97*10.764</f>
        <v>75.025079999999988</v>
      </c>
      <c r="H129" s="32">
        <v>650</v>
      </c>
      <c r="I129" s="13">
        <v>4800</v>
      </c>
      <c r="J129" s="13">
        <f t="shared" si="12"/>
        <v>3120000</v>
      </c>
    </row>
    <row r="130" spans="1:10" x14ac:dyDescent="0.25">
      <c r="A130" s="13">
        <v>39</v>
      </c>
      <c r="B130" s="184"/>
      <c r="C130" s="35" t="s">
        <v>113</v>
      </c>
      <c r="D130" s="13">
        <f t="shared" si="15"/>
        <v>409</v>
      </c>
      <c r="E130" s="13" t="s">
        <v>72</v>
      </c>
      <c r="F130" s="25">
        <f>(28.608+5.955)*10.764</f>
        <v>372.03613200000001</v>
      </c>
      <c r="G130" s="25">
        <f>2.625*10.764</f>
        <v>28.255499999999998</v>
      </c>
      <c r="H130" s="32">
        <v>580</v>
      </c>
      <c r="I130" s="13">
        <v>4800</v>
      </c>
      <c r="J130" s="13">
        <f t="shared" si="12"/>
        <v>2784000</v>
      </c>
    </row>
    <row r="131" spans="1:10" x14ac:dyDescent="0.25">
      <c r="A131" s="13">
        <v>40</v>
      </c>
      <c r="B131" s="185"/>
      <c r="C131" s="35" t="s">
        <v>113</v>
      </c>
      <c r="D131" s="13">
        <f t="shared" si="15"/>
        <v>410</v>
      </c>
      <c r="E131" s="13" t="s">
        <v>72</v>
      </c>
      <c r="F131" s="25">
        <f>(28.608+2.9)*10.764</f>
        <v>339.15211199999999</v>
      </c>
      <c r="G131" s="25">
        <f>2.625*10.764</f>
        <v>28.255499999999998</v>
      </c>
      <c r="H131" s="32">
        <v>525</v>
      </c>
      <c r="I131" s="13">
        <v>4800</v>
      </c>
      <c r="J131" s="13">
        <f t="shared" si="12"/>
        <v>2520000</v>
      </c>
    </row>
    <row r="132" spans="1:10" x14ac:dyDescent="0.25">
      <c r="A132" s="13">
        <v>41</v>
      </c>
      <c r="B132" s="183" t="s">
        <v>87</v>
      </c>
      <c r="C132" s="35" t="s">
        <v>113</v>
      </c>
      <c r="D132" s="13">
        <f>D122+100</f>
        <v>501</v>
      </c>
      <c r="E132" s="13" t="s">
        <v>94</v>
      </c>
      <c r="F132" s="25">
        <f>(41.081+11.114)*10.764</f>
        <v>561.82698000000005</v>
      </c>
      <c r="G132" s="25">
        <f>5.896*10.764</f>
        <v>63.464543999999997</v>
      </c>
      <c r="H132" s="32">
        <v>980</v>
      </c>
      <c r="I132" s="13">
        <v>4800</v>
      </c>
      <c r="J132" s="13">
        <f t="shared" si="12"/>
        <v>4704000</v>
      </c>
    </row>
    <row r="133" spans="1:10" x14ac:dyDescent="0.25">
      <c r="A133" s="13">
        <v>42</v>
      </c>
      <c r="B133" s="184"/>
      <c r="C133" s="35" t="s">
        <v>113</v>
      </c>
      <c r="D133" s="13">
        <f>D123+100</f>
        <v>502</v>
      </c>
      <c r="E133" s="13" t="s">
        <v>73</v>
      </c>
      <c r="F133" s="25">
        <f>(18.012+6.59)*10.764</f>
        <v>264.81592799999999</v>
      </c>
      <c r="G133" s="25">
        <v>0</v>
      </c>
      <c r="H133" s="32">
        <v>405</v>
      </c>
      <c r="I133" s="13">
        <v>4800</v>
      </c>
      <c r="J133" s="13">
        <f t="shared" si="12"/>
        <v>1944000</v>
      </c>
    </row>
    <row r="134" spans="1:10" x14ac:dyDescent="0.25">
      <c r="A134" s="13">
        <v>43</v>
      </c>
      <c r="B134" s="184"/>
      <c r="C134" s="35" t="s">
        <v>113</v>
      </c>
      <c r="D134" s="13">
        <f t="shared" ref="D134:D141" si="16">D124+100</f>
        <v>503</v>
      </c>
      <c r="E134" s="13" t="s">
        <v>72</v>
      </c>
      <c r="F134" s="25">
        <f>(29.805+7.205)*10.764</f>
        <v>398.37563999999998</v>
      </c>
      <c r="G134" s="25">
        <f>5.7*10.764</f>
        <v>61.354799999999997</v>
      </c>
      <c r="H134" s="32">
        <v>720</v>
      </c>
      <c r="I134" s="13">
        <v>4800</v>
      </c>
      <c r="J134" s="13">
        <f t="shared" si="12"/>
        <v>3456000</v>
      </c>
    </row>
    <row r="135" spans="1:10" x14ac:dyDescent="0.25">
      <c r="A135" s="13">
        <v>44</v>
      </c>
      <c r="B135" s="184"/>
      <c r="C135" s="35" t="s">
        <v>113</v>
      </c>
      <c r="D135" s="13">
        <f t="shared" si="16"/>
        <v>504</v>
      </c>
      <c r="E135" s="13" t="s">
        <v>72</v>
      </c>
      <c r="F135" s="25">
        <f>(31.83)*10.764</f>
        <v>342.61811999999998</v>
      </c>
      <c r="G135" s="25">
        <f>6.383*10.764</f>
        <v>68.706611999999993</v>
      </c>
      <c r="H135" s="32">
        <v>650</v>
      </c>
      <c r="I135" s="13">
        <v>4800</v>
      </c>
      <c r="J135" s="13">
        <f t="shared" si="12"/>
        <v>3120000</v>
      </c>
    </row>
    <row r="136" spans="1:10" x14ac:dyDescent="0.25">
      <c r="A136" s="13">
        <v>45</v>
      </c>
      <c r="B136" s="184"/>
      <c r="C136" s="35" t="s">
        <v>113</v>
      </c>
      <c r="D136" s="13">
        <f t="shared" si="16"/>
        <v>505</v>
      </c>
      <c r="E136" s="13" t="s">
        <v>72</v>
      </c>
      <c r="F136" s="25">
        <f>(32.089+6.728)*10.764</f>
        <v>417.826188</v>
      </c>
      <c r="G136" s="25">
        <f>6.383*10.764</f>
        <v>68.706611999999993</v>
      </c>
      <c r="H136" s="32">
        <v>765</v>
      </c>
      <c r="I136" s="13">
        <v>4800</v>
      </c>
      <c r="J136" s="13">
        <f t="shared" si="12"/>
        <v>3672000</v>
      </c>
    </row>
    <row r="137" spans="1:10" x14ac:dyDescent="0.25">
      <c r="A137" s="13">
        <v>46</v>
      </c>
      <c r="B137" s="184"/>
      <c r="C137" s="35" t="s">
        <v>113</v>
      </c>
      <c r="D137" s="13">
        <f t="shared" si="16"/>
        <v>506</v>
      </c>
      <c r="E137" s="13" t="s">
        <v>72</v>
      </c>
      <c r="F137" s="25">
        <f>(31.884+6.728)*10.764</f>
        <v>415.61956800000002</v>
      </c>
      <c r="G137" s="25">
        <f>4.093*10.764</f>
        <v>44.057051999999999</v>
      </c>
      <c r="H137" s="32">
        <v>725</v>
      </c>
      <c r="I137" s="13">
        <v>4800</v>
      </c>
      <c r="J137" s="13">
        <f t="shared" si="12"/>
        <v>3480000</v>
      </c>
    </row>
    <row r="138" spans="1:10" x14ac:dyDescent="0.25">
      <c r="A138" s="13">
        <v>47</v>
      </c>
      <c r="B138" s="184"/>
      <c r="C138" s="35" t="s">
        <v>113</v>
      </c>
      <c r="D138" s="13">
        <f t="shared" si="16"/>
        <v>507</v>
      </c>
      <c r="E138" s="13" t="s">
        <v>72</v>
      </c>
      <c r="F138" s="25">
        <f>(32.144+7.085)*10.764</f>
        <v>422.26095599999996</v>
      </c>
      <c r="G138" s="25">
        <f>4.093*10.764</f>
        <v>44.057051999999999</v>
      </c>
      <c r="H138" s="32">
        <v>735</v>
      </c>
      <c r="I138" s="13">
        <v>4800</v>
      </c>
      <c r="J138" s="13">
        <f t="shared" si="12"/>
        <v>3528000</v>
      </c>
    </row>
    <row r="139" spans="1:10" x14ac:dyDescent="0.25">
      <c r="A139" s="13">
        <v>48</v>
      </c>
      <c r="B139" s="184"/>
      <c r="C139" s="35" t="s">
        <v>113</v>
      </c>
      <c r="D139" s="13">
        <f t="shared" si="16"/>
        <v>508</v>
      </c>
      <c r="E139" s="13" t="s">
        <v>72</v>
      </c>
      <c r="F139" s="25">
        <f>(31.468+6.89)*10.764</f>
        <v>412.88551199999995</v>
      </c>
      <c r="G139" s="25">
        <f>5.059*10.764</f>
        <v>54.455075999999998</v>
      </c>
      <c r="H139" s="32">
        <v>735</v>
      </c>
      <c r="I139" s="13">
        <v>4800</v>
      </c>
      <c r="J139" s="13">
        <f t="shared" si="12"/>
        <v>3528000</v>
      </c>
    </row>
    <row r="140" spans="1:10" x14ac:dyDescent="0.25">
      <c r="A140" s="13">
        <v>49</v>
      </c>
      <c r="B140" s="184"/>
      <c r="C140" s="35" t="s">
        <v>113</v>
      </c>
      <c r="D140" s="13">
        <f t="shared" si="16"/>
        <v>509</v>
      </c>
      <c r="E140" s="13" t="s">
        <v>72</v>
      </c>
      <c r="F140" s="25">
        <f>(28.608+5.955)*10.764</f>
        <v>372.03613200000001</v>
      </c>
      <c r="G140" s="25">
        <f>3.983*10.764</f>
        <v>42.873011999999996</v>
      </c>
      <c r="H140" s="32">
        <v>645</v>
      </c>
      <c r="I140" s="13">
        <v>4800</v>
      </c>
      <c r="J140" s="13">
        <f t="shared" si="12"/>
        <v>3096000</v>
      </c>
    </row>
    <row r="141" spans="1:10" x14ac:dyDescent="0.25">
      <c r="A141" s="13">
        <v>50</v>
      </c>
      <c r="B141" s="185"/>
      <c r="C141" s="35" t="s">
        <v>113</v>
      </c>
      <c r="D141" s="13">
        <f t="shared" si="16"/>
        <v>510</v>
      </c>
      <c r="E141" s="13" t="s">
        <v>72</v>
      </c>
      <c r="F141" s="25">
        <f>(28.608+2.9)*10.764</f>
        <v>339.15211199999999</v>
      </c>
      <c r="G141" s="25">
        <f>3.173*10.764</f>
        <v>34.154171999999996</v>
      </c>
      <c r="H141" s="32">
        <v>580</v>
      </c>
      <c r="I141" s="13">
        <v>4800</v>
      </c>
      <c r="J141" s="13">
        <f t="shared" si="12"/>
        <v>2784000</v>
      </c>
    </row>
    <row r="142" spans="1:10" x14ac:dyDescent="0.25">
      <c r="A142" s="13">
        <v>51</v>
      </c>
      <c r="B142" s="183" t="s">
        <v>88</v>
      </c>
      <c r="C142" s="35" t="s">
        <v>113</v>
      </c>
      <c r="D142" s="13">
        <f>D132+100</f>
        <v>601</v>
      </c>
      <c r="E142" s="13" t="s">
        <v>94</v>
      </c>
      <c r="F142" s="25">
        <f>(41.081+11.114)*10.764</f>
        <v>561.82698000000005</v>
      </c>
      <c r="G142" s="25">
        <v>0</v>
      </c>
      <c r="H142" s="32">
        <v>880</v>
      </c>
      <c r="I142" s="13">
        <v>4800</v>
      </c>
      <c r="J142" s="13">
        <f t="shared" si="12"/>
        <v>4224000</v>
      </c>
    </row>
    <row r="143" spans="1:10" x14ac:dyDescent="0.25">
      <c r="A143" s="13">
        <v>52</v>
      </c>
      <c r="B143" s="184"/>
      <c r="C143" s="35" t="s">
        <v>113</v>
      </c>
      <c r="D143" s="13">
        <f>D133+100</f>
        <v>602</v>
      </c>
      <c r="E143" s="13" t="s">
        <v>73</v>
      </c>
      <c r="F143" s="25">
        <f>(18.012+6.59)*10.764</f>
        <v>264.81592799999999</v>
      </c>
      <c r="G143" s="25">
        <v>0</v>
      </c>
      <c r="H143" s="32">
        <v>405</v>
      </c>
      <c r="I143" s="13">
        <v>4800</v>
      </c>
      <c r="J143" s="13">
        <f t="shared" si="12"/>
        <v>1944000</v>
      </c>
    </row>
    <row r="144" spans="1:10" x14ac:dyDescent="0.25">
      <c r="A144" s="13">
        <v>53</v>
      </c>
      <c r="B144" s="184"/>
      <c r="C144" s="35" t="s">
        <v>113</v>
      </c>
      <c r="D144" s="13">
        <f t="shared" ref="D144:D151" si="17">D134+100</f>
        <v>603</v>
      </c>
      <c r="E144" s="13" t="s">
        <v>72</v>
      </c>
      <c r="F144" s="25">
        <f>(29.805+7.205)*10.764</f>
        <v>398.37563999999998</v>
      </c>
      <c r="G144" s="25">
        <v>0</v>
      </c>
      <c r="H144" s="32">
        <v>625</v>
      </c>
      <c r="I144" s="13">
        <v>4800</v>
      </c>
      <c r="J144" s="13">
        <f t="shared" si="12"/>
        <v>3000000</v>
      </c>
    </row>
    <row r="145" spans="1:10" x14ac:dyDescent="0.25">
      <c r="A145" s="13">
        <v>54</v>
      </c>
      <c r="B145" s="184"/>
      <c r="C145" s="35" t="s">
        <v>113</v>
      </c>
      <c r="D145" s="13">
        <f t="shared" si="17"/>
        <v>604</v>
      </c>
      <c r="E145" s="13" t="s">
        <v>72</v>
      </c>
      <c r="F145" s="25">
        <f>(31.83)*10.764</f>
        <v>342.61811999999998</v>
      </c>
      <c r="G145" s="25">
        <v>0</v>
      </c>
      <c r="H145" s="32">
        <v>545</v>
      </c>
      <c r="I145" s="13">
        <v>4800</v>
      </c>
      <c r="J145" s="13">
        <f t="shared" si="12"/>
        <v>2616000</v>
      </c>
    </row>
    <row r="146" spans="1:10" x14ac:dyDescent="0.25">
      <c r="A146" s="13">
        <v>55</v>
      </c>
      <c r="B146" s="184"/>
      <c r="C146" s="35" t="s">
        <v>113</v>
      </c>
      <c r="D146" s="13">
        <f t="shared" si="17"/>
        <v>605</v>
      </c>
      <c r="E146" s="13" t="s">
        <v>72</v>
      </c>
      <c r="F146" s="25">
        <f>(32.089+6.728)*10.764</f>
        <v>417.826188</v>
      </c>
      <c r="G146" s="25">
        <v>0</v>
      </c>
      <c r="H146" s="32">
        <v>655</v>
      </c>
      <c r="I146" s="13">
        <v>4800</v>
      </c>
      <c r="J146" s="13">
        <f t="shared" si="12"/>
        <v>3144000</v>
      </c>
    </row>
    <row r="147" spans="1:10" x14ac:dyDescent="0.25">
      <c r="A147" s="13">
        <v>56</v>
      </c>
      <c r="B147" s="184"/>
      <c r="C147" s="35" t="s">
        <v>113</v>
      </c>
      <c r="D147" s="13">
        <f t="shared" si="17"/>
        <v>606</v>
      </c>
      <c r="E147" s="13" t="s">
        <v>72</v>
      </c>
      <c r="F147" s="25">
        <f>(31.884+6.728)*10.764</f>
        <v>415.61956800000002</v>
      </c>
      <c r="G147" s="25">
        <v>0</v>
      </c>
      <c r="H147" s="32">
        <v>655</v>
      </c>
      <c r="I147" s="13">
        <v>4800</v>
      </c>
      <c r="J147" s="13">
        <f t="shared" si="12"/>
        <v>3144000</v>
      </c>
    </row>
    <row r="148" spans="1:10" x14ac:dyDescent="0.25">
      <c r="A148" s="13">
        <v>57</v>
      </c>
      <c r="B148" s="184"/>
      <c r="C148" s="35" t="s">
        <v>113</v>
      </c>
      <c r="D148" s="13">
        <f t="shared" si="17"/>
        <v>607</v>
      </c>
      <c r="E148" s="13" t="s">
        <v>72</v>
      </c>
      <c r="F148" s="25">
        <f>(32.144+7.085)*10.764</f>
        <v>422.26095599999996</v>
      </c>
      <c r="G148" s="25">
        <v>0</v>
      </c>
      <c r="H148" s="32">
        <v>780</v>
      </c>
      <c r="I148" s="13">
        <v>4800</v>
      </c>
      <c r="J148" s="13">
        <f t="shared" si="12"/>
        <v>3744000</v>
      </c>
    </row>
    <row r="149" spans="1:10" x14ac:dyDescent="0.25">
      <c r="A149" s="13">
        <v>58</v>
      </c>
      <c r="B149" s="184"/>
      <c r="C149" s="35" t="s">
        <v>113</v>
      </c>
      <c r="D149" s="13">
        <f t="shared" si="17"/>
        <v>608</v>
      </c>
      <c r="E149" s="13" t="s">
        <v>72</v>
      </c>
      <c r="F149" s="25">
        <f>(31.468+6.89)*10.764</f>
        <v>412.88551199999995</v>
      </c>
      <c r="G149" s="25">
        <f>6.97*10.764</f>
        <v>75.025079999999988</v>
      </c>
      <c r="H149" s="32">
        <v>650</v>
      </c>
      <c r="I149" s="13">
        <v>4800</v>
      </c>
      <c r="J149" s="13">
        <f t="shared" si="12"/>
        <v>3120000</v>
      </c>
    </row>
    <row r="150" spans="1:10" x14ac:dyDescent="0.25">
      <c r="A150" s="13">
        <v>59</v>
      </c>
      <c r="B150" s="184"/>
      <c r="C150" s="35" t="s">
        <v>113</v>
      </c>
      <c r="D150" s="13">
        <f t="shared" si="17"/>
        <v>609</v>
      </c>
      <c r="E150" s="13" t="s">
        <v>72</v>
      </c>
      <c r="F150" s="25">
        <f>(28.608+5.955)*10.764</f>
        <v>372.03613200000001</v>
      </c>
      <c r="G150" s="25">
        <f>2.625*10.764</f>
        <v>28.255499999999998</v>
      </c>
      <c r="H150" s="32">
        <v>580</v>
      </c>
      <c r="I150" s="13">
        <v>4800</v>
      </c>
      <c r="J150" s="13">
        <f t="shared" si="12"/>
        <v>2784000</v>
      </c>
    </row>
    <row r="151" spans="1:10" x14ac:dyDescent="0.25">
      <c r="A151" s="13">
        <v>60</v>
      </c>
      <c r="B151" s="185"/>
      <c r="C151" s="35" t="s">
        <v>113</v>
      </c>
      <c r="D151" s="13">
        <f t="shared" si="17"/>
        <v>610</v>
      </c>
      <c r="E151" s="13" t="s">
        <v>72</v>
      </c>
      <c r="F151" s="25">
        <f>(28.608+2.9)*10.764</f>
        <v>339.15211199999999</v>
      </c>
      <c r="G151" s="25">
        <f>2.625*10.764</f>
        <v>28.255499999999998</v>
      </c>
      <c r="H151" s="32">
        <v>525</v>
      </c>
      <c r="I151" s="13">
        <v>4800</v>
      </c>
      <c r="J151" s="13">
        <f t="shared" si="12"/>
        <v>2520000</v>
      </c>
    </row>
    <row r="152" spans="1:10" x14ac:dyDescent="0.25">
      <c r="A152" s="13">
        <v>61</v>
      </c>
      <c r="B152" s="278" t="s">
        <v>89</v>
      </c>
      <c r="C152" s="35" t="s">
        <v>113</v>
      </c>
      <c r="D152" s="13">
        <f>D142+100</f>
        <v>701</v>
      </c>
      <c r="E152" s="13" t="s">
        <v>94</v>
      </c>
      <c r="F152" s="25">
        <f>(41.081+11.114)*10.764</f>
        <v>561.82698000000005</v>
      </c>
      <c r="G152" s="25">
        <f>5.896*10.764</f>
        <v>63.464543999999997</v>
      </c>
      <c r="H152" s="32">
        <v>980</v>
      </c>
      <c r="I152" s="13">
        <v>4800</v>
      </c>
      <c r="J152" s="13">
        <f t="shared" si="12"/>
        <v>4704000</v>
      </c>
    </row>
    <row r="153" spans="1:10" x14ac:dyDescent="0.25">
      <c r="A153" s="13">
        <v>62</v>
      </c>
      <c r="B153" s="278"/>
      <c r="C153" s="35" t="s">
        <v>113</v>
      </c>
      <c r="D153" s="13">
        <f>D143+100</f>
        <v>702</v>
      </c>
      <c r="E153" s="13" t="s">
        <v>73</v>
      </c>
      <c r="F153" s="25">
        <f>(18.012+6.59)*10.764</f>
        <v>264.81592799999999</v>
      </c>
      <c r="G153" s="25">
        <v>0</v>
      </c>
      <c r="H153" s="32">
        <v>405</v>
      </c>
      <c r="I153" s="13">
        <v>4800</v>
      </c>
      <c r="J153" s="13">
        <f t="shared" si="12"/>
        <v>1944000</v>
      </c>
    </row>
    <row r="154" spans="1:10" x14ac:dyDescent="0.25">
      <c r="A154" s="13">
        <v>63</v>
      </c>
      <c r="B154" s="278"/>
      <c r="C154" s="35" t="s">
        <v>113</v>
      </c>
      <c r="D154" s="13">
        <f t="shared" ref="D154:D161" si="18">D144+100</f>
        <v>703</v>
      </c>
      <c r="E154" s="13" t="s">
        <v>72</v>
      </c>
      <c r="F154" s="25">
        <f>(29.805+7.205)*10.764</f>
        <v>398.37563999999998</v>
      </c>
      <c r="G154" s="25">
        <f>5.7*10.764</f>
        <v>61.354799999999997</v>
      </c>
      <c r="H154" s="32">
        <v>720</v>
      </c>
      <c r="I154" s="13">
        <v>4800</v>
      </c>
      <c r="J154" s="13">
        <f t="shared" si="12"/>
        <v>3456000</v>
      </c>
    </row>
    <row r="155" spans="1:10" x14ac:dyDescent="0.25">
      <c r="A155" s="13">
        <v>64</v>
      </c>
      <c r="B155" s="278"/>
      <c r="C155" s="35" t="s">
        <v>113</v>
      </c>
      <c r="D155" s="13">
        <f t="shared" si="18"/>
        <v>704</v>
      </c>
      <c r="E155" s="13" t="s">
        <v>72</v>
      </c>
      <c r="F155" s="25">
        <f>(31.83)*10.764</f>
        <v>342.61811999999998</v>
      </c>
      <c r="G155" s="25">
        <f>6.383*10.764</f>
        <v>68.706611999999993</v>
      </c>
      <c r="H155" s="32">
        <v>650</v>
      </c>
      <c r="I155" s="13">
        <v>4800</v>
      </c>
      <c r="J155" s="13">
        <f t="shared" si="12"/>
        <v>3120000</v>
      </c>
    </row>
    <row r="156" spans="1:10" x14ac:dyDescent="0.25">
      <c r="A156" s="13">
        <v>65</v>
      </c>
      <c r="B156" s="278"/>
      <c r="C156" s="35" t="s">
        <v>113</v>
      </c>
      <c r="D156" s="13">
        <f t="shared" si="18"/>
        <v>705</v>
      </c>
      <c r="E156" s="13" t="s">
        <v>72</v>
      </c>
      <c r="F156" s="25">
        <f>(32.089+6.728)*10.764</f>
        <v>417.826188</v>
      </c>
      <c r="G156" s="25">
        <f>6.383*10.764</f>
        <v>68.706611999999993</v>
      </c>
      <c r="H156" s="32">
        <v>765</v>
      </c>
      <c r="I156" s="13">
        <v>4800</v>
      </c>
      <c r="J156" s="13">
        <f t="shared" ref="J156:J161" si="19">H156*I156</f>
        <v>3672000</v>
      </c>
    </row>
    <row r="157" spans="1:10" x14ac:dyDescent="0.25">
      <c r="A157" s="13">
        <v>66</v>
      </c>
      <c r="B157" s="278"/>
      <c r="C157" s="35" t="s">
        <v>113</v>
      </c>
      <c r="D157" s="13">
        <f t="shared" si="18"/>
        <v>706</v>
      </c>
      <c r="E157" s="13" t="s">
        <v>72</v>
      </c>
      <c r="F157" s="25">
        <f>(31.884+6.728)*10.764</f>
        <v>415.61956800000002</v>
      </c>
      <c r="G157" s="25">
        <f>4.093*10.764</f>
        <v>44.057051999999999</v>
      </c>
      <c r="H157" s="32">
        <v>725</v>
      </c>
      <c r="I157" s="13">
        <v>4800</v>
      </c>
      <c r="J157" s="13">
        <f t="shared" si="19"/>
        <v>3480000</v>
      </c>
    </row>
    <row r="158" spans="1:10" x14ac:dyDescent="0.25">
      <c r="A158" s="13">
        <v>67</v>
      </c>
      <c r="B158" s="278"/>
      <c r="C158" s="35" t="s">
        <v>113</v>
      </c>
      <c r="D158" s="13">
        <f t="shared" si="18"/>
        <v>707</v>
      </c>
      <c r="E158" s="13" t="s">
        <v>72</v>
      </c>
      <c r="F158" s="25">
        <f>(32.144+7.085)*10.764</f>
        <v>422.26095599999996</v>
      </c>
      <c r="G158" s="25">
        <f>4.093*10.764</f>
        <v>44.057051999999999</v>
      </c>
      <c r="H158" s="32">
        <v>735</v>
      </c>
      <c r="I158" s="13">
        <v>4800</v>
      </c>
      <c r="J158" s="13">
        <f t="shared" si="19"/>
        <v>3528000</v>
      </c>
    </row>
    <row r="159" spans="1:10" x14ac:dyDescent="0.25">
      <c r="A159" s="13">
        <v>68</v>
      </c>
      <c r="B159" s="278"/>
      <c r="C159" s="35" t="s">
        <v>113</v>
      </c>
      <c r="D159" s="13">
        <f t="shared" si="18"/>
        <v>708</v>
      </c>
      <c r="E159" s="13" t="s">
        <v>72</v>
      </c>
      <c r="F159" s="25">
        <f>(31.468+6.89)*10.764</f>
        <v>412.88551199999995</v>
      </c>
      <c r="G159" s="25">
        <f>5.059*10.764</f>
        <v>54.455075999999998</v>
      </c>
      <c r="H159" s="32">
        <v>735</v>
      </c>
      <c r="I159" s="13">
        <v>4800</v>
      </c>
      <c r="J159" s="13">
        <f t="shared" si="19"/>
        <v>3528000</v>
      </c>
    </row>
    <row r="160" spans="1:10" x14ac:dyDescent="0.25">
      <c r="A160" s="13">
        <v>69</v>
      </c>
      <c r="B160" s="278"/>
      <c r="C160" s="35" t="s">
        <v>113</v>
      </c>
      <c r="D160" s="13">
        <f t="shared" si="18"/>
        <v>709</v>
      </c>
      <c r="E160" s="13" t="s">
        <v>72</v>
      </c>
      <c r="F160" s="25">
        <f>(28.608+5.955)*10.764</f>
        <v>372.03613200000001</v>
      </c>
      <c r="G160" s="25">
        <f>3.983*10.764</f>
        <v>42.873011999999996</v>
      </c>
      <c r="H160" s="32">
        <v>645</v>
      </c>
      <c r="I160" s="13">
        <v>4800</v>
      </c>
      <c r="J160" s="13">
        <f t="shared" si="19"/>
        <v>3096000</v>
      </c>
    </row>
    <row r="161" spans="1:10" x14ac:dyDescent="0.25">
      <c r="A161" s="13">
        <v>70</v>
      </c>
      <c r="B161" s="278"/>
      <c r="C161" s="35" t="s">
        <v>113</v>
      </c>
      <c r="D161" s="13">
        <f t="shared" si="18"/>
        <v>710</v>
      </c>
      <c r="E161" s="13" t="s">
        <v>72</v>
      </c>
      <c r="F161" s="25">
        <f>(28.608+2.9)*10.764</f>
        <v>339.15211199999999</v>
      </c>
      <c r="G161" s="25">
        <f>3.173*10.764</f>
        <v>34.154171999999996</v>
      </c>
      <c r="H161" s="32">
        <v>580</v>
      </c>
      <c r="I161" s="13">
        <v>4800</v>
      </c>
      <c r="J161" s="13">
        <f t="shared" si="19"/>
        <v>2784000</v>
      </c>
    </row>
  </sheetData>
  <mergeCells count="27">
    <mergeCell ref="A2:J2"/>
    <mergeCell ref="A3:J3"/>
    <mergeCell ref="B81:B89"/>
    <mergeCell ref="B10:B12"/>
    <mergeCell ref="B13:B15"/>
    <mergeCell ref="B36:B44"/>
    <mergeCell ref="B45:B53"/>
    <mergeCell ref="B54:B62"/>
    <mergeCell ref="B63:B71"/>
    <mergeCell ref="B72:B80"/>
    <mergeCell ref="B16:B18"/>
    <mergeCell ref="B19:B21"/>
    <mergeCell ref="B22:B24"/>
    <mergeCell ref="B27:B35"/>
    <mergeCell ref="A25:J25"/>
    <mergeCell ref="A26:J26"/>
    <mergeCell ref="B132:B141"/>
    <mergeCell ref="B142:B151"/>
    <mergeCell ref="B152:B161"/>
    <mergeCell ref="B92:B101"/>
    <mergeCell ref="B4:B6"/>
    <mergeCell ref="B7:B9"/>
    <mergeCell ref="A90:J90"/>
    <mergeCell ref="A91:J91"/>
    <mergeCell ref="B102:B111"/>
    <mergeCell ref="B112:B121"/>
    <mergeCell ref="B122:B1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16"/>
  <sheetViews>
    <sheetView topLeftCell="A112" zoomScale="85" zoomScaleNormal="85" workbookViewId="0">
      <selection activeCell="B3" sqref="B3:K13"/>
    </sheetView>
  </sheetViews>
  <sheetFormatPr defaultColWidth="8.7109375" defaultRowHeight="15" x14ac:dyDescent="0.25"/>
  <cols>
    <col min="1" max="1" width="8.7109375" style="17"/>
    <col min="2" max="3" width="22.140625" style="17" customWidth="1"/>
    <col min="4" max="5" width="12.5703125" style="17" customWidth="1"/>
    <col min="6" max="6" width="11.42578125" style="17" customWidth="1"/>
    <col min="7" max="8" width="8.7109375" style="17"/>
    <col min="9" max="9" width="12.7109375" style="17" customWidth="1"/>
    <col min="10" max="10" width="13.5703125" style="17" customWidth="1"/>
    <col min="11" max="16384" width="8.7109375" style="17"/>
  </cols>
  <sheetData>
    <row r="1" spans="1:11" ht="15" customHeight="1" x14ac:dyDescent="0.25"/>
    <row r="2" spans="1:11" ht="15" customHeight="1" x14ac:dyDescent="0.25">
      <c r="A2"/>
      <c r="B2"/>
      <c r="C2"/>
      <c r="D2"/>
      <c r="E2"/>
      <c r="F2"/>
      <c r="G2"/>
      <c r="H2"/>
      <c r="I2"/>
      <c r="J2"/>
    </row>
    <row r="3" spans="1:11" ht="15.75" customHeight="1" x14ac:dyDescent="0.25">
      <c r="A3"/>
      <c r="B3" s="501" t="s">
        <v>59</v>
      </c>
      <c r="C3" s="502"/>
      <c r="D3" s="502"/>
      <c r="E3" s="502"/>
      <c r="F3" s="502"/>
      <c r="G3" s="502"/>
      <c r="H3" s="502"/>
      <c r="I3" s="502"/>
      <c r="J3" s="502"/>
      <c r="K3" s="503"/>
    </row>
    <row r="4" spans="1:11" ht="45" x14ac:dyDescent="0.25">
      <c r="A4"/>
      <c r="B4" s="499" t="s">
        <v>60</v>
      </c>
      <c r="C4" s="499"/>
      <c r="D4" s="499" t="s">
        <v>79</v>
      </c>
      <c r="E4" s="499"/>
      <c r="F4" s="34" t="s">
        <v>71</v>
      </c>
      <c r="G4" s="34" t="s">
        <v>61</v>
      </c>
      <c r="H4" s="34" t="s">
        <v>98</v>
      </c>
      <c r="I4" s="34" t="s">
        <v>108</v>
      </c>
      <c r="J4" s="499" t="s">
        <v>62</v>
      </c>
      <c r="K4" s="499"/>
    </row>
    <row r="5" spans="1:11" ht="15" customHeight="1" x14ac:dyDescent="0.25">
      <c r="A5"/>
      <c r="B5" s="499" t="s">
        <v>99</v>
      </c>
      <c r="C5" s="499"/>
      <c r="D5" s="499" t="s">
        <v>80</v>
      </c>
      <c r="E5" s="499"/>
      <c r="F5" s="23" t="s">
        <v>100</v>
      </c>
      <c r="G5" s="23">
        <v>476</v>
      </c>
      <c r="H5" s="23">
        <f>G5*1.5</f>
        <v>714</v>
      </c>
      <c r="I5" s="30">
        <f>J5/H5</f>
        <v>4000</v>
      </c>
      <c r="J5" s="499">
        <v>2856000</v>
      </c>
      <c r="K5" s="499"/>
    </row>
    <row r="6" spans="1:11" x14ac:dyDescent="0.25">
      <c r="A6"/>
      <c r="B6" s="499" t="s">
        <v>102</v>
      </c>
      <c r="C6" s="499"/>
      <c r="D6" s="499" t="s">
        <v>80</v>
      </c>
      <c r="E6" s="499"/>
      <c r="F6" s="23" t="s">
        <v>101</v>
      </c>
      <c r="G6" s="23">
        <v>228</v>
      </c>
      <c r="H6" s="23">
        <v>455</v>
      </c>
      <c r="I6" s="30">
        <f>J6/H6</f>
        <v>3006.5934065934066</v>
      </c>
      <c r="J6" s="499">
        <v>1368000</v>
      </c>
      <c r="K6" s="499"/>
    </row>
    <row r="7" spans="1:11" ht="15" customHeight="1" x14ac:dyDescent="0.25">
      <c r="A7"/>
      <c r="B7" s="499" t="s">
        <v>74</v>
      </c>
      <c r="C7" s="499"/>
      <c r="D7" s="499" t="s">
        <v>103</v>
      </c>
      <c r="E7" s="499"/>
      <c r="F7" s="23" t="s">
        <v>100</v>
      </c>
      <c r="G7" s="23">
        <v>475</v>
      </c>
      <c r="H7" s="23">
        <v>705</v>
      </c>
      <c r="I7" s="30">
        <f t="shared" ref="I7:I11" si="0">J7/H7</f>
        <v>5106.3829787234044</v>
      </c>
      <c r="J7" s="499">
        <v>3600000</v>
      </c>
      <c r="K7" s="499"/>
    </row>
    <row r="8" spans="1:11" ht="30" customHeight="1" x14ac:dyDescent="0.25">
      <c r="A8"/>
      <c r="B8" s="499" t="s">
        <v>74</v>
      </c>
      <c r="C8" s="499"/>
      <c r="D8" s="499" t="s">
        <v>105</v>
      </c>
      <c r="E8" s="499"/>
      <c r="F8" s="23" t="s">
        <v>104</v>
      </c>
      <c r="G8" s="30">
        <f>H8/1.45</f>
        <v>689.65517241379314</v>
      </c>
      <c r="H8" s="23">
        <v>1000</v>
      </c>
      <c r="I8" s="30">
        <f t="shared" si="0"/>
        <v>4900</v>
      </c>
      <c r="J8" s="499">
        <v>4900000</v>
      </c>
      <c r="K8" s="499"/>
    </row>
    <row r="9" spans="1:11" ht="15" customHeight="1" x14ac:dyDescent="0.25">
      <c r="A9"/>
      <c r="B9" s="499" t="s">
        <v>74</v>
      </c>
      <c r="C9" s="499"/>
      <c r="D9" s="499" t="s">
        <v>106</v>
      </c>
      <c r="E9" s="499"/>
      <c r="F9" s="23" t="s">
        <v>100</v>
      </c>
      <c r="G9" s="23">
        <v>400</v>
      </c>
      <c r="H9" s="23">
        <v>665</v>
      </c>
      <c r="I9" s="30">
        <f t="shared" si="0"/>
        <v>5413.5338345864666</v>
      </c>
      <c r="J9" s="499">
        <v>3600000</v>
      </c>
      <c r="K9" s="499"/>
    </row>
    <row r="10" spans="1:11" ht="15" customHeight="1" x14ac:dyDescent="0.25">
      <c r="A10"/>
      <c r="B10" s="499" t="s">
        <v>74</v>
      </c>
      <c r="C10" s="499"/>
      <c r="D10" s="499" t="s">
        <v>106</v>
      </c>
      <c r="E10" s="499"/>
      <c r="F10" s="23" t="s">
        <v>104</v>
      </c>
      <c r="G10" s="23">
        <v>485</v>
      </c>
      <c r="H10" s="23">
        <v>745</v>
      </c>
      <c r="I10" s="30">
        <f t="shared" si="0"/>
        <v>5369.1275167785234</v>
      </c>
      <c r="J10" s="499">
        <v>4000000</v>
      </c>
      <c r="K10" s="499"/>
    </row>
    <row r="11" spans="1:11" ht="15" customHeight="1" x14ac:dyDescent="0.25">
      <c r="A11"/>
      <c r="B11" s="499" t="s">
        <v>74</v>
      </c>
      <c r="C11" s="499"/>
      <c r="D11" s="499" t="s">
        <v>107</v>
      </c>
      <c r="E11" s="499"/>
      <c r="F11" s="23" t="s">
        <v>100</v>
      </c>
      <c r="G11" s="30">
        <f>H11/1.45</f>
        <v>438.62068965517244</v>
      </c>
      <c r="H11" s="23">
        <v>636</v>
      </c>
      <c r="I11" s="30">
        <f t="shared" si="0"/>
        <v>3911.949685534591</v>
      </c>
      <c r="J11" s="499">
        <v>2488000</v>
      </c>
      <c r="K11" s="499"/>
    </row>
    <row r="12" spans="1:11" ht="15" customHeight="1" x14ac:dyDescent="0.25">
      <c r="A12"/>
      <c r="B12" s="499" t="s">
        <v>63</v>
      </c>
      <c r="C12" s="499"/>
      <c r="D12" s="499"/>
      <c r="E12" s="499"/>
      <c r="F12" s="23"/>
      <c r="G12" s="23"/>
      <c r="H12" s="23"/>
      <c r="I12" s="31">
        <f>AVERAGE(I5:I11)</f>
        <v>4529.6553460309133</v>
      </c>
      <c r="J12" s="499"/>
      <c r="K12" s="499"/>
    </row>
    <row r="13" spans="1:11" ht="15" customHeight="1" x14ac:dyDescent="0.25">
      <c r="B13" s="500" t="s">
        <v>64</v>
      </c>
      <c r="C13" s="500"/>
      <c r="D13" s="500"/>
      <c r="E13" s="500"/>
      <c r="F13" s="500"/>
      <c r="G13" s="500"/>
      <c r="H13" s="500"/>
      <c r="I13" s="33">
        <v>4800</v>
      </c>
      <c r="J13" s="499"/>
      <c r="K13" s="499"/>
    </row>
    <row r="14" spans="1:11" ht="15" customHeight="1" x14ac:dyDescent="0.25"/>
    <row r="15" spans="1:11" ht="15" customHeight="1" x14ac:dyDescent="0.25"/>
    <row r="16" spans="1:11" ht="15" customHeight="1" x14ac:dyDescent="0.25"/>
  </sheetData>
  <mergeCells count="30">
    <mergeCell ref="J13:K13"/>
    <mergeCell ref="B13:H13"/>
    <mergeCell ref="B3:K3"/>
    <mergeCell ref="B12:C12"/>
    <mergeCell ref="D12:E12"/>
    <mergeCell ref="J5:K5"/>
    <mergeCell ref="J6:K6"/>
    <mergeCell ref="J7:K7"/>
    <mergeCell ref="J8:K8"/>
    <mergeCell ref="J9:K9"/>
    <mergeCell ref="J10:K10"/>
    <mergeCell ref="J11:K11"/>
    <mergeCell ref="J12:K12"/>
    <mergeCell ref="B9:C9"/>
    <mergeCell ref="D9:E9"/>
    <mergeCell ref="B10:C10"/>
    <mergeCell ref="D10:E10"/>
    <mergeCell ref="B11:C11"/>
    <mergeCell ref="D11:E11"/>
    <mergeCell ref="B6:C6"/>
    <mergeCell ref="D6:E6"/>
    <mergeCell ref="B7:C7"/>
    <mergeCell ref="D7:E7"/>
    <mergeCell ref="B8:C8"/>
    <mergeCell ref="D8:E8"/>
    <mergeCell ref="D4:E4"/>
    <mergeCell ref="J4:K4"/>
    <mergeCell ref="B4:C4"/>
    <mergeCell ref="B5:C5"/>
    <mergeCell ref="D5:E5"/>
  </mergeCells>
  <phoneticPr fontId="0" type="noConversion"/>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4:J4"/>
  <sheetViews>
    <sheetView zoomScale="85" zoomScaleNormal="85" workbookViewId="0">
      <selection activeCell="C7" sqref="C7"/>
    </sheetView>
  </sheetViews>
  <sheetFormatPr defaultRowHeight="15" x14ac:dyDescent="0.25"/>
  <cols>
    <col min="1" max="1" width="15.85546875" style="49" customWidth="1"/>
    <col min="2" max="2" width="14.28515625" style="48" customWidth="1"/>
    <col min="3" max="3" width="11.85546875" style="48" customWidth="1"/>
    <col min="4" max="5" width="11.7109375" style="48" customWidth="1"/>
    <col min="6" max="10" width="9.140625" style="48"/>
  </cols>
  <sheetData>
    <row r="4" spans="1:1" x14ac:dyDescent="0.25">
      <c r="A4" s="5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H19"/>
  <sheetViews>
    <sheetView zoomScale="70" zoomScaleNormal="70" workbookViewId="0">
      <selection activeCell="A2" sqref="A2:XFD2"/>
    </sheetView>
  </sheetViews>
  <sheetFormatPr defaultRowHeight="15" x14ac:dyDescent="0.25"/>
  <cols>
    <col min="1" max="1" width="41.85546875" customWidth="1"/>
    <col min="2" max="2" width="18.140625" bestFit="1" customWidth="1"/>
  </cols>
  <sheetData>
    <row r="2" spans="1:8" x14ac:dyDescent="0.25">
      <c r="B2" s="58"/>
    </row>
    <row r="3" spans="1:8" x14ac:dyDescent="0.25">
      <c r="B3" s="58"/>
    </row>
    <row r="4" spans="1:8" ht="15.75" thickBot="1" x14ac:dyDescent="0.3">
      <c r="B4" s="58"/>
    </row>
    <row r="5" spans="1:8" s="77" customFormat="1" ht="12.75" x14ac:dyDescent="0.2">
      <c r="A5" s="504" t="s">
        <v>483</v>
      </c>
      <c r="B5" s="505"/>
      <c r="C5" s="73" t="s">
        <v>199</v>
      </c>
      <c r="D5" s="73" t="s">
        <v>484</v>
      </c>
      <c r="E5" s="73" t="s">
        <v>485</v>
      </c>
      <c r="F5" s="74" t="s">
        <v>486</v>
      </c>
      <c r="G5" s="75" t="str">
        <f ca="1">(IF(E9&gt;99%,"All work completed. Please provide OC.",IF(E9&gt;89.8%,"Plinth, RCC, Brick, Plaster, Flooring, Painting work Completed. Finishing work is in process.",IF(E9&lt;94%,(IF(C9=0,"Work not yet Started.",IF(D9=25%,"Piling work in process",IF(D9=50%,"Excavation work in process",IF(D9=100%,"Excavation work Completed. ","0")))&amp;(IF(C10=0%,"",IF(C10=H11,"Footing work is process",IF(C10=H12,"Footing work Completed",IF(C10=H13,"1st Basement Completed",IF(C10=H14,"1st &amp; 2nd Basement Completed",IF(C10=H15,"1st to 3rd Basement Completed",IF(C10=H16,"1st to 4th Basement Completed",IF(C10=H17,"Plinth work is process",IF(C10=H18,"Plinth work completed","0")))))))))))&amp;(IF(C11=(D6+E6+F6),", RCC Slab",IF(C11&gt;0,", RCC upto "&amp;C11&amp;" Slab",""))&amp;(IF(C12=F6,", Brickwork",IF(C12&gt;0,", Brickwork upto "&amp;C12&amp;" Floor",""))&amp;(IF(C13=F6,", Internal Plaster",IF(C13&gt;0,", Internal Plaster upto "&amp;C13&amp;" Floor",""))&amp;(IF(C14=F6,", External Plaster",IF(C14&gt;0,", External Plaster upto "&amp;C14&amp;" Floor",""))&amp;(IF(C15=F6,", Flooring",IF(C15&gt;0,", Flooring upto "&amp;C15&amp;" Floor",""))&amp;(IF(C16=F6,", Painting",IF(C16&gt;0,", Painting upto "&amp;C16&amp;" Floor",""))&amp;(IF(C17&gt;0,", Finishing upto "&amp;C17&amp;" Floor","")&amp;(IF(C11&gt;0.5," Completed",""))))))))))))))</f>
        <v>Work not yet Started.</v>
      </c>
      <c r="H5" s="76"/>
    </row>
    <row r="6" spans="1:8" s="77" customFormat="1" ht="12.75" x14ac:dyDescent="0.2">
      <c r="A6" s="506"/>
      <c r="B6" s="507"/>
      <c r="C6" s="78">
        <v>0</v>
      </c>
      <c r="D6" s="78">
        <v>1</v>
      </c>
      <c r="E6" s="78">
        <v>0</v>
      </c>
      <c r="F6" s="79">
        <f ca="1">--TRIM(RIGHT(SUBSTITUTE(LEFT(A5,_xlfn.AGGREGATE(16,6,FIND({0,1,2,3,4,5,6,7,8,9},A5,ROW(INDIRECT("1:"&amp;LEN(A5)))),1))," ",REPT(" ",LEN(A5))),LEN(A5)))</f>
        <v>15</v>
      </c>
      <c r="G6" s="80"/>
      <c r="H6" s="81"/>
    </row>
    <row r="7" spans="1:8" s="77" customFormat="1" ht="26.25" customHeight="1" x14ac:dyDescent="0.2">
      <c r="A7" s="82" t="s">
        <v>487</v>
      </c>
      <c r="B7" s="508" t="str">
        <f ca="1">G5</f>
        <v>Work not yet Started.</v>
      </c>
      <c r="C7" s="509"/>
      <c r="D7" s="509"/>
      <c r="E7" s="509"/>
      <c r="F7" s="510"/>
      <c r="G7" s="80" t="s">
        <v>488</v>
      </c>
      <c r="H7" s="81"/>
    </row>
    <row r="8" spans="1:8" s="77" customFormat="1" ht="25.5" x14ac:dyDescent="0.2">
      <c r="A8" s="83" t="s">
        <v>489</v>
      </c>
      <c r="B8" s="84" t="s">
        <v>490</v>
      </c>
      <c r="C8" s="85" t="s">
        <v>491</v>
      </c>
      <c r="D8" s="85" t="s">
        <v>492</v>
      </c>
      <c r="E8" s="511" t="s">
        <v>493</v>
      </c>
      <c r="F8" s="512"/>
      <c r="G8" s="86" t="s">
        <v>494</v>
      </c>
      <c r="H8" s="87">
        <f ca="1">F6*25%</f>
        <v>3.75</v>
      </c>
    </row>
    <row r="9" spans="1:8" s="77" customFormat="1" ht="15" customHeight="1" x14ac:dyDescent="0.2">
      <c r="A9" s="83" t="s">
        <v>495</v>
      </c>
      <c r="B9" s="88">
        <v>0</v>
      </c>
      <c r="C9" s="89">
        <v>0</v>
      </c>
      <c r="D9" s="90">
        <f ca="1">((100/F6)*C9)/100</f>
        <v>0</v>
      </c>
      <c r="E9" s="513">
        <f ca="1">(((C10/F6*10)+(40/(D6+E6+F6)*C11)+(15/(F6)*C12)+(5/(F6)*C13)+(5/F6*C14)+(10/F6*C15)+(5/F6*C16)+(5/F6*C17)+(5/F6*C18))/100)</f>
        <v>0</v>
      </c>
      <c r="F9" s="514"/>
      <c r="G9" s="86" t="s">
        <v>496</v>
      </c>
      <c r="H9" s="91">
        <f ca="1">F6*50%</f>
        <v>7.5</v>
      </c>
    </row>
    <row r="10" spans="1:8" s="77" customFormat="1" ht="15" customHeight="1" x14ac:dyDescent="0.2">
      <c r="A10" s="83" t="s">
        <v>36</v>
      </c>
      <c r="B10" s="88">
        <v>0.1</v>
      </c>
      <c r="C10" s="92">
        <v>0</v>
      </c>
      <c r="D10" s="90">
        <f ca="1">((100/F6)*C10)/100</f>
        <v>0</v>
      </c>
      <c r="E10" s="515"/>
      <c r="F10" s="516"/>
      <c r="G10" s="86" t="s">
        <v>497</v>
      </c>
      <c r="H10" s="91">
        <f ca="1">F6</f>
        <v>15</v>
      </c>
    </row>
    <row r="11" spans="1:8" s="77" customFormat="1" ht="15" customHeight="1" x14ac:dyDescent="0.2">
      <c r="A11" s="83" t="s">
        <v>498</v>
      </c>
      <c r="B11" s="88">
        <v>0.4</v>
      </c>
      <c r="C11" s="92">
        <v>0</v>
      </c>
      <c r="D11" s="90">
        <f ca="1">((100/(D6+E6+F6))*C11)/100</f>
        <v>0</v>
      </c>
      <c r="E11" s="515"/>
      <c r="F11" s="516"/>
      <c r="G11" s="86" t="s">
        <v>499</v>
      </c>
      <c r="H11" s="93">
        <f ca="1">(IF(C6&gt;1,(F6/(C6+2)),F6/4))</f>
        <v>3.75</v>
      </c>
    </row>
    <row r="12" spans="1:8" s="77" customFormat="1" ht="15" customHeight="1" x14ac:dyDescent="0.2">
      <c r="A12" s="83" t="s">
        <v>500</v>
      </c>
      <c r="B12" s="88">
        <v>0.15</v>
      </c>
      <c r="C12" s="89">
        <v>0</v>
      </c>
      <c r="D12" s="90">
        <f ca="1">((100/F6)*C12)/100</f>
        <v>0</v>
      </c>
      <c r="E12" s="515"/>
      <c r="F12" s="516"/>
      <c r="G12" s="86" t="s">
        <v>501</v>
      </c>
      <c r="H12" s="93">
        <f ca="1">(IF(C6&gt;1,(F6/(C6+2)+H11),F6/4+H11))</f>
        <v>7.5</v>
      </c>
    </row>
    <row r="13" spans="1:8" s="77" customFormat="1" ht="15" customHeight="1" x14ac:dyDescent="0.2">
      <c r="A13" s="83" t="s">
        <v>502</v>
      </c>
      <c r="B13" s="88">
        <v>0.05</v>
      </c>
      <c r="C13" s="89">
        <v>0</v>
      </c>
      <c r="D13" s="90">
        <f ca="1">((100/F6)*C13)/100</f>
        <v>0</v>
      </c>
      <c r="E13" s="515"/>
      <c r="F13" s="516"/>
      <c r="G13" s="86" t="s">
        <v>503</v>
      </c>
      <c r="H13" s="93">
        <f>(IF(C6&gt;1,(F6/(C6+2)+H12),0))</f>
        <v>0</v>
      </c>
    </row>
    <row r="14" spans="1:8" s="77" customFormat="1" ht="15" customHeight="1" x14ac:dyDescent="0.2">
      <c r="A14" s="83" t="s">
        <v>504</v>
      </c>
      <c r="B14" s="88">
        <v>0.05</v>
      </c>
      <c r="C14" s="89">
        <v>0</v>
      </c>
      <c r="D14" s="90">
        <f ca="1">((100/(F6))*C14)/100</f>
        <v>0</v>
      </c>
      <c r="E14" s="515"/>
      <c r="F14" s="516"/>
      <c r="G14" s="86" t="s">
        <v>505</v>
      </c>
      <c r="H14" s="93">
        <f>(IF(C6&gt;2,(F6/(C6+2)+H13),0))</f>
        <v>0</v>
      </c>
    </row>
    <row r="15" spans="1:8" s="77" customFormat="1" ht="15" customHeight="1" x14ac:dyDescent="0.2">
      <c r="A15" s="83" t="s">
        <v>506</v>
      </c>
      <c r="B15" s="88">
        <v>0.1</v>
      </c>
      <c r="C15" s="89">
        <v>0</v>
      </c>
      <c r="D15" s="90">
        <f ca="1">((100/F6)*C15)/100</f>
        <v>0</v>
      </c>
      <c r="E15" s="515"/>
      <c r="F15" s="516"/>
      <c r="G15" s="86" t="s">
        <v>507</v>
      </c>
      <c r="H15" s="94">
        <f>(IF(C6&gt;3,(F6/(C6+2)+H14),0))</f>
        <v>0</v>
      </c>
    </row>
    <row r="16" spans="1:8" s="77" customFormat="1" ht="15" customHeight="1" x14ac:dyDescent="0.2">
      <c r="A16" s="83" t="s">
        <v>508</v>
      </c>
      <c r="B16" s="88">
        <v>0.05</v>
      </c>
      <c r="C16" s="89">
        <v>0</v>
      </c>
      <c r="D16" s="90">
        <f ca="1">((100/F6)*C16)/100</f>
        <v>0</v>
      </c>
      <c r="E16" s="515"/>
      <c r="F16" s="516"/>
      <c r="G16" s="86" t="s">
        <v>509</v>
      </c>
      <c r="H16" s="93">
        <f>(IF(C6&gt;4,(F6/(C6+2)+H15),0))</f>
        <v>0</v>
      </c>
    </row>
    <row r="17" spans="1:8" s="77" customFormat="1" ht="15" customHeight="1" x14ac:dyDescent="0.2">
      <c r="A17" s="83" t="s">
        <v>510</v>
      </c>
      <c r="B17" s="88">
        <v>0.05</v>
      </c>
      <c r="C17" s="89">
        <v>0</v>
      </c>
      <c r="D17" s="90">
        <f ca="1">((100/(F6))*C17)/100</f>
        <v>0</v>
      </c>
      <c r="E17" s="515"/>
      <c r="F17" s="516"/>
      <c r="G17" s="86" t="s">
        <v>511</v>
      </c>
      <c r="H17" s="93">
        <f ca="1">(IF(C6=1,(F6/(C6+3)+H12),IF(C6=0,(F6/4+H12),IF(C6&gt;1,0))))</f>
        <v>11.25</v>
      </c>
    </row>
    <row r="18" spans="1:8" s="77" customFormat="1" ht="15.75" customHeight="1" thickBot="1" x14ac:dyDescent="0.25">
      <c r="A18" s="95" t="s">
        <v>512</v>
      </c>
      <c r="B18" s="96">
        <v>0.05</v>
      </c>
      <c r="C18" s="97">
        <v>0</v>
      </c>
      <c r="D18" s="98">
        <f ca="1">((100/(F6))*C18)/100</f>
        <v>0</v>
      </c>
      <c r="E18" s="517"/>
      <c r="F18" s="518"/>
      <c r="G18" s="99" t="s">
        <v>513</v>
      </c>
      <c r="H18" s="100">
        <f ca="1">(IF(C6&gt;1.5,(F6/(C6+2)+H12+MAX(0,H13-H12)+MAX(0,H14-H13)+MAX(0,H15-H14)+MAX(0,H16-H15)+MAX(0,H17-H16)),IF(C6=1,(F6/(C6+3)+H17),IF(C6=0,F6/4+H17))))</f>
        <v>15</v>
      </c>
    </row>
    <row r="19" spans="1:8" x14ac:dyDescent="0.25">
      <c r="B19" s="59"/>
    </row>
  </sheetData>
  <mergeCells count="4">
    <mergeCell ref="A5:B6"/>
    <mergeCell ref="B7:F7"/>
    <mergeCell ref="E8:F8"/>
    <mergeCell ref="E9:F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Report</vt:lpstr>
      <vt:lpstr>Const. %</vt:lpstr>
      <vt:lpstr>unsold</vt:lpstr>
      <vt:lpstr>valuation</vt:lpstr>
      <vt:lpstr>Sheet1</vt:lpstr>
      <vt:lpstr>Sheet2</vt:lpstr>
      <vt:lpstr>Report!Print_Area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PC-51</cp:lastModifiedBy>
  <cp:lastPrinted>2025-08-30T07:24:53Z</cp:lastPrinted>
  <dcterms:created xsi:type="dcterms:W3CDTF">2013-11-23T05:32:33Z</dcterms:created>
  <dcterms:modified xsi:type="dcterms:W3CDTF">2025-08-30T07:28:51Z</dcterms:modified>
</cp:coreProperties>
</file>