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7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26" i="1"/>
  <c r="D125" i="1"/>
  <c r="D124" i="1"/>
  <c r="D123" i="1"/>
  <c r="D121" i="1"/>
  <c r="D120" i="1"/>
  <c r="D119" i="1"/>
  <c r="D118" i="1"/>
  <c r="D117" i="1"/>
  <c r="D116" i="1"/>
  <c r="N116" i="1" s="1"/>
  <c r="D114" i="1"/>
  <c r="D113" i="1"/>
  <c r="D112" i="1"/>
  <c r="D111" i="1"/>
  <c r="D110" i="1"/>
  <c r="D109" i="1"/>
  <c r="I109" i="1"/>
  <c r="G96" i="1" l="1"/>
  <c r="G97" i="1" s="1"/>
  <c r="G93" i="1"/>
  <c r="N128" i="1"/>
  <c r="N126" i="1"/>
  <c r="N125" i="1"/>
  <c r="N124" i="1"/>
  <c r="N123" i="1"/>
  <c r="N121" i="1"/>
  <c r="N119" i="1"/>
  <c r="N118" i="1"/>
  <c r="N117" i="1"/>
  <c r="E114" i="1"/>
  <c r="O114" i="1"/>
  <c r="O113" i="1"/>
  <c r="O112" i="1"/>
  <c r="O111" i="1"/>
  <c r="O110" i="1"/>
  <c r="O109" i="1"/>
  <c r="L117" i="1"/>
  <c r="L111" i="1"/>
  <c r="L110" i="1"/>
  <c r="A124" i="1"/>
  <c r="A125" i="1" s="1"/>
  <c r="A126" i="1" s="1"/>
  <c r="A127" i="1" s="1"/>
  <c r="A128" i="1" s="1"/>
  <c r="G123" i="1"/>
  <c r="K114" i="1"/>
  <c r="J114" i="1"/>
  <c r="I114" i="1"/>
  <c r="L109" i="1"/>
  <c r="K109" i="1"/>
  <c r="J109" i="1"/>
  <c r="C96" i="1" l="1"/>
  <c r="E96" i="1"/>
  <c r="N120" i="1"/>
  <c r="D105" i="1"/>
  <c r="L105" i="1" s="1"/>
  <c r="D104" i="1"/>
  <c r="L104" i="1" s="1"/>
  <c r="D103" i="1"/>
  <c r="L103" i="1" s="1"/>
  <c r="D102" i="1"/>
  <c r="J104" i="1"/>
  <c r="I104" i="1"/>
  <c r="I103" i="1"/>
  <c r="I102" i="1"/>
  <c r="I42" i="1"/>
  <c r="L102" i="1" l="1"/>
  <c r="C93" i="1"/>
  <c r="C97" i="1" s="1"/>
  <c r="E93" i="1"/>
  <c r="E97" i="1" s="1"/>
  <c r="D59" i="1"/>
  <c r="E29" i="1"/>
  <c r="B131" i="1"/>
  <c r="C65" i="1"/>
  <c r="B66" i="1" s="1"/>
  <c r="E24" i="1"/>
  <c r="E26" i="1" l="1"/>
  <c r="C14" i="1"/>
  <c r="E42" i="1" l="1"/>
  <c r="E43" i="1" s="1"/>
  <c r="A110" i="1" l="1"/>
  <c r="A111" i="1" s="1"/>
  <c r="A112" i="1" s="1"/>
  <c r="A113" i="1" s="1"/>
  <c r="A114" i="1" s="1"/>
  <c r="G109" i="1"/>
  <c r="F90" i="1" l="1"/>
  <c r="B13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2" i="1"/>
  <c r="G116" i="1"/>
  <c r="A117" i="1"/>
  <c r="A118" i="1" s="1"/>
  <c r="A119" i="1" s="1"/>
  <c r="A120" i="1" s="1"/>
  <c r="A121" i="1" s="1"/>
  <c r="A103" i="1"/>
  <c r="A104" i="1" s="1"/>
  <c r="A105" i="1" s="1"/>
  <c r="G102" i="1"/>
  <c r="D54" i="1"/>
  <c r="C49" i="1"/>
  <c r="E7" i="1"/>
  <c r="E3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l="1"/>
  <c r="J73" i="1"/>
  <c r="J74" i="1" s="1"/>
  <c r="J75" i="1" s="1"/>
  <c r="J76" i="1" s="1"/>
  <c r="D71" i="1"/>
  <c r="J67" i="1"/>
  <c r="D69" i="1"/>
  <c r="J78" i="1" l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<sst xmlns="http://schemas.openxmlformats.org/spreadsheetml/2006/main" count="282" uniqueCount="218">
  <si>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</si>
  <si>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</si>
  <si>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</si>
  <si>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</si>
  <si>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</si>
  <si>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</si>
  <si>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</si>
  <si>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</si>
  <si>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</si>
  <si>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</si>
  <si>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</si>
  <si>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</si>
  <si>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</si>
  <si>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</si>
  <si>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</si>
  <si>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</si>
  <si>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</si>
  <si>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</si>
  <si>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</si>
  <si>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</si>
  <si>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</si>
  <si>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</si>
  <si>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</si>
  <si>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</si>
  <si>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</si>
  <si>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</si>
  <si>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</si>
  <si>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</si>
  <si>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</si>
  <si>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</si>
  <si>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</si>
  <si>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</si>
  <si>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</si>
  <si>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</si>
  <si>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</si>
  <si>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</si>
  <si>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</si>
  <si>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</si>
  <si>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</si>
  <si>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</si>
  <si>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</si>
  <si>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</si>
  <si>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</si>
  <si>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</si>
  <si>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</si>
  <si>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</si>
  <si>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</si>
  <si>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</si>
  <si>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</si>
  <si>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</si>
  <si>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</si>
  <si>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</si>
  <si>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</si>
  <si>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</si>
  <si>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</si>
  <si>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</si>
  <si>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</si>
  <si>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</si>
  <si>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</si>
  <si>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</si>
  <si>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</si>
  <si>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</si>
  <si>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</si>
  <si>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</si>
  <si>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</si>
  <si>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</si>
  <si>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</si>
  <si>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</si>
  <si>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</si>
  <si>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</si>
  <si>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</si>
  <si>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</si>
  <si>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</si>
  <si>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</si>
  <si>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</si>
  <si>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</si>
  <si>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</si>
  <si>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</si>
  <si>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</si>
  <si>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</si>
  <si>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</si>
  <si>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</si>
  <si>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</si>
  <si>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</si>
  <si>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</si>
  <si>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</si>
  <si>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</si>
  <si>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</si>
  <si>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</si>
  <si>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</si>
  <si>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</si>
  <si>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</si>
  <si>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</si>
  <si>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</si>
  <si>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</si>
  <si>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</si>
  <si>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</si>
  <si>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</si>
  <si>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</si>
  <si>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</si>
  <si>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</si>
  <si>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</si>
  <si>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</si>
  <si>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</si>
  <si>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</si>
  <si>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</si>
  <si>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</si>
  <si>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</si>
  <si>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</si>
  <si>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</si>
  <si>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</si>
  <si>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</si>
  <si>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</si>
  <si>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</si>
  <si>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</si>
  <si>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</si>
  <si>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</si>
  <si>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</si>
  <si>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</si>
  <si>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</si>
  <si>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</si>
  <si>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</si>
  <si>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</si>
  <si>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</si>
  <si>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</si>
  <si>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</si>
  <si>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</si>
  <si>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</si>
  <si>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</si>
  <si>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</si>
  <si>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</si>
  <si>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</si>
  <si>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</si>
  <si>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</si>
  <si>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</si>
  <si>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</si>
  <si>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</si>
  <si>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</si>
  <si>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</si>
  <si>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</si>
  <si>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</si>
  <si>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</si>
  <si>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</si>
  <si>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</si>
  <si>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</si>
  <si>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</si>
  <si>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</si>
  <si>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</si>
  <si>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</si>
  <si>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</si>
  <si>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</si>
  <si>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</si>
  <si>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</si>
  <si>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</si>
  <si>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</si>
  <si>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</si>
  <si>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</si>
  <si>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</si>
  <si>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</si>
  <si>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</si>
  <si>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</si>
  <si>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</si>
  <si>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</si>
  <si>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</si>
  <si>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</si>
  <si>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</si>
  <si>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</si>
  <si>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</si>
  <si>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</si>
  <si>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Axis Thane</t>
  </si>
  <si>
    <t>Yashodeep Buildcon</t>
  </si>
  <si>
    <t>P52000050234</t>
  </si>
  <si>
    <t>Gut No</t>
  </si>
  <si>
    <t>Raigad</t>
  </si>
  <si>
    <t>Panvel</t>
  </si>
  <si>
    <t>https://goo.gl/maps/N4WQ6dfAkpmMV5NN9?coh=178572&amp;entry=tt</t>
  </si>
  <si>
    <t>4.3KM from Taloja Panchnand Railway Station</t>
  </si>
  <si>
    <t>Siddhivinayak Garima</t>
  </si>
  <si>
    <t>Open Plot</t>
  </si>
  <si>
    <t>Internal Road</t>
  </si>
  <si>
    <t>Koynavele</t>
  </si>
  <si>
    <t>Ghotkamp Koyana</t>
  </si>
  <si>
    <t>As per RERA - 31/12/2026</t>
  </si>
  <si>
    <t>Panvel Municipal Corporation (PMC)</t>
  </si>
  <si>
    <t>PMP/NRV/16326/JK/198/2023</t>
  </si>
  <si>
    <t>PMC/TP/Koynavele/32/12/21-23/
16326/198/2023</t>
  </si>
  <si>
    <t>G + 1st to 12th Floor</t>
  </si>
  <si>
    <t>Intercom, Power Backup, Servant Room, CCTV Camera, Fire Safety etc.</t>
  </si>
  <si>
    <t>32/12</t>
  </si>
  <si>
    <t>Ground Floor For Society Office, Drivers Room, Meter Room Commercial &amp; Parking</t>
  </si>
  <si>
    <t>Shop</t>
  </si>
  <si>
    <t>1st Floor For Residential</t>
  </si>
  <si>
    <t>1BHK</t>
  </si>
  <si>
    <t>2nd to 7th &amp; 9th to 12th Floor</t>
  </si>
  <si>
    <t>8th Floor (Part Refuge Area)</t>
  </si>
  <si>
    <t>Refuge Area</t>
  </si>
  <si>
    <t>We considered Gross carpet area = Net carpet + Balcony + C.B Area + Chajja Area.</t>
  </si>
  <si>
    <t>Area taken from sheet</t>
  </si>
  <si>
    <t>Builder Saleable area</t>
  </si>
  <si>
    <t>Flats</t>
  </si>
  <si>
    <t>Approved Plans, CC, Builder Saleable Area</t>
  </si>
  <si>
    <t>Flats - 71, Shops - 04</t>
  </si>
  <si>
    <t>Taloja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</si>
  <si>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</si>
  <si>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19.079261,73.112448</t>
  </si>
  <si>
    <t>4100 To 4500</t>
  </si>
  <si>
    <t>viraj</t>
  </si>
  <si>
    <t>Advance Maintenance Charges for 1 Year</t>
  </si>
  <si>
    <t>Society Formation &amp; Water Connection Charges</t>
  </si>
  <si>
    <t>Recommended Rates/Other Charges of the Property have been revised on 18/12/2023.</t>
  </si>
  <si>
    <t>Siddhivinayak Darshan</t>
  </si>
  <si>
    <t>Site Person - Contact Details (Name &amp; Contact No.)</t>
  </si>
  <si>
    <t>Name / No of the Building</t>
  </si>
  <si>
    <t>Mr. Nitin Katekar 8898256676</t>
  </si>
  <si>
    <t>Sunil Peravi</t>
  </si>
  <si>
    <t>Karishma : 8828009742</t>
  </si>
  <si>
    <t>Finishing Work is in process.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</si>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</sst>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 wrapText="1"/>
    </xf>
    <xf numFmtId="168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450273</xdr:colOff>
      <xdr:row>240</xdr:row>
      <xdr:rowOff>190500</xdr:rowOff>
    </xdr:from>
    <xdr:to>
      <xdr:col>6</xdr:col>
      <xdr:colOff>422062</xdr:colOff>
      <xdr:row>255</xdr:row>
      <xdr:rowOff>83114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273" y="61921159"/>
          <a:ext cx="411949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450273</xdr:colOff>
      <xdr:row>256</xdr:row>
      <xdr:rowOff>41286</xdr:rowOff>
    </xdr:from>
    <xdr:to>
      <xdr:col>6</xdr:col>
      <xdr:colOff>416854</xdr:colOff>
      <xdr:row>270</xdr:row>
      <xdr:rowOff>133058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2273" y="64958491"/>
          <a:ext cx="411428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4</xdr:col>
      <xdr:colOff>26318</xdr:colOff>
      <xdr:row>262</xdr:row>
      <xdr:rowOff>90548</xdr:rowOff>
    </xdr:from>
    <xdr:to>
      <xdr:col>4</xdr:col>
      <xdr:colOff>239635</xdr:colOff>
      <xdr:row>263</xdr:row>
      <xdr:rowOff>177139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1011452">
          <a:off x="3377386" y="66202707"/>
          <a:ext cx="213317" cy="285750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207819</xdr:colOff>
      <xdr:row>197</xdr:row>
      <xdr:rowOff>8659</xdr:rowOff>
    </xdr:from>
    <xdr:to>
      <xdr:col>5</xdr:col>
      <xdr:colOff>538569</xdr:colOff>
      <xdr:row>230</xdr:row>
      <xdr:rowOff>33037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1846119" y="41207459"/>
          <a:ext cx="3029500" cy="6520428"/>
          <a:chOff x="1977750" y="1273686"/>
          <a:chExt cx="2902500" cy="6596628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38913" y="4990314"/>
            <a:ext cx="2616750" cy="288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7750" y="1273686"/>
            <a:ext cx="2902500" cy="360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 rot="20656741">
            <a:off x="3420485" y="6150422"/>
            <a:ext cx="171642" cy="251426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IN" sz="1100"/>
          </a:p>
        </xdr:txBody>
      </xdr:sp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349564" y="7312996"/>
            <a:ext cx="397440" cy="540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196664</xdr:colOff>
      <xdr:row>151</xdr:row>
      <xdr:rowOff>114860</xdr:rowOff>
    </xdr:from>
    <xdr:to>
      <xdr:col>16</xdr:col>
      <xdr:colOff>80345</xdr:colOff>
      <xdr:row>193</xdr:row>
      <xdr:rowOff>44329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1523F79-58F3-C8AD-531C-0F64480ECD9A}"/>
            </a:ext>
          </a:extLst>
        </xdr:cNvPr>
        <xdr:cNvGrpSpPr/>
      </xdr:nvGrpSpPr>
      <xdr:grpSpPr>
        <a:xfrm>
          <a:off x="7480114" y="32264910"/>
          <a:ext cx="6582931" cy="8190819"/>
          <a:chOff x="7144311" y="32948095"/>
          <a:chExt cx="6304652" cy="8389910"/>
        </a:xfrm>
      </xdr:grpSpPr>
      <xdr:pic>
        <xdr:nvPicPr>
          <xdr:cNvPr id="18" name="Picture 17" descr="https://vsjcllp.vsjadon.com/upload/insp-217419-1525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313896" y="39353379"/>
            <a:ext cx="1482309" cy="19846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17419-845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313895" y="32948095"/>
            <a:ext cx="3035882" cy="40705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17419-844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144311" y="37094833"/>
            <a:ext cx="1613831" cy="21784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17419-861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561545" y="37099595"/>
            <a:ext cx="2887418" cy="21784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17419-862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749555" y="39353379"/>
            <a:ext cx="1477827" cy="19846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17419-874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210986" y="32948095"/>
            <a:ext cx="3023556" cy="40705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17419-871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854329" y="37094833"/>
            <a:ext cx="1620554" cy="21784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279400</xdr:colOff>
      <xdr:row>152</xdr:row>
      <xdr:rowOff>133350</xdr:rowOff>
    </xdr:from>
    <xdr:to>
      <xdr:col>7</xdr:col>
      <xdr:colOff>766105</xdr:colOff>
      <xdr:row>184</xdr:row>
      <xdr:rowOff>79136</xdr:rowOff>
    </xdr:to>
    <xdr:grpSp>
      <xdr:nvGrpSpPr>
        <xdr:cNvPr id="15" name="Group 14"/>
        <xdr:cNvGrpSpPr/>
      </xdr:nvGrpSpPr>
      <xdr:grpSpPr>
        <a:xfrm>
          <a:off x="279400" y="32480250"/>
          <a:ext cx="6462055" cy="6238636"/>
          <a:chOff x="279400" y="32480250"/>
          <a:chExt cx="6462055" cy="6238636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64122" y="3655888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838" y="324802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71761" y="3655888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400" y="3655888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8203" y="324802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4WQ6dfAkpmMV5NN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84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8.72656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09" t="s">
        <v>203</v>
      </c>
      <c r="B1" s="109"/>
      <c r="C1" s="109"/>
      <c r="D1" s="109"/>
      <c r="E1" s="109"/>
      <c r="F1" s="109"/>
      <c r="G1" s="109"/>
      <c r="H1" s="109"/>
    </row>
    <row r="2" spans="1:8" ht="16.5" customHeight="1" x14ac:dyDescent="0.35">
      <c r="A2" s="110" t="s">
        <v>0</v>
      </c>
      <c r="B2" s="110"/>
      <c r="C2" s="110"/>
      <c r="D2" s="110"/>
      <c r="E2" s="110"/>
      <c r="F2" s="110"/>
      <c r="G2" s="110"/>
      <c r="H2" s="110"/>
    </row>
    <row r="3" spans="1:8" x14ac:dyDescent="0.35">
      <c r="A3" s="111" t="s">
        <v>1</v>
      </c>
      <c r="B3" s="111"/>
      <c r="C3" s="111"/>
      <c r="D3" s="111"/>
      <c r="E3" s="111" t="str">
        <f ca="1">TEXT(TODAY(),"DD/MM/YYYY")</f>
        <v>28/08/2025</v>
      </c>
      <c r="F3" s="111"/>
      <c r="G3" s="111"/>
      <c r="H3" s="111"/>
    </row>
    <row r="4" spans="1:8" x14ac:dyDescent="0.35">
      <c r="A4" s="111" t="s">
        <v>2</v>
      </c>
      <c r="B4" s="111"/>
      <c r="C4" s="111"/>
      <c r="D4" s="111"/>
      <c r="E4" s="111" t="s">
        <v>169</v>
      </c>
      <c r="F4" s="111"/>
      <c r="G4" s="111"/>
      <c r="H4" s="111"/>
    </row>
    <row r="5" spans="1:8" x14ac:dyDescent="0.35">
      <c r="A5" s="111" t="s">
        <v>3</v>
      </c>
      <c r="B5" s="111"/>
      <c r="C5" s="111"/>
      <c r="D5" s="111"/>
      <c r="E5" s="115">
        <v>45895</v>
      </c>
      <c r="F5" s="111"/>
      <c r="G5" s="111"/>
      <c r="H5" s="111"/>
    </row>
    <row r="6" spans="1:8" ht="16.5" customHeight="1" x14ac:dyDescent="0.35">
      <c r="A6" s="111" t="s">
        <v>4</v>
      </c>
      <c r="B6" s="111"/>
      <c r="C6" s="111"/>
      <c r="D6" s="111"/>
      <c r="E6" s="111" t="s">
        <v>170</v>
      </c>
      <c r="F6" s="111"/>
      <c r="G6" s="111"/>
      <c r="H6" s="111"/>
    </row>
    <row r="7" spans="1:8" ht="15" customHeight="1" x14ac:dyDescent="0.35">
      <c r="A7" s="111" t="s">
        <v>5</v>
      </c>
      <c r="B7" s="111"/>
      <c r="C7" s="111"/>
      <c r="D7" s="111"/>
      <c r="E7" s="111" t="str">
        <f>E6</f>
        <v>Yashodeep Buildcon</v>
      </c>
      <c r="F7" s="111"/>
      <c r="G7" s="111"/>
      <c r="H7" s="111"/>
    </row>
    <row r="8" spans="1:8" x14ac:dyDescent="0.35">
      <c r="A8" s="111" t="s">
        <v>6</v>
      </c>
      <c r="B8" s="111"/>
      <c r="C8" s="111"/>
      <c r="D8" s="111"/>
      <c r="E8" s="112" t="s">
        <v>210</v>
      </c>
      <c r="F8" s="113"/>
      <c r="G8" s="113"/>
      <c r="H8" s="114"/>
    </row>
    <row r="9" spans="1:8" x14ac:dyDescent="0.35">
      <c r="A9" s="111" t="s">
        <v>168</v>
      </c>
      <c r="B9" s="111"/>
      <c r="C9" s="111"/>
      <c r="D9" s="111"/>
      <c r="E9" s="111" t="s">
        <v>213</v>
      </c>
      <c r="F9" s="111"/>
      <c r="G9" s="111"/>
      <c r="H9" s="111"/>
    </row>
    <row r="10" spans="1:8" x14ac:dyDescent="0.35">
      <c r="A10" s="111" t="s">
        <v>211</v>
      </c>
      <c r="B10" s="111"/>
      <c r="C10" s="111"/>
      <c r="D10" s="111"/>
      <c r="E10" s="111" t="s">
        <v>215</v>
      </c>
      <c r="F10" s="111"/>
      <c r="G10" s="111"/>
      <c r="H10" s="111"/>
    </row>
    <row r="11" spans="1:8" x14ac:dyDescent="0.35">
      <c r="A11" s="111" t="s">
        <v>212</v>
      </c>
      <c r="B11" s="111"/>
      <c r="C11" s="111"/>
      <c r="D11" s="111"/>
      <c r="E11" s="111" t="s">
        <v>124</v>
      </c>
      <c r="F11" s="111"/>
      <c r="G11" s="111"/>
      <c r="H11" s="111"/>
    </row>
    <row r="12" spans="1:8" x14ac:dyDescent="0.35">
      <c r="A12" s="59" t="s">
        <v>7</v>
      </c>
      <c r="B12" s="59"/>
      <c r="C12" s="59"/>
      <c r="D12" s="59"/>
      <c r="E12" s="89" t="s">
        <v>200</v>
      </c>
      <c r="F12" s="89"/>
      <c r="G12" s="89"/>
      <c r="H12" s="89"/>
    </row>
    <row r="13" spans="1:8" x14ac:dyDescent="0.35">
      <c r="A13" s="59" t="s">
        <v>8</v>
      </c>
      <c r="B13" s="59"/>
      <c r="C13" s="59"/>
      <c r="D13" s="59"/>
      <c r="E13" s="89" t="s">
        <v>171</v>
      </c>
      <c r="F13" s="111"/>
      <c r="G13" s="111"/>
      <c r="H13" s="111"/>
    </row>
    <row r="14" spans="1:8" ht="35.25" customHeight="1" x14ac:dyDescent="0.35">
      <c r="A14" s="89" t="s">
        <v>9</v>
      </c>
      <c r="B14" s="89"/>
      <c r="C14" s="8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Siddhivinayak Darshan, Gut No.32/12, near Siddhivinayak Garima, Internal Road, Ghotkamp Koyana, Koynavele, Taloja, Panvel, Raigad - 410208.</v>
      </c>
      <c r="D14" s="89"/>
      <c r="E14" s="89"/>
      <c r="F14" s="89"/>
      <c r="G14" s="89"/>
      <c r="H14" s="89"/>
    </row>
    <row r="15" spans="1:8" x14ac:dyDescent="0.35">
      <c r="A15" s="89" t="s">
        <v>172</v>
      </c>
      <c r="B15" s="89"/>
      <c r="C15" s="89" t="s">
        <v>188</v>
      </c>
      <c r="D15" s="89"/>
      <c r="E15" s="89"/>
      <c r="F15" s="89"/>
      <c r="G15" s="89"/>
      <c r="H15" s="89"/>
    </row>
    <row r="16" spans="1:8" ht="15.75" customHeight="1" x14ac:dyDescent="0.35">
      <c r="A16" s="89" t="s">
        <v>164</v>
      </c>
      <c r="B16" s="89"/>
      <c r="C16" s="89" t="s">
        <v>181</v>
      </c>
      <c r="D16" s="89"/>
      <c r="E16" s="89"/>
      <c r="F16" s="89"/>
      <c r="G16" s="89"/>
      <c r="H16" s="89"/>
    </row>
    <row r="17" spans="1:8" ht="15.75" customHeight="1" x14ac:dyDescent="0.35">
      <c r="A17" s="89" t="s">
        <v>10</v>
      </c>
      <c r="B17" s="89"/>
      <c r="C17" s="111" t="s">
        <v>179</v>
      </c>
      <c r="D17" s="111"/>
      <c r="E17" s="89" t="s">
        <v>74</v>
      </c>
      <c r="F17" s="89"/>
      <c r="G17" s="89" t="s">
        <v>180</v>
      </c>
      <c r="H17" s="89"/>
    </row>
    <row r="18" spans="1:8" x14ac:dyDescent="0.35">
      <c r="A18" s="59" t="s">
        <v>12</v>
      </c>
      <c r="B18" s="59"/>
      <c r="C18" s="89" t="s">
        <v>202</v>
      </c>
      <c r="D18" s="89"/>
      <c r="E18" s="90" t="s">
        <v>11</v>
      </c>
      <c r="F18" s="90"/>
      <c r="G18" s="116" t="s">
        <v>173</v>
      </c>
      <c r="H18" s="116"/>
    </row>
    <row r="19" spans="1:8" x14ac:dyDescent="0.35">
      <c r="A19" s="59" t="s">
        <v>75</v>
      </c>
      <c r="B19" s="59"/>
      <c r="C19" s="89" t="s">
        <v>174</v>
      </c>
      <c r="D19" s="89"/>
      <c r="E19" s="90" t="s">
        <v>13</v>
      </c>
      <c r="F19" s="90"/>
      <c r="G19" s="89">
        <v>410208</v>
      </c>
      <c r="H19" s="89"/>
    </row>
    <row r="20" spans="1:8" ht="32.25" customHeight="1" x14ac:dyDescent="0.35">
      <c r="A20" s="59" t="s">
        <v>125</v>
      </c>
      <c r="B20" s="59"/>
      <c r="C20" s="89" t="s">
        <v>177</v>
      </c>
      <c r="D20" s="89"/>
      <c r="E20" s="90" t="s">
        <v>14</v>
      </c>
      <c r="F20" s="90"/>
      <c r="G20" s="89" t="s">
        <v>176</v>
      </c>
      <c r="H20" s="89"/>
    </row>
    <row r="21" spans="1:8" ht="15" customHeight="1" x14ac:dyDescent="0.35">
      <c r="A21" s="90" t="s">
        <v>78</v>
      </c>
      <c r="B21" s="90"/>
      <c r="C21" s="90"/>
      <c r="D21" s="90"/>
      <c r="E21" s="111" t="s">
        <v>15</v>
      </c>
      <c r="F21" s="111"/>
      <c r="G21" s="111"/>
      <c r="H21" s="111"/>
    </row>
    <row r="22" spans="1:8" ht="18.75" customHeight="1" x14ac:dyDescent="0.35">
      <c r="A22" s="90"/>
      <c r="B22" s="90"/>
      <c r="C22" s="90"/>
      <c r="D22" s="90"/>
      <c r="E22" s="111"/>
      <c r="F22" s="111"/>
      <c r="G22" s="111"/>
      <c r="H22" s="111"/>
    </row>
    <row r="23" spans="1:8" ht="15" customHeight="1" x14ac:dyDescent="0.35">
      <c r="A23" s="90" t="s">
        <v>16</v>
      </c>
      <c r="B23" s="90"/>
      <c r="C23" s="90"/>
      <c r="D23" s="90"/>
      <c r="E23" s="89" t="s">
        <v>17</v>
      </c>
      <c r="F23" s="89"/>
      <c r="G23" s="89"/>
      <c r="H23" s="89"/>
    </row>
    <row r="24" spans="1:8" ht="15" customHeight="1" x14ac:dyDescent="0.35">
      <c r="A24" s="59" t="s">
        <v>18</v>
      </c>
      <c r="B24" s="59"/>
      <c r="C24" s="59"/>
      <c r="D24" s="59"/>
      <c r="E24" s="89" t="str">
        <f>IF(AND(G18="Mumbai"),"Upper Class","Middle Class")</f>
        <v>Middle Class</v>
      </c>
      <c r="F24" s="89"/>
      <c r="G24" s="89"/>
      <c r="H24" s="89"/>
    </row>
    <row r="25" spans="1:8" x14ac:dyDescent="0.35">
      <c r="A25" s="59" t="s">
        <v>19</v>
      </c>
      <c r="B25" s="59"/>
      <c r="C25" s="59"/>
      <c r="D25" s="59"/>
      <c r="E25" s="89" t="s">
        <v>20</v>
      </c>
      <c r="F25" s="89"/>
      <c r="G25" s="89"/>
      <c r="H25" s="89"/>
    </row>
    <row r="26" spans="1:8" ht="15.75" customHeight="1" x14ac:dyDescent="0.35">
      <c r="A26" s="59" t="s">
        <v>21</v>
      </c>
      <c r="B26" s="59"/>
      <c r="C26" s="59"/>
      <c r="D26" s="59"/>
      <c r="E26" s="89" t="str">
        <f>IF(AND(G18="Mumbai"),"Developed","Developing")</f>
        <v>Developing</v>
      </c>
      <c r="F26" s="89"/>
      <c r="G26" s="89"/>
      <c r="H26" s="89"/>
    </row>
    <row r="27" spans="1:8" x14ac:dyDescent="0.35">
      <c r="A27" s="59" t="s">
        <v>22</v>
      </c>
      <c r="B27" s="59"/>
      <c r="C27" s="59"/>
      <c r="D27" s="59"/>
      <c r="E27" s="89" t="s">
        <v>23</v>
      </c>
      <c r="F27" s="89"/>
      <c r="G27" s="89"/>
      <c r="H27" s="89"/>
    </row>
    <row r="28" spans="1:8" ht="15.75" customHeight="1" x14ac:dyDescent="0.35">
      <c r="A28" s="59" t="s">
        <v>83</v>
      </c>
      <c r="B28" s="59"/>
      <c r="C28" s="59"/>
      <c r="D28" s="59"/>
      <c r="E28" s="89" t="s">
        <v>84</v>
      </c>
      <c r="F28" s="89"/>
      <c r="G28" s="89"/>
      <c r="H28" s="89"/>
    </row>
    <row r="29" spans="1:8" ht="15" customHeight="1" x14ac:dyDescent="0.35">
      <c r="A29" s="59" t="s">
        <v>32</v>
      </c>
      <c r="B29" s="59"/>
      <c r="C29" s="59"/>
      <c r="D29" s="59"/>
      <c r="E29" s="8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9"/>
      <c r="G29" s="89"/>
      <c r="H29" s="89"/>
    </row>
    <row r="30" spans="1:8" ht="15.75" customHeight="1" x14ac:dyDescent="0.35">
      <c r="A30" s="59" t="s">
        <v>95</v>
      </c>
      <c r="B30" s="59"/>
      <c r="C30" s="59"/>
      <c r="D30" s="59"/>
      <c r="E30" s="89" t="s">
        <v>33</v>
      </c>
      <c r="F30" s="89"/>
      <c r="G30" s="89"/>
      <c r="H30" s="89"/>
    </row>
    <row r="31" spans="1:8" s="20" customFormat="1" x14ac:dyDescent="0.35">
      <c r="A31" s="120" t="s">
        <v>96</v>
      </c>
      <c r="B31" s="120"/>
      <c r="C31" s="119" t="s">
        <v>28</v>
      </c>
      <c r="D31" s="119"/>
      <c r="E31" s="119"/>
      <c r="F31" s="119" t="s">
        <v>30</v>
      </c>
      <c r="G31" s="119"/>
      <c r="H31" s="119"/>
    </row>
    <row r="32" spans="1:8" s="20" customFormat="1" x14ac:dyDescent="0.35">
      <c r="A32" s="117" t="s">
        <v>24</v>
      </c>
      <c r="B32" s="117" t="s">
        <v>29</v>
      </c>
      <c r="C32" s="118" t="s">
        <v>29</v>
      </c>
      <c r="D32" s="118"/>
      <c r="E32" s="118"/>
      <c r="F32" s="118" t="s">
        <v>178</v>
      </c>
      <c r="G32" s="118"/>
      <c r="H32" s="118"/>
    </row>
    <row r="33" spans="1:9" x14ac:dyDescent="0.35">
      <c r="A33" s="117" t="s">
        <v>25</v>
      </c>
      <c r="B33" s="117" t="s">
        <v>29</v>
      </c>
      <c r="C33" s="118" t="s">
        <v>29</v>
      </c>
      <c r="D33" s="118"/>
      <c r="E33" s="118"/>
      <c r="F33" s="118" t="s">
        <v>179</v>
      </c>
      <c r="G33" s="118"/>
      <c r="H33" s="118"/>
    </row>
    <row r="34" spans="1:9" s="20" customFormat="1" x14ac:dyDescent="0.35">
      <c r="A34" s="117" t="s">
        <v>27</v>
      </c>
      <c r="B34" s="117" t="s">
        <v>29</v>
      </c>
      <c r="C34" s="118" t="s">
        <v>29</v>
      </c>
      <c r="D34" s="118"/>
      <c r="E34" s="118"/>
      <c r="F34" s="118" t="s">
        <v>178</v>
      </c>
      <c r="G34" s="118"/>
      <c r="H34" s="118"/>
    </row>
    <row r="35" spans="1:9" x14ac:dyDescent="0.35">
      <c r="A35" s="117" t="s">
        <v>26</v>
      </c>
      <c r="B35" s="117" t="s">
        <v>29</v>
      </c>
      <c r="C35" s="118" t="s">
        <v>29</v>
      </c>
      <c r="D35" s="118"/>
      <c r="E35" s="118"/>
      <c r="F35" s="118" t="s">
        <v>178</v>
      </c>
      <c r="G35" s="118"/>
      <c r="H35" s="118"/>
    </row>
    <row r="36" spans="1:9" x14ac:dyDescent="0.35">
      <c r="A36" s="59" t="s">
        <v>31</v>
      </c>
      <c r="B36" s="59"/>
      <c r="C36" s="59"/>
      <c r="D36" s="59"/>
      <c r="E36" s="59"/>
      <c r="F36" s="59"/>
      <c r="G36" s="59"/>
      <c r="H36" s="59"/>
    </row>
    <row r="37" spans="1:9" ht="15.75" customHeight="1" x14ac:dyDescent="0.35">
      <c r="A37" s="59" t="s">
        <v>166</v>
      </c>
      <c r="B37" s="59"/>
      <c r="C37" s="98" t="s">
        <v>204</v>
      </c>
      <c r="D37" s="98"/>
      <c r="E37" s="98"/>
      <c r="F37" s="98"/>
      <c r="G37" s="98"/>
      <c r="H37" s="98"/>
    </row>
    <row r="38" spans="1:9" x14ac:dyDescent="0.35">
      <c r="A38" s="59" t="s">
        <v>163</v>
      </c>
      <c r="B38" s="59"/>
      <c r="C38" s="157" t="s">
        <v>175</v>
      </c>
      <c r="D38" s="89"/>
      <c r="E38" s="89"/>
      <c r="F38" s="89"/>
      <c r="G38" s="89"/>
      <c r="H38" s="89"/>
    </row>
    <row r="39" spans="1:9" x14ac:dyDescent="0.35">
      <c r="A39" s="98" t="s">
        <v>34</v>
      </c>
      <c r="B39" s="98"/>
      <c r="C39" s="98"/>
      <c r="D39" s="98"/>
      <c r="E39" s="98"/>
      <c r="F39" s="98"/>
      <c r="G39" s="98"/>
      <c r="H39" s="98"/>
    </row>
    <row r="40" spans="1:9" x14ac:dyDescent="0.35">
      <c r="A40" s="59" t="s">
        <v>35</v>
      </c>
      <c r="B40" s="59"/>
      <c r="C40" s="59"/>
      <c r="D40" s="59"/>
      <c r="E40" s="121">
        <v>1620</v>
      </c>
      <c r="F40" s="121"/>
      <c r="G40" s="121"/>
      <c r="H40" s="121"/>
    </row>
    <row r="41" spans="1:9" x14ac:dyDescent="0.35">
      <c r="A41" s="59" t="s">
        <v>36</v>
      </c>
      <c r="B41" s="59"/>
      <c r="C41" s="59"/>
      <c r="D41" s="59"/>
      <c r="E41" s="128">
        <v>1.1000000000000001</v>
      </c>
      <c r="F41" s="128"/>
      <c r="G41" s="128"/>
      <c r="H41" s="128"/>
    </row>
    <row r="42" spans="1:9" x14ac:dyDescent="0.35">
      <c r="A42" s="59" t="s">
        <v>37</v>
      </c>
      <c r="B42" s="59"/>
      <c r="C42" s="59"/>
      <c r="D42" s="59"/>
      <c r="E42" s="128">
        <f>E44/E40-E41</f>
        <v>1.4497987654320985</v>
      </c>
      <c r="F42" s="128"/>
      <c r="G42" s="128"/>
      <c r="H42" s="128"/>
      <c r="I42" s="19">
        <f>E40*1.1</f>
        <v>1782.0000000000002</v>
      </c>
    </row>
    <row r="43" spans="1:9" x14ac:dyDescent="0.35">
      <c r="A43" s="59" t="s">
        <v>38</v>
      </c>
      <c r="B43" s="59"/>
      <c r="C43" s="59"/>
      <c r="D43" s="59"/>
      <c r="E43" s="128">
        <f>E41+E42</f>
        <v>2.5497987654320986</v>
      </c>
      <c r="F43" s="128"/>
      <c r="G43" s="128"/>
      <c r="H43" s="128"/>
    </row>
    <row r="44" spans="1:9" x14ac:dyDescent="0.35">
      <c r="A44" s="59" t="s">
        <v>94</v>
      </c>
      <c r="B44" s="59"/>
      <c r="C44" s="59"/>
      <c r="D44" s="59"/>
      <c r="E44" s="130">
        <v>4130.674</v>
      </c>
      <c r="F44" s="130"/>
      <c r="G44" s="130"/>
      <c r="H44" s="130"/>
    </row>
    <row r="45" spans="1:9" x14ac:dyDescent="0.35">
      <c r="A45" s="111" t="s">
        <v>39</v>
      </c>
      <c r="B45" s="111"/>
      <c r="C45" s="111"/>
      <c r="D45" s="111"/>
      <c r="E45" s="111" t="s">
        <v>124</v>
      </c>
      <c r="F45" s="111"/>
      <c r="G45" s="111"/>
      <c r="H45" s="111"/>
    </row>
    <row r="46" spans="1:9" x14ac:dyDescent="0.35">
      <c r="A46" s="98" t="s">
        <v>40</v>
      </c>
      <c r="B46" s="98"/>
      <c r="C46" s="98"/>
      <c r="D46" s="98"/>
      <c r="E46" s="98"/>
      <c r="F46" s="98"/>
      <c r="G46" s="98"/>
      <c r="H46" s="98"/>
    </row>
    <row r="47" spans="1:9" ht="33.75" customHeight="1" x14ac:dyDescent="0.35">
      <c r="A47" s="90" t="s">
        <v>152</v>
      </c>
      <c r="B47" s="90"/>
      <c r="C47" s="132" t="s">
        <v>183</v>
      </c>
      <c r="D47" s="132"/>
      <c r="E47" s="132"/>
      <c r="F47" s="132"/>
      <c r="G47" s="132"/>
      <c r="H47" s="132"/>
    </row>
    <row r="48" spans="1:9" ht="15.75" customHeight="1" x14ac:dyDescent="0.35">
      <c r="A48" s="90" t="s">
        <v>41</v>
      </c>
      <c r="B48" s="90"/>
      <c r="C48" s="90" t="s">
        <v>184</v>
      </c>
      <c r="D48" s="90"/>
      <c r="E48" s="90"/>
      <c r="F48" s="17" t="s">
        <v>42</v>
      </c>
      <c r="G48" s="160">
        <v>44951</v>
      </c>
      <c r="H48" s="90"/>
    </row>
    <row r="49" spans="1:14" x14ac:dyDescent="0.35">
      <c r="A49" s="70" t="s">
        <v>43</v>
      </c>
      <c r="B49" s="71"/>
      <c r="C49" s="70" t="str">
        <f>C48</f>
        <v>PMP/NRV/16326/JK/198/2023</v>
      </c>
      <c r="D49" s="72"/>
      <c r="E49" s="71"/>
      <c r="F49" s="17" t="s">
        <v>42</v>
      </c>
      <c r="G49" s="73">
        <v>44951</v>
      </c>
      <c r="H49" s="71"/>
    </row>
    <row r="50" spans="1:14" s="21" customFormat="1" ht="33.75" customHeight="1" x14ac:dyDescent="0.35">
      <c r="A50" s="124" t="s">
        <v>156</v>
      </c>
      <c r="B50" s="125"/>
      <c r="C50" s="70" t="s">
        <v>185</v>
      </c>
      <c r="D50" s="72"/>
      <c r="E50" s="71"/>
      <c r="F50" s="17" t="s">
        <v>42</v>
      </c>
      <c r="G50" s="73">
        <v>44951</v>
      </c>
      <c r="H50" s="71"/>
    </row>
    <row r="51" spans="1:14" s="21" customFormat="1" ht="15.75" customHeight="1" x14ac:dyDescent="0.35">
      <c r="A51" s="126"/>
      <c r="B51" s="127"/>
      <c r="C51" s="70" t="s">
        <v>186</v>
      </c>
      <c r="D51" s="72"/>
      <c r="E51" s="72"/>
      <c r="F51" s="72"/>
      <c r="G51" s="72"/>
      <c r="H51" s="71"/>
    </row>
    <row r="52" spans="1:14" x14ac:dyDescent="0.35">
      <c r="A52" s="85" t="s">
        <v>44</v>
      </c>
      <c r="B52" s="86"/>
      <c r="C52" s="85" t="s">
        <v>106</v>
      </c>
      <c r="D52" s="142"/>
      <c r="E52" s="86"/>
      <c r="F52" s="43" t="s">
        <v>42</v>
      </c>
      <c r="G52" s="140" t="s">
        <v>29</v>
      </c>
      <c r="H52" s="141"/>
    </row>
    <row r="53" spans="1:14" x14ac:dyDescent="0.35">
      <c r="A53" s="101" t="s">
        <v>46</v>
      </c>
      <c r="B53" s="101"/>
      <c r="C53" s="101"/>
      <c r="D53" s="101"/>
      <c r="E53" s="101"/>
      <c r="F53" s="101"/>
      <c r="G53" s="101"/>
      <c r="H53" s="101"/>
    </row>
    <row r="54" spans="1:14" x14ac:dyDescent="0.35">
      <c r="A54" s="90" t="s">
        <v>93</v>
      </c>
      <c r="B54" s="90"/>
      <c r="C54" s="90"/>
      <c r="D54" s="59">
        <f>E44</f>
        <v>4130.674</v>
      </c>
      <c r="E54" s="59"/>
      <c r="F54" s="59"/>
      <c r="G54" s="59"/>
      <c r="H54" s="59"/>
    </row>
    <row r="55" spans="1:14" x14ac:dyDescent="0.35">
      <c r="A55" s="89" t="s">
        <v>47</v>
      </c>
      <c r="B55" s="111"/>
      <c r="C55" s="111"/>
      <c r="D55" s="111" t="s">
        <v>201</v>
      </c>
      <c r="E55" s="111"/>
      <c r="F55" s="111"/>
      <c r="G55" s="111"/>
      <c r="H55" s="111"/>
      <c r="I55" s="22"/>
    </row>
    <row r="56" spans="1:14" x14ac:dyDescent="0.35">
      <c r="A56" s="80" t="s">
        <v>48</v>
      </c>
      <c r="B56" s="81"/>
      <c r="C56" s="123"/>
      <c r="D56" s="92" t="s">
        <v>186</v>
      </c>
      <c r="E56" s="122"/>
      <c r="F56" s="122"/>
      <c r="G56" s="122"/>
      <c r="H56" s="122"/>
    </row>
    <row r="57" spans="1:14" ht="15.75" customHeight="1" x14ac:dyDescent="0.35">
      <c r="A57" s="80" t="s">
        <v>91</v>
      </c>
      <c r="B57" s="81"/>
      <c r="C57" s="81"/>
      <c r="D57" s="82" t="s">
        <v>186</v>
      </c>
      <c r="E57" s="83"/>
      <c r="F57" s="83"/>
      <c r="G57" s="83"/>
      <c r="H57" s="84"/>
    </row>
    <row r="58" spans="1:14" ht="15.75" customHeight="1" x14ac:dyDescent="0.35">
      <c r="A58" s="59" t="s">
        <v>45</v>
      </c>
      <c r="B58" s="59"/>
      <c r="C58" s="59"/>
      <c r="D58" s="129" t="s">
        <v>182</v>
      </c>
      <c r="E58" s="129"/>
      <c r="F58" s="129"/>
      <c r="G58" s="129"/>
      <c r="H58" s="129"/>
      <c r="J58" s="23"/>
      <c r="K58" s="22"/>
      <c r="N58" s="22"/>
    </row>
    <row r="59" spans="1:14" ht="15.75" customHeight="1" x14ac:dyDescent="0.35">
      <c r="A59" s="59" t="s">
        <v>89</v>
      </c>
      <c r="B59" s="59"/>
      <c r="C59" s="59"/>
      <c r="D59" s="144" t="str">
        <f>(IF(G52="NA","60 Years After Completion",IF(G52&lt;&gt;"NA",""&amp;60-ROUNDDOWN((E3-G52)/360,0)&amp;" Years"," ")))</f>
        <v>60 Years After Completion</v>
      </c>
      <c r="E59" s="144"/>
      <c r="F59" s="144"/>
      <c r="G59" s="144"/>
      <c r="H59" s="144"/>
      <c r="N59" s="22"/>
    </row>
    <row r="60" spans="1:14" ht="15.75" customHeight="1" x14ac:dyDescent="0.35">
      <c r="A60" s="59" t="s">
        <v>90</v>
      </c>
      <c r="B60" s="59"/>
      <c r="C60" s="59"/>
      <c r="D60" s="90" t="s">
        <v>23</v>
      </c>
      <c r="E60" s="90"/>
      <c r="F60" s="90"/>
      <c r="G60" s="90"/>
      <c r="H60" s="90"/>
      <c r="J60" s="24"/>
      <c r="K60" s="24"/>
    </row>
    <row r="61" spans="1:14" ht="31.5" customHeight="1" x14ac:dyDescent="0.35">
      <c r="A61" s="59" t="s">
        <v>76</v>
      </c>
      <c r="B61" s="59"/>
      <c r="C61" s="59"/>
      <c r="D61" s="89" t="s">
        <v>187</v>
      </c>
      <c r="E61" s="90"/>
      <c r="F61" s="90"/>
      <c r="G61" s="90"/>
      <c r="H61" s="90"/>
    </row>
    <row r="62" spans="1:14" x14ac:dyDescent="0.35">
      <c r="A62" s="90" t="s">
        <v>151</v>
      </c>
      <c r="B62" s="90"/>
      <c r="C62" s="90"/>
      <c r="D62" s="90" t="s">
        <v>29</v>
      </c>
      <c r="E62" s="90"/>
      <c r="F62" s="90"/>
      <c r="G62" s="90"/>
      <c r="H62" s="90"/>
      <c r="I62" s="25"/>
      <c r="J62" s="25"/>
      <c r="K62" s="25"/>
      <c r="L62" s="25"/>
      <c r="M62" s="25"/>
      <c r="N62" s="25"/>
    </row>
    <row r="63" spans="1:14" ht="15.75" customHeight="1" x14ac:dyDescent="0.35">
      <c r="A63" s="93" t="s">
        <v>88</v>
      </c>
      <c r="B63" s="93"/>
      <c r="C63" s="93"/>
      <c r="D63" s="92" t="str">
        <f ca="1">(IF(G69&gt;95%,"Nothing",IF(G69&gt;0%,"Cement, Aggregate, Steel, etc",IF(G69=0%,"Work not yet Started"))))</f>
        <v>Cement, Aggregate, Steel, etc</v>
      </c>
      <c r="E63" s="92"/>
      <c r="F63" s="92"/>
      <c r="G63" s="92"/>
      <c r="H63" s="92"/>
      <c r="J63" s="24"/>
    </row>
    <row r="64" spans="1:14" ht="33.75" customHeight="1" thickBot="1" x14ac:dyDescent="0.4">
      <c r="A64" s="91" t="s">
        <v>119</v>
      </c>
      <c r="B64" s="91"/>
      <c r="C64" s="91"/>
      <c r="D64" s="92" t="str">
        <f ca="1">(IF(D63="Nothing","Yes",IF(D63="Cement, Aggregate, Steel, etc","Under Construction",IF(D63="Work not yet Started","Work not yet Started"))))</f>
        <v>Under Construction</v>
      </c>
      <c r="E64" s="92"/>
      <c r="F64" s="92" t="str">
        <f ca="1">(IF(D63="Nothing","Yes",IF(D63="Cement, Aggregate, Steel, etc","Under Construction",IF(D63="Work not yet Started","Work not yet Started"))))</f>
        <v>Under Construction</v>
      </c>
      <c r="G64" s="92"/>
      <c r="H64" s="92"/>
    </row>
    <row r="65" spans="1:11" ht="15.75" customHeight="1" x14ac:dyDescent="0.35">
      <c r="A65" s="133" t="s">
        <v>143</v>
      </c>
      <c r="B65" s="134"/>
      <c r="C65" s="135" t="str">
        <f>D57</f>
        <v>G + 1st to 12th Floor</v>
      </c>
      <c r="D65" s="136"/>
      <c r="E65" s="136"/>
      <c r="F65" s="136"/>
      <c r="G65" s="136"/>
      <c r="H65" s="137"/>
      <c r="I65" s="4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11 Floor, Painting upto 11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11 Floor, Painting upto 11 Floor</v>
      </c>
    </row>
    <row r="66" spans="1:11" x14ac:dyDescent="0.35">
      <c r="A66" s="15" t="s">
        <v>145</v>
      </c>
      <c r="B66" s="45">
        <f>IF(AND(ISNUMBER(SEARCH("1B",C65))),1,IF(AND(ISNUMBER(SEARCH("2B",C65))),2,IF(AND(ISNUMBER(SEARCH("3B",C65))),3,IF(AND(ISNUMBER(SEARCH("4B",C65))),4,IF(ISNUMBER(SEARCH("5B",C65)),5,0)))))</f>
        <v>0</v>
      </c>
      <c r="C66" s="45" t="s">
        <v>73</v>
      </c>
      <c r="D66" s="45">
        <v>1</v>
      </c>
      <c r="E66" s="45" t="s">
        <v>72</v>
      </c>
      <c r="F66" s="45">
        <v>0</v>
      </c>
      <c r="G66" s="46" t="s">
        <v>82</v>
      </c>
      <c r="H66" s="16">
        <f ca="1">--TRIM(RIGHT(SUBSTITUTE(LEFT(C65,_xlfn.AGGREGATE(16,6,FIND({0,1,2,3,4,5,6,7,8,9},C65,ROW(INDIRECT("1:"&amp;LEN(C65)))),1))," ",REPT(" ",LEN(C65))),LEN(C65)))</f>
        <v>12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1" ht="30.75" customHeight="1" x14ac:dyDescent="0.35">
      <c r="A67" s="131" t="s">
        <v>92</v>
      </c>
      <c r="B67" s="132"/>
      <c r="C67" s="138" t="str">
        <f ca="1">I65</f>
        <v>Excavation, Plinth, RCC Slab, Brickwork, Internal Plaster, External Plaster Completed, Flooring upto 11 Floor, Painting upto 11 Floor Completed</v>
      </c>
      <c r="D67" s="138"/>
      <c r="E67" s="138"/>
      <c r="F67" s="138"/>
      <c r="G67" s="138"/>
      <c r="H67" s="139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1" ht="15.75" customHeight="1" x14ac:dyDescent="0.35">
      <c r="A68" s="65" t="s">
        <v>49</v>
      </c>
      <c r="B68" s="66"/>
      <c r="C68" s="42" t="s">
        <v>142</v>
      </c>
      <c r="D68" s="42" t="s">
        <v>85</v>
      </c>
      <c r="E68" s="66" t="s">
        <v>87</v>
      </c>
      <c r="F68" s="66"/>
      <c r="G68" s="66" t="s">
        <v>86</v>
      </c>
      <c r="H68" s="94"/>
      <c r="I68" s="13" t="s">
        <v>144</v>
      </c>
      <c r="J68" s="26">
        <f ca="1">H66*25%</f>
        <v>3</v>
      </c>
    </row>
    <row r="69" spans="1:11" x14ac:dyDescent="0.35">
      <c r="A69" s="66" t="s">
        <v>131</v>
      </c>
      <c r="B69" s="66"/>
      <c r="C69" s="58">
        <f ca="1">J70</f>
        <v>12</v>
      </c>
      <c r="D69" s="18">
        <f ca="1">((100/H66)*C69)/100</f>
        <v>1</v>
      </c>
      <c r="E69" s="161">
        <f ca="1">(((C70/H66*10)+(40/(D66+F66+H66)*C71)+(7.5/(H66)*C72)+(7.5/(H66)*C73)+(10/H66*C74)+(10/H66*C75)+(5/H66*C76)+(5/H66*C77)+(5/H66*C78))/100)</f>
        <v>0.88749999999999996</v>
      </c>
      <c r="F69" s="161"/>
      <c r="G69" s="161">
        <f ca="1">((((C69/H66)*20)+((C70/H66)*25)+(30/(H66+F66+D66)*C71)+(5/H66*C72)+(5/H66*C73)+(5/H66*C74)+(5/H66*C75)+(0/H66*C76)+(0/H66*C77)+(5/H66*C78))/100)</f>
        <v>0.9458333333333333</v>
      </c>
      <c r="H69" s="161"/>
      <c r="I69" s="13" t="s">
        <v>101</v>
      </c>
      <c r="J69" s="27">
        <f ca="1">H66*50%</f>
        <v>6</v>
      </c>
    </row>
    <row r="70" spans="1:11" x14ac:dyDescent="0.35">
      <c r="A70" s="66" t="s">
        <v>50</v>
      </c>
      <c r="B70" s="66"/>
      <c r="C70" s="51">
        <v>12</v>
      </c>
      <c r="D70" s="18">
        <f ca="1">((100/H66)*C70)/100</f>
        <v>1</v>
      </c>
      <c r="E70" s="161"/>
      <c r="F70" s="161"/>
      <c r="G70" s="161"/>
      <c r="H70" s="161"/>
      <c r="I70" s="13" t="s">
        <v>102</v>
      </c>
      <c r="J70" s="27">
        <f ca="1">H66</f>
        <v>12</v>
      </c>
    </row>
    <row r="71" spans="1:11" ht="15.75" customHeight="1" x14ac:dyDescent="0.35">
      <c r="A71" s="66" t="s">
        <v>132</v>
      </c>
      <c r="B71" s="66"/>
      <c r="C71" s="58">
        <v>13</v>
      </c>
      <c r="D71" s="18">
        <f ca="1">((100/(D66+F66+H66))*C71)/100</f>
        <v>1</v>
      </c>
      <c r="E71" s="161"/>
      <c r="F71" s="161"/>
      <c r="G71" s="161"/>
      <c r="H71" s="161"/>
      <c r="I71" s="13" t="s">
        <v>103</v>
      </c>
      <c r="J71" s="28">
        <f ca="1">(IF(B66&gt;1,(H66/(B66+2)),H66/4))</f>
        <v>3</v>
      </c>
    </row>
    <row r="72" spans="1:11" ht="15.75" customHeight="1" x14ac:dyDescent="0.35">
      <c r="A72" s="66" t="s">
        <v>139</v>
      </c>
      <c r="B72" s="66" t="s">
        <v>133</v>
      </c>
      <c r="C72" s="58">
        <v>12</v>
      </c>
      <c r="D72" s="18">
        <f ca="1">((100/H66)*C72)/100</f>
        <v>1</v>
      </c>
      <c r="E72" s="161"/>
      <c r="F72" s="161"/>
      <c r="G72" s="161"/>
      <c r="H72" s="161"/>
      <c r="I72" s="13" t="s">
        <v>104</v>
      </c>
      <c r="J72" s="28">
        <f ca="1">(IF(B66&gt;1,(H66/(B66+2)+J71),H66/4+J71))</f>
        <v>6</v>
      </c>
    </row>
    <row r="73" spans="1:11" ht="15.75" customHeight="1" x14ac:dyDescent="0.35">
      <c r="A73" s="66" t="s">
        <v>140</v>
      </c>
      <c r="B73" s="66" t="s">
        <v>133</v>
      </c>
      <c r="C73" s="58">
        <v>12</v>
      </c>
      <c r="D73" s="18">
        <f ca="1">((100/H66)*C73)/100</f>
        <v>1</v>
      </c>
      <c r="E73" s="161"/>
      <c r="F73" s="161"/>
      <c r="G73" s="161"/>
      <c r="H73" s="161"/>
      <c r="I73" s="13" t="s">
        <v>149</v>
      </c>
      <c r="J73" s="28">
        <f>(IF(B66&gt;1,(H66/(B66+2)+J72),0))</f>
        <v>0</v>
      </c>
    </row>
    <row r="74" spans="1:11" ht="15" customHeight="1" x14ac:dyDescent="0.35">
      <c r="A74" s="66" t="s">
        <v>138</v>
      </c>
      <c r="B74" s="66" t="s">
        <v>135</v>
      </c>
      <c r="C74" s="58">
        <v>12</v>
      </c>
      <c r="D74" s="18">
        <f ca="1">((100/(H66))*C74)/100</f>
        <v>1</v>
      </c>
      <c r="E74" s="161"/>
      <c r="F74" s="161"/>
      <c r="G74" s="161"/>
      <c r="H74" s="161"/>
      <c r="I74" s="13" t="s">
        <v>146</v>
      </c>
      <c r="J74" s="28">
        <f>(IF(B66&gt;2,(H66/(B66+2)+J73),0))</f>
        <v>0</v>
      </c>
    </row>
    <row r="75" spans="1:11" ht="15.75" customHeight="1" x14ac:dyDescent="0.35">
      <c r="A75" s="66" t="s">
        <v>134</v>
      </c>
      <c r="B75" s="66" t="s">
        <v>134</v>
      </c>
      <c r="C75" s="58">
        <v>11</v>
      </c>
      <c r="D75" s="18">
        <f ca="1">((100/H66)*C75)/100</f>
        <v>0.91666666666666674</v>
      </c>
      <c r="E75" s="161"/>
      <c r="F75" s="161"/>
      <c r="G75" s="161"/>
      <c r="H75" s="161"/>
      <c r="I75" s="13" t="s">
        <v>147</v>
      </c>
      <c r="J75" s="29">
        <f>(IF(B66&gt;3,(H66/(B66+2)+J74),0))</f>
        <v>0</v>
      </c>
    </row>
    <row r="76" spans="1:11" ht="15.75" customHeight="1" x14ac:dyDescent="0.35">
      <c r="A76" s="66" t="s">
        <v>141</v>
      </c>
      <c r="B76" s="66"/>
      <c r="C76" s="58">
        <v>11</v>
      </c>
      <c r="D76" s="18">
        <f ca="1">((100/H66)*C76)/100</f>
        <v>0.91666666666666674</v>
      </c>
      <c r="E76" s="161"/>
      <c r="F76" s="161"/>
      <c r="G76" s="161"/>
      <c r="H76" s="161"/>
      <c r="I76" s="13" t="s">
        <v>148</v>
      </c>
      <c r="J76" s="28">
        <f>(IF(B66&gt;4,(H66/(B66+2)+J75),0))</f>
        <v>0</v>
      </c>
    </row>
    <row r="77" spans="1:11" ht="15.75" customHeight="1" x14ac:dyDescent="0.35">
      <c r="A77" s="66" t="s">
        <v>136</v>
      </c>
      <c r="B77" s="66" t="s">
        <v>136</v>
      </c>
      <c r="C77" s="58">
        <v>0</v>
      </c>
      <c r="D77" s="18">
        <f ca="1">((100/(H66))*C77)/100</f>
        <v>0</v>
      </c>
      <c r="E77" s="161"/>
      <c r="F77" s="161"/>
      <c r="G77" s="161"/>
      <c r="H77" s="161"/>
      <c r="I77" s="13" t="s">
        <v>150</v>
      </c>
      <c r="J77" s="28">
        <f ca="1">(IF(B66=1,(H66/(B66+3)+J72),IF(B66=0,(H66/4+J72),IF(B66&gt;1,0))))</f>
        <v>9</v>
      </c>
    </row>
    <row r="78" spans="1:11" ht="16" thickBot="1" x14ac:dyDescent="0.4">
      <c r="A78" s="66" t="s">
        <v>137</v>
      </c>
      <c r="B78" s="66"/>
      <c r="C78" s="58">
        <v>0</v>
      </c>
      <c r="D78" s="18">
        <f ca="1">((100/(H66))*C78)/100</f>
        <v>0</v>
      </c>
      <c r="E78" s="161"/>
      <c r="F78" s="161"/>
      <c r="G78" s="161"/>
      <c r="H78" s="161"/>
      <c r="I78" s="14" t="s">
        <v>105</v>
      </c>
      <c r="J78" s="30">
        <f ca="1">(IF(B66&gt;1.5,(H66/(B66+2)+J72+MAX(0,J73-J72)+MAX(0,J74-J73)+MAX(0,J75-J74)+MAX(0,J76-J75)+MAX(0,J77-J76)),IF(B66=1,(H66/(B66+3)+J77),IF(B66=0,H66/4+J77))))</f>
        <v>12</v>
      </c>
    </row>
    <row r="79" spans="1:11" x14ac:dyDescent="0.35">
      <c r="A79" s="98" t="s">
        <v>158</v>
      </c>
      <c r="B79" s="98"/>
      <c r="C79" s="98"/>
      <c r="D79" s="98"/>
      <c r="E79" s="98"/>
      <c r="F79" s="110" t="s">
        <v>161</v>
      </c>
      <c r="G79" s="110"/>
      <c r="H79" s="110"/>
    </row>
    <row r="80" spans="1:11" x14ac:dyDescent="0.35">
      <c r="A80" s="59" t="s">
        <v>160</v>
      </c>
      <c r="B80" s="59"/>
      <c r="C80" s="59"/>
      <c r="D80" s="59"/>
      <c r="E80" s="59"/>
      <c r="F80" s="67">
        <v>4500</v>
      </c>
      <c r="G80" s="67"/>
      <c r="H80" s="67"/>
      <c r="I80" s="19" t="s">
        <v>205</v>
      </c>
      <c r="J80" s="23">
        <v>45278</v>
      </c>
      <c r="K80" s="19" t="s">
        <v>206</v>
      </c>
    </row>
    <row r="81" spans="1:8" x14ac:dyDescent="0.35">
      <c r="A81" s="59" t="s">
        <v>159</v>
      </c>
      <c r="B81" s="59"/>
      <c r="C81" s="59"/>
      <c r="D81" s="59"/>
      <c r="E81" s="59"/>
      <c r="F81" s="67">
        <v>7000</v>
      </c>
      <c r="G81" s="67"/>
      <c r="H81" s="67"/>
    </row>
    <row r="82" spans="1:8" s="31" customFormat="1" x14ac:dyDescent="0.3">
      <c r="A82" s="59" t="s">
        <v>97</v>
      </c>
      <c r="B82" s="59"/>
      <c r="C82" s="59"/>
      <c r="D82" s="59"/>
      <c r="E82" s="59"/>
      <c r="F82" s="67">
        <v>100000</v>
      </c>
      <c r="G82" s="67"/>
      <c r="H82" s="67"/>
    </row>
    <row r="83" spans="1:8" s="31" customFormat="1" x14ac:dyDescent="0.3">
      <c r="A83" s="59" t="s">
        <v>98</v>
      </c>
      <c r="B83" s="59"/>
      <c r="C83" s="59"/>
      <c r="D83" s="59"/>
      <c r="E83" s="59"/>
      <c r="F83" s="67">
        <v>50000</v>
      </c>
      <c r="G83" s="67"/>
      <c r="H83" s="67"/>
    </row>
    <row r="84" spans="1:8" s="31" customFormat="1" hidden="1" x14ac:dyDescent="0.3">
      <c r="A84" s="59" t="s">
        <v>162</v>
      </c>
      <c r="B84" s="59"/>
      <c r="C84" s="59"/>
      <c r="D84" s="59"/>
      <c r="E84" s="59"/>
      <c r="F84" s="67"/>
      <c r="G84" s="67"/>
      <c r="H84" s="67"/>
    </row>
    <row r="85" spans="1:8" s="31" customFormat="1" hidden="1" x14ac:dyDescent="0.3">
      <c r="A85" s="59" t="s">
        <v>99</v>
      </c>
      <c r="B85" s="59"/>
      <c r="C85" s="59"/>
      <c r="D85" s="59"/>
      <c r="E85" s="59"/>
      <c r="F85" s="67"/>
      <c r="G85" s="67"/>
      <c r="H85" s="67"/>
    </row>
    <row r="86" spans="1:8" s="31" customFormat="1" hidden="1" x14ac:dyDescent="0.3">
      <c r="A86" s="59" t="s">
        <v>100</v>
      </c>
      <c r="B86" s="59"/>
      <c r="C86" s="59"/>
      <c r="D86" s="59"/>
      <c r="E86" s="59"/>
      <c r="F86" s="67"/>
      <c r="G86" s="67"/>
      <c r="H86" s="67"/>
    </row>
    <row r="87" spans="1:8" s="31" customFormat="1" x14ac:dyDescent="0.3">
      <c r="A87" s="59" t="s">
        <v>208</v>
      </c>
      <c r="B87" s="59"/>
      <c r="C87" s="59"/>
      <c r="D87" s="59"/>
      <c r="E87" s="59"/>
      <c r="F87" s="67">
        <v>60000</v>
      </c>
      <c r="G87" s="67"/>
      <c r="H87" s="67"/>
    </row>
    <row r="88" spans="1:8" s="31" customFormat="1" x14ac:dyDescent="0.3">
      <c r="A88" s="59" t="s">
        <v>207</v>
      </c>
      <c r="B88" s="59"/>
      <c r="C88" s="59"/>
      <c r="D88" s="59"/>
      <c r="E88" s="59"/>
      <c r="F88" s="67">
        <v>36000</v>
      </c>
      <c r="G88" s="67"/>
      <c r="H88" s="67"/>
    </row>
    <row r="89" spans="1:8" x14ac:dyDescent="0.35">
      <c r="A89" s="59" t="s">
        <v>51</v>
      </c>
      <c r="B89" s="59"/>
      <c r="C89" s="59"/>
      <c r="D89" s="59"/>
      <c r="E89" s="59"/>
      <c r="F89" s="67">
        <v>200000</v>
      </c>
      <c r="G89" s="67"/>
      <c r="H89" s="67"/>
    </row>
    <row r="90" spans="1:8" s="32" customFormat="1" x14ac:dyDescent="0.35">
      <c r="A90" s="98" t="s">
        <v>52</v>
      </c>
      <c r="B90" s="98"/>
      <c r="C90" s="98"/>
      <c r="D90" s="98"/>
      <c r="E90" s="98"/>
      <c r="F90" s="67">
        <f>F80*0.8</f>
        <v>3600</v>
      </c>
      <c r="G90" s="67"/>
      <c r="H90" s="67"/>
    </row>
    <row r="91" spans="1:8" s="33" customFormat="1" ht="15.75" customHeight="1" x14ac:dyDescent="0.35">
      <c r="A91" s="97" t="s">
        <v>77</v>
      </c>
      <c r="B91" s="97"/>
      <c r="C91" s="97"/>
      <c r="D91" s="97"/>
      <c r="E91" s="97"/>
      <c r="F91" s="97"/>
      <c r="G91" s="97"/>
      <c r="H91" s="97"/>
    </row>
    <row r="92" spans="1:8" s="33" customFormat="1" ht="15.75" customHeight="1" x14ac:dyDescent="0.35">
      <c r="A92" s="62" t="s">
        <v>53</v>
      </c>
      <c r="B92" s="62"/>
      <c r="C92" s="143" t="s">
        <v>80</v>
      </c>
      <c r="D92" s="143"/>
      <c r="E92" s="79" t="s">
        <v>54</v>
      </c>
      <c r="F92" s="79"/>
      <c r="G92" s="62" t="s">
        <v>55</v>
      </c>
      <c r="H92" s="62"/>
    </row>
    <row r="93" spans="1:8" s="33" customFormat="1" x14ac:dyDescent="0.35">
      <c r="A93" s="100" t="s">
        <v>190</v>
      </c>
      <c r="B93" s="100"/>
      <c r="C93" s="74">
        <f>COUNT(D102:D105)</f>
        <v>4</v>
      </c>
      <c r="D93" s="75"/>
      <c r="E93" s="68">
        <f>SUM(D102:D105)</f>
        <v>696.96899999999994</v>
      </c>
      <c r="F93" s="69"/>
      <c r="G93" s="68">
        <f>SUM(F102:F105)</f>
        <v>1395</v>
      </c>
      <c r="H93" s="69"/>
    </row>
    <row r="94" spans="1:8" s="33" customFormat="1" x14ac:dyDescent="0.35">
      <c r="A94" s="97" t="s">
        <v>71</v>
      </c>
      <c r="B94" s="97"/>
      <c r="C94" s="97"/>
      <c r="D94" s="97"/>
      <c r="E94" s="97"/>
      <c r="F94" s="97"/>
      <c r="G94" s="97"/>
      <c r="H94" s="97"/>
    </row>
    <row r="95" spans="1:8" s="33" customFormat="1" ht="15.75" customHeight="1" x14ac:dyDescent="0.35">
      <c r="A95" s="62" t="s">
        <v>53</v>
      </c>
      <c r="B95" s="62"/>
      <c r="C95" s="143" t="s">
        <v>80</v>
      </c>
      <c r="D95" s="143"/>
      <c r="E95" s="79" t="s">
        <v>54</v>
      </c>
      <c r="F95" s="79"/>
      <c r="G95" s="62" t="s">
        <v>55</v>
      </c>
      <c r="H95" s="62"/>
    </row>
    <row r="96" spans="1:8" s="33" customFormat="1" ht="16" thickBot="1" x14ac:dyDescent="0.4">
      <c r="A96" s="100" t="s">
        <v>199</v>
      </c>
      <c r="B96" s="100"/>
      <c r="C96" s="74">
        <f>COUNT(D109:D114)+COUNT(D116:D121)*10+COUNT(D123:D126,D128)</f>
        <v>71</v>
      </c>
      <c r="D96" s="74"/>
      <c r="E96" s="68">
        <f>SUM(D109:D114)+SUM(D116:D121)*10+SUM(D123:D126,D128)</f>
        <v>28701.344880000008</v>
      </c>
      <c r="F96" s="68"/>
      <c r="G96" s="68">
        <f>SUM(F109:F114)+SUM(F116:F121)*10+SUM(F123:F126,F128)</f>
        <v>53345</v>
      </c>
      <c r="H96" s="68"/>
    </row>
    <row r="97" spans="1:15" s="33" customFormat="1" ht="16" thickBot="1" x14ac:dyDescent="0.4">
      <c r="A97" s="145" t="s">
        <v>167</v>
      </c>
      <c r="B97" s="146"/>
      <c r="C97" s="87">
        <f>C93+C96</f>
        <v>75</v>
      </c>
      <c r="D97" s="88"/>
      <c r="E97" s="87">
        <f>E93+E96</f>
        <v>29398.313880000009</v>
      </c>
      <c r="F97" s="88"/>
      <c r="G97" s="87">
        <f>G93+G96</f>
        <v>54740</v>
      </c>
      <c r="H97" s="88"/>
    </row>
    <row r="98" spans="1:15" s="32" customFormat="1" x14ac:dyDescent="0.35">
      <c r="A98" s="108" t="s">
        <v>56</v>
      </c>
      <c r="B98" s="108"/>
      <c r="C98" s="108"/>
      <c r="D98" s="108"/>
      <c r="E98" s="108"/>
      <c r="F98" s="108"/>
      <c r="G98" s="108"/>
      <c r="H98" s="108"/>
    </row>
    <row r="99" spans="1:15" x14ac:dyDescent="0.35">
      <c r="A99" s="110" t="s">
        <v>57</v>
      </c>
      <c r="B99" s="110"/>
      <c r="C99" s="110"/>
      <c r="D99" s="110"/>
      <c r="E99" s="110"/>
      <c r="F99" s="110"/>
      <c r="G99" s="110"/>
      <c r="H99" s="110"/>
    </row>
    <row r="100" spans="1:15" ht="47.25" customHeight="1" x14ac:dyDescent="0.35">
      <c r="A100" s="41" t="s">
        <v>121</v>
      </c>
      <c r="B100" s="41" t="s">
        <v>120</v>
      </c>
      <c r="C100" s="41" t="s">
        <v>58</v>
      </c>
      <c r="D100" s="41" t="s">
        <v>59</v>
      </c>
      <c r="E100" s="53" t="s">
        <v>157</v>
      </c>
      <c r="F100" s="41" t="s">
        <v>198</v>
      </c>
      <c r="G100" s="63" t="s">
        <v>61</v>
      </c>
      <c r="H100" s="64"/>
    </row>
    <row r="101" spans="1:15" s="35" customFormat="1" x14ac:dyDescent="0.35">
      <c r="A101" s="76" t="s">
        <v>189</v>
      </c>
      <c r="B101" s="77"/>
      <c r="C101" s="77"/>
      <c r="D101" s="77"/>
      <c r="E101" s="77"/>
      <c r="F101" s="77"/>
      <c r="G101" s="77"/>
      <c r="H101" s="78"/>
      <c r="J101" s="34"/>
    </row>
    <row r="102" spans="1:15" s="35" customFormat="1" ht="15.75" customHeight="1" x14ac:dyDescent="0.35">
      <c r="A102" s="147">
        <v>1</v>
      </c>
      <c r="B102" s="149"/>
      <c r="C102" s="40" t="s">
        <v>190</v>
      </c>
      <c r="D102" s="54">
        <f>(12.96)*(10.764)</f>
        <v>139.50144</v>
      </c>
      <c r="E102" s="40">
        <v>0</v>
      </c>
      <c r="F102" s="40">
        <v>280</v>
      </c>
      <c r="G102" s="151" t="str">
        <f>A101</f>
        <v>Ground Floor For Society Office, Drivers Room, Meter Room Commercial &amp; Parking</v>
      </c>
      <c r="H102" s="152"/>
      <c r="I102" s="34">
        <f>4.8*2.7</f>
        <v>12.96</v>
      </c>
      <c r="K102" s="35">
        <v>280</v>
      </c>
      <c r="L102" s="150">
        <f>K102/D102</f>
        <v>2.0071477398369506</v>
      </c>
      <c r="M102" s="150"/>
      <c r="N102" s="34"/>
    </row>
    <row r="103" spans="1:15" s="35" customFormat="1" ht="15.75" customHeight="1" x14ac:dyDescent="0.35">
      <c r="A103" s="147">
        <f t="shared" ref="A103:A105" si="0">A102+1</f>
        <v>2</v>
      </c>
      <c r="B103" s="149"/>
      <c r="C103" s="40" t="s">
        <v>190</v>
      </c>
      <c r="D103" s="54">
        <f>(13.2)*(10.764)</f>
        <v>142.08479999999997</v>
      </c>
      <c r="E103" s="40">
        <v>0</v>
      </c>
      <c r="F103" s="40">
        <v>285</v>
      </c>
      <c r="G103" s="153"/>
      <c r="H103" s="154"/>
      <c r="I103" s="34">
        <f>4.8*2.75</f>
        <v>13.2</v>
      </c>
      <c r="K103" s="35">
        <v>285</v>
      </c>
      <c r="L103" s="150">
        <f t="shared" ref="L103:L105" si="1">K103/D103</f>
        <v>2.0058443971487452</v>
      </c>
      <c r="M103" s="150"/>
      <c r="N103" s="34"/>
    </row>
    <row r="104" spans="1:15" s="35" customFormat="1" ht="15.75" customHeight="1" x14ac:dyDescent="0.35">
      <c r="A104" s="147">
        <f t="shared" si="0"/>
        <v>3</v>
      </c>
      <c r="B104" s="149"/>
      <c r="C104" s="40" t="s">
        <v>190</v>
      </c>
      <c r="D104" s="54">
        <f>(24.86)*(10.764)</f>
        <v>267.59303999999997</v>
      </c>
      <c r="E104" s="40">
        <v>0</v>
      </c>
      <c r="F104" s="40">
        <v>535</v>
      </c>
      <c r="G104" s="153"/>
      <c r="H104" s="154"/>
      <c r="I104" s="34">
        <f>4.8*5.18</f>
        <v>24.863999999999997</v>
      </c>
      <c r="J104" s="54">
        <f>10.764</f>
        <v>10.763999999999999</v>
      </c>
      <c r="K104" s="35">
        <v>535</v>
      </c>
      <c r="L104" s="150">
        <f t="shared" si="1"/>
        <v>1.9993046156955354</v>
      </c>
      <c r="M104" s="150"/>
      <c r="N104" s="34"/>
    </row>
    <row r="105" spans="1:15" s="35" customFormat="1" ht="15.75" customHeight="1" x14ac:dyDescent="0.35">
      <c r="A105" s="147">
        <f t="shared" si="0"/>
        <v>4</v>
      </c>
      <c r="B105" s="149"/>
      <c r="C105" s="40" t="s">
        <v>190</v>
      </c>
      <c r="D105" s="54">
        <f>(13.73)*(10.764)</f>
        <v>147.78971999999999</v>
      </c>
      <c r="E105" s="40">
        <v>0</v>
      </c>
      <c r="F105" s="40">
        <v>295</v>
      </c>
      <c r="G105" s="155"/>
      <c r="H105" s="156"/>
      <c r="I105" s="34"/>
      <c r="K105" s="35">
        <v>295</v>
      </c>
      <c r="L105" s="150">
        <f t="shared" si="1"/>
        <v>1.9960792942837975</v>
      </c>
      <c r="M105" s="150"/>
      <c r="N105" s="34"/>
    </row>
    <row r="106" spans="1:15" s="35" customFormat="1" x14ac:dyDescent="0.35">
      <c r="A106" s="147"/>
      <c r="B106" s="148"/>
      <c r="C106" s="148"/>
      <c r="D106" s="148"/>
      <c r="E106" s="148"/>
      <c r="F106" s="148"/>
      <c r="G106" s="148"/>
      <c r="H106" s="149"/>
      <c r="I106" s="34"/>
      <c r="N106" s="34"/>
    </row>
    <row r="107" spans="1:15" ht="47.25" customHeight="1" x14ac:dyDescent="0.35">
      <c r="A107" s="52" t="s">
        <v>122</v>
      </c>
      <c r="B107" s="52" t="s">
        <v>123</v>
      </c>
      <c r="C107" s="41" t="s">
        <v>58</v>
      </c>
      <c r="D107" s="41" t="s">
        <v>59</v>
      </c>
      <c r="E107" s="53" t="s">
        <v>60</v>
      </c>
      <c r="F107" s="41" t="s">
        <v>198</v>
      </c>
      <c r="G107" s="63" t="s">
        <v>61</v>
      </c>
      <c r="H107" s="64"/>
      <c r="I107" s="55" t="s">
        <v>197</v>
      </c>
    </row>
    <row r="108" spans="1:15" s="35" customFormat="1" x14ac:dyDescent="0.35">
      <c r="A108" s="76" t="s">
        <v>191</v>
      </c>
      <c r="B108" s="77"/>
      <c r="C108" s="77"/>
      <c r="D108" s="77"/>
      <c r="E108" s="77"/>
      <c r="F108" s="77"/>
      <c r="G108" s="77"/>
      <c r="H108" s="78"/>
      <c r="J108" s="34"/>
    </row>
    <row r="109" spans="1:15" s="35" customFormat="1" ht="15.75" customHeight="1" x14ac:dyDescent="0.35">
      <c r="A109" s="147">
        <v>1</v>
      </c>
      <c r="B109" s="149"/>
      <c r="C109" s="40" t="s">
        <v>192</v>
      </c>
      <c r="D109" s="54">
        <f>(4.65*2.85+2.35*2.1+3.35*2.75+1.2*1.75+2.1*1.2+0.9*2.1+5.38+0.7)*(10.764)</f>
        <v>430.45236000000006</v>
      </c>
      <c r="E109" s="40">
        <v>0</v>
      </c>
      <c r="F109" s="40">
        <v>785</v>
      </c>
      <c r="G109" s="151" t="str">
        <f>A108</f>
        <v>1st Floor For Residential</v>
      </c>
      <c r="H109" s="152"/>
      <c r="I109" s="56">
        <f>4.65*2.85+2.35*2.1+3.35*2.75+1.2*1.75+2.1*1.2+0.9*2.1</f>
        <v>33.910000000000004</v>
      </c>
      <c r="J109" s="35">
        <f>2.375*1+3.005*1</f>
        <v>5.38</v>
      </c>
      <c r="K109" s="35">
        <f>0.4*1.75</f>
        <v>0.70000000000000007</v>
      </c>
      <c r="L109" s="150">
        <f>0.45*2.85</f>
        <v>1.2825</v>
      </c>
      <c r="M109" s="150"/>
      <c r="N109" s="34">
        <v>785</v>
      </c>
      <c r="O109" s="35">
        <f>N109/D109</f>
        <v>1.8236629019759583</v>
      </c>
    </row>
    <row r="110" spans="1:15" s="35" customFormat="1" ht="15.75" customHeight="1" x14ac:dyDescent="0.35">
      <c r="A110" s="147">
        <f t="shared" ref="A110:A114" si="2">A109+1</f>
        <v>2</v>
      </c>
      <c r="B110" s="149"/>
      <c r="C110" s="40" t="s">
        <v>192</v>
      </c>
      <c r="D110" s="54">
        <f>(4.65*2.85+2.35*2.1+3.35*2.75+1.2*1.75+2.1*1.2+0.9*2.1+2.45+0.7)*(10.764)</f>
        <v>398.91384000000005</v>
      </c>
      <c r="E110" s="40">
        <v>0</v>
      </c>
      <c r="F110" s="40">
        <v>745</v>
      </c>
      <c r="G110" s="153"/>
      <c r="H110" s="154"/>
      <c r="I110" s="34"/>
      <c r="L110" s="150">
        <f>0.45*(2.85+2.75)</f>
        <v>2.52</v>
      </c>
      <c r="M110" s="150"/>
      <c r="N110" s="34">
        <v>745</v>
      </c>
      <c r="O110" s="35">
        <f t="shared" ref="O110:O114" si="3">N110/D110</f>
        <v>1.8675712028442029</v>
      </c>
    </row>
    <row r="111" spans="1:15" s="35" customFormat="1" ht="15.75" customHeight="1" x14ac:dyDescent="0.35">
      <c r="A111" s="147">
        <f t="shared" si="2"/>
        <v>3</v>
      </c>
      <c r="B111" s="149"/>
      <c r="C111" s="40" t="s">
        <v>192</v>
      </c>
      <c r="D111" s="54">
        <f>(4.65*2.85+2.35*2.1+3.35*2.75+1.2*1.75+2.1*1.2+0.9*2.1+2.45+0.7)*(10.764)</f>
        <v>398.91384000000005</v>
      </c>
      <c r="E111" s="40">
        <v>0</v>
      </c>
      <c r="F111" s="40">
        <v>745</v>
      </c>
      <c r="G111" s="153"/>
      <c r="H111" s="154"/>
      <c r="I111" s="34"/>
      <c r="L111" s="150">
        <f>0.45*(2.85+2.75)</f>
        <v>2.52</v>
      </c>
      <c r="M111" s="150"/>
      <c r="N111" s="34">
        <v>745</v>
      </c>
      <c r="O111" s="35">
        <f t="shared" si="3"/>
        <v>1.8675712028442029</v>
      </c>
    </row>
    <row r="112" spans="1:15" s="35" customFormat="1" ht="15.75" customHeight="1" x14ac:dyDescent="0.35">
      <c r="A112" s="147">
        <f t="shared" si="2"/>
        <v>4</v>
      </c>
      <c r="B112" s="149"/>
      <c r="C112" s="40" t="s">
        <v>192</v>
      </c>
      <c r="D112" s="54">
        <f>(4.65*2.85+2.35*2.1+3.35*2.75+1.2*1.75+2.1*1.2+0.9*2.1+2.45+0.7)*(10.764)</f>
        <v>398.91384000000005</v>
      </c>
      <c r="E112" s="40">
        <v>0</v>
      </c>
      <c r="F112" s="40">
        <v>745</v>
      </c>
      <c r="G112" s="153"/>
      <c r="H112" s="154"/>
      <c r="I112" s="34"/>
      <c r="L112" s="150"/>
      <c r="M112" s="150"/>
      <c r="N112" s="34">
        <v>745</v>
      </c>
      <c r="O112" s="35">
        <f t="shared" si="3"/>
        <v>1.8675712028442029</v>
      </c>
    </row>
    <row r="113" spans="1:15" s="35" customFormat="1" ht="15.75" customHeight="1" x14ac:dyDescent="0.35">
      <c r="A113" s="147">
        <f t="shared" si="2"/>
        <v>5</v>
      </c>
      <c r="B113" s="149"/>
      <c r="C113" s="40" t="s">
        <v>192</v>
      </c>
      <c r="D113" s="54">
        <f>(4.65*2.85+2.35*2.1+3.35*2.75+1.2*1.75+2.1*1.2+0.9*2.1+2.45+0.7)*(10.764)</f>
        <v>398.91384000000005</v>
      </c>
      <c r="E113" s="40">
        <v>0</v>
      </c>
      <c r="F113" s="40">
        <v>725</v>
      </c>
      <c r="G113" s="153"/>
      <c r="H113" s="154"/>
      <c r="I113" s="34"/>
      <c r="L113" s="150"/>
      <c r="M113" s="150"/>
      <c r="N113" s="34">
        <v>725</v>
      </c>
      <c r="O113" s="35">
        <f t="shared" si="3"/>
        <v>1.8174350631705329</v>
      </c>
    </row>
    <row r="114" spans="1:15" s="35" customFormat="1" ht="15.75" customHeight="1" x14ac:dyDescent="0.35">
      <c r="A114" s="147">
        <f t="shared" si="2"/>
        <v>6</v>
      </c>
      <c r="B114" s="149"/>
      <c r="C114" s="40" t="s">
        <v>192</v>
      </c>
      <c r="D114" s="54">
        <f>(4.65*2.85+2.35*2.1+3.35*2.75+1.2*1.75+2.1*1.2+0.9*2.1+2.45+0.7)*(10.764)</f>
        <v>398.91384000000005</v>
      </c>
      <c r="E114" s="54">
        <f>(2.06)*(10.764)</f>
        <v>22.173839999999998</v>
      </c>
      <c r="F114" s="40">
        <v>735</v>
      </c>
      <c r="G114" s="155"/>
      <c r="H114" s="156"/>
      <c r="I114" s="34">
        <f>4.65*2.85+2.35*2.1+3.35*2.75+1.2*1.75+2.1*1.2+0.9*2.1</f>
        <v>33.910000000000004</v>
      </c>
      <c r="J114" s="35">
        <f>2.45*1</f>
        <v>2.4500000000000002</v>
      </c>
      <c r="K114" s="35">
        <f>0.4*1.75</f>
        <v>0.70000000000000007</v>
      </c>
      <c r="L114" s="150"/>
      <c r="M114" s="150"/>
      <c r="N114" s="34">
        <v>735</v>
      </c>
      <c r="O114" s="35">
        <f t="shared" si="3"/>
        <v>1.842503133007368</v>
      </c>
    </row>
    <row r="115" spans="1:15" s="35" customFormat="1" x14ac:dyDescent="0.35">
      <c r="A115" s="99" t="s">
        <v>193</v>
      </c>
      <c r="B115" s="99"/>
      <c r="C115" s="99"/>
      <c r="D115" s="99"/>
      <c r="E115" s="99"/>
      <c r="F115" s="99"/>
      <c r="G115" s="99"/>
      <c r="H115" s="99"/>
      <c r="I115" s="34"/>
      <c r="L115" s="150"/>
      <c r="M115" s="150"/>
    </row>
    <row r="116" spans="1:15" s="35" customFormat="1" ht="15.75" customHeight="1" x14ac:dyDescent="0.35">
      <c r="A116" s="61">
        <v>1</v>
      </c>
      <c r="B116" s="61"/>
      <c r="C116" s="57" t="s">
        <v>192</v>
      </c>
      <c r="D116" s="54">
        <f>(4.65*2.85+2.35*2.1+3.35*2.75+1.2*1.75+2.1*1.2+0.9*2.1+5.38+0.7)*(10.764)</f>
        <v>430.45236000000006</v>
      </c>
      <c r="E116" s="57">
        <v>0</v>
      </c>
      <c r="F116" s="57">
        <v>785</v>
      </c>
      <c r="G116" s="61" t="str">
        <f>A115</f>
        <v>2nd to 7th &amp; 9th to 12th Floor</v>
      </c>
      <c r="H116" s="61"/>
      <c r="I116" s="34"/>
      <c r="M116" s="35">
        <v>785</v>
      </c>
      <c r="N116" s="56">
        <f>M116/D116</f>
        <v>1.8236629019759583</v>
      </c>
    </row>
    <row r="117" spans="1:15" s="35" customFormat="1" ht="15.75" customHeight="1" x14ac:dyDescent="0.35">
      <c r="A117" s="61">
        <f>A116+1</f>
        <v>2</v>
      </c>
      <c r="B117" s="61"/>
      <c r="C117" s="57" t="s">
        <v>192</v>
      </c>
      <c r="D117" s="54">
        <f>(4.65*2.85+2.35*2.1+3.35*2.75+1.2*1.75+2.1*1.2+0.9*2.1+2.45+0.7)*(10.764)</f>
        <v>398.91384000000005</v>
      </c>
      <c r="E117" s="57">
        <v>0</v>
      </c>
      <c r="F117" s="57">
        <v>745</v>
      </c>
      <c r="G117" s="61"/>
      <c r="H117" s="61"/>
      <c r="I117" s="34"/>
      <c r="L117" s="35">
        <f>0.45*(2.85+2.75)</f>
        <v>2.52</v>
      </c>
      <c r="M117" s="35">
        <v>745</v>
      </c>
      <c r="N117" s="56">
        <f t="shared" ref="N117:N128" si="4">M117/D117</f>
        <v>1.8675712028442029</v>
      </c>
    </row>
    <row r="118" spans="1:15" s="35" customFormat="1" ht="15.75" customHeight="1" x14ac:dyDescent="0.35">
      <c r="A118" s="61">
        <f>A117+1</f>
        <v>3</v>
      </c>
      <c r="B118" s="61"/>
      <c r="C118" s="57" t="s">
        <v>192</v>
      </c>
      <c r="D118" s="54">
        <f>(4.65*2.85+2.35*2.1+3.35*2.75+1.2*1.75+2.1*1.2+0.9*2.1+2.45+0.7)*(10.764)</f>
        <v>398.91384000000005</v>
      </c>
      <c r="E118" s="57">
        <v>0</v>
      </c>
      <c r="F118" s="57">
        <v>745</v>
      </c>
      <c r="G118" s="61"/>
      <c r="H118" s="61"/>
      <c r="I118" s="34"/>
      <c r="M118" s="35">
        <v>745</v>
      </c>
      <c r="N118" s="56">
        <f t="shared" si="4"/>
        <v>1.8675712028442029</v>
      </c>
    </row>
    <row r="119" spans="1:15" s="35" customFormat="1" ht="15.75" customHeight="1" x14ac:dyDescent="0.35">
      <c r="A119" s="61">
        <f>A118+1</f>
        <v>4</v>
      </c>
      <c r="B119" s="61"/>
      <c r="C119" s="57" t="s">
        <v>192</v>
      </c>
      <c r="D119" s="54">
        <f>(4.65*2.85+2.35*2.1+3.35*2.75+1.2*1.75+2.1*1.2+0.9*2.1+2.45+0.7)*(10.764)</f>
        <v>398.91384000000005</v>
      </c>
      <c r="E119" s="57">
        <v>0</v>
      </c>
      <c r="F119" s="57">
        <v>745</v>
      </c>
      <c r="G119" s="61"/>
      <c r="H119" s="61"/>
      <c r="I119" s="34"/>
      <c r="M119" s="35">
        <v>745</v>
      </c>
      <c r="N119" s="56">
        <f t="shared" si="4"/>
        <v>1.8675712028442029</v>
      </c>
    </row>
    <row r="120" spans="1:15" s="35" customFormat="1" ht="15.75" customHeight="1" x14ac:dyDescent="0.35">
      <c r="A120" s="61">
        <f t="shared" ref="A120:A121" si="5">A119+1</f>
        <v>5</v>
      </c>
      <c r="B120" s="61"/>
      <c r="C120" s="57" t="s">
        <v>192</v>
      </c>
      <c r="D120" s="54">
        <f>(4.65*2.85+2.35*2.1+3.35*2.75+1.2*1.75+2.1*1.2+0.9*2.1+2.45+0.7)*(10.764)</f>
        <v>398.91384000000005</v>
      </c>
      <c r="E120" s="57">
        <v>0</v>
      </c>
      <c r="F120" s="57">
        <v>745</v>
      </c>
      <c r="G120" s="61"/>
      <c r="H120" s="61"/>
      <c r="I120" s="34"/>
      <c r="M120" s="35">
        <v>745</v>
      </c>
      <c r="N120" s="56">
        <f t="shared" si="4"/>
        <v>1.8675712028442029</v>
      </c>
    </row>
    <row r="121" spans="1:15" s="35" customFormat="1" ht="15.75" customHeight="1" x14ac:dyDescent="0.35">
      <c r="A121" s="61">
        <f t="shared" si="5"/>
        <v>6</v>
      </c>
      <c r="B121" s="61"/>
      <c r="C121" s="57" t="s">
        <v>192</v>
      </c>
      <c r="D121" s="54">
        <f>(4.65*2.85+2.35*2.1+3.35*2.75+1.2*1.75+2.1*1.2+0.9*2.1+2.45+0.7)*(10.764)</f>
        <v>398.91384000000005</v>
      </c>
      <c r="E121" s="57">
        <v>0</v>
      </c>
      <c r="F121" s="57">
        <v>745</v>
      </c>
      <c r="G121" s="61"/>
      <c r="H121" s="61"/>
      <c r="I121" s="34"/>
      <c r="M121" s="35">
        <v>745</v>
      </c>
      <c r="N121" s="56">
        <f t="shared" si="4"/>
        <v>1.8675712028442029</v>
      </c>
    </row>
    <row r="122" spans="1:15" s="35" customFormat="1" x14ac:dyDescent="0.35">
      <c r="A122" s="99" t="s">
        <v>194</v>
      </c>
      <c r="B122" s="99"/>
      <c r="C122" s="99"/>
      <c r="D122" s="99"/>
      <c r="E122" s="99"/>
      <c r="F122" s="99"/>
      <c r="G122" s="99"/>
      <c r="H122" s="99"/>
      <c r="I122" s="34"/>
      <c r="L122" s="150"/>
      <c r="M122" s="150"/>
      <c r="N122" s="56"/>
    </row>
    <row r="123" spans="1:15" s="35" customFormat="1" ht="15.75" customHeight="1" x14ac:dyDescent="0.35">
      <c r="A123" s="61">
        <v>1</v>
      </c>
      <c r="B123" s="61"/>
      <c r="C123" s="57" t="s">
        <v>192</v>
      </c>
      <c r="D123" s="54">
        <f>(4.65*2.85+2.35*2.1+3.35*2.75+1.2*1.75+2.1*1.2+0.9*2.1+5.38+0.7)*(10.764)</f>
        <v>430.45236000000006</v>
      </c>
      <c r="E123" s="57">
        <v>0</v>
      </c>
      <c r="F123" s="57">
        <v>785</v>
      </c>
      <c r="G123" s="61" t="str">
        <f>A122</f>
        <v>8th Floor (Part Refuge Area)</v>
      </c>
      <c r="H123" s="61"/>
      <c r="I123" s="34"/>
      <c r="M123" s="35">
        <v>785</v>
      </c>
      <c r="N123" s="56">
        <f t="shared" si="4"/>
        <v>1.8236629019759583</v>
      </c>
    </row>
    <row r="124" spans="1:15" s="35" customFormat="1" ht="15.75" customHeight="1" x14ac:dyDescent="0.35">
      <c r="A124" s="61">
        <f>A123+1</f>
        <v>2</v>
      </c>
      <c r="B124" s="61"/>
      <c r="C124" s="57" t="s">
        <v>192</v>
      </c>
      <c r="D124" s="54">
        <f>(4.65*2.85+2.35*2.1+3.35*2.75+1.2*1.75+2.1*1.2+0.9*2.1+2.45+0.7)*(10.764)</f>
        <v>398.91384000000005</v>
      </c>
      <c r="E124" s="57">
        <v>0</v>
      </c>
      <c r="F124" s="57">
        <v>745</v>
      </c>
      <c r="G124" s="61"/>
      <c r="H124" s="61"/>
      <c r="I124" s="34"/>
      <c r="M124" s="35">
        <v>745</v>
      </c>
      <c r="N124" s="56">
        <f t="shared" si="4"/>
        <v>1.8675712028442029</v>
      </c>
    </row>
    <row r="125" spans="1:15" s="35" customFormat="1" ht="15.75" customHeight="1" x14ac:dyDescent="0.35">
      <c r="A125" s="61">
        <f>A124+1</f>
        <v>3</v>
      </c>
      <c r="B125" s="61"/>
      <c r="C125" s="57" t="s">
        <v>192</v>
      </c>
      <c r="D125" s="54">
        <f>(4.65*2.85+2.35*2.1+3.35*2.75+1.2*1.75+2.1*1.2+0.9*2.1+2.45+0.7)*(10.764)</f>
        <v>398.91384000000005</v>
      </c>
      <c r="E125" s="57">
        <v>0</v>
      </c>
      <c r="F125" s="57">
        <v>745</v>
      </c>
      <c r="G125" s="61"/>
      <c r="H125" s="61"/>
      <c r="I125" s="34"/>
      <c r="M125" s="35">
        <v>745</v>
      </c>
      <c r="N125" s="56">
        <f t="shared" si="4"/>
        <v>1.8675712028442029</v>
      </c>
    </row>
    <row r="126" spans="1:15" s="35" customFormat="1" ht="15.75" customHeight="1" x14ac:dyDescent="0.35">
      <c r="A126" s="61">
        <f>A125+1</f>
        <v>4</v>
      </c>
      <c r="B126" s="61"/>
      <c r="C126" s="57" t="s">
        <v>192</v>
      </c>
      <c r="D126" s="54">
        <f>(4.65*2.85+2.35*2.1+3.35*2.75+1.2*1.75+2.1*1.2+0.9*2.1+2.45+0.7)*(10.764)</f>
        <v>398.91384000000005</v>
      </c>
      <c r="E126" s="57">
        <v>0</v>
      </c>
      <c r="F126" s="57">
        <v>745</v>
      </c>
      <c r="G126" s="61"/>
      <c r="H126" s="61"/>
      <c r="I126" s="34"/>
      <c r="M126" s="35">
        <v>745</v>
      </c>
      <c r="N126" s="56">
        <f t="shared" si="4"/>
        <v>1.8675712028442029</v>
      </c>
    </row>
    <row r="127" spans="1:15" s="35" customFormat="1" ht="15.75" customHeight="1" x14ac:dyDescent="0.35">
      <c r="A127" s="61">
        <f t="shared" ref="A127:A128" si="6">A126+1</f>
        <v>5</v>
      </c>
      <c r="B127" s="61"/>
      <c r="C127" s="61" t="s">
        <v>195</v>
      </c>
      <c r="D127" s="61"/>
      <c r="E127" s="61"/>
      <c r="F127" s="61"/>
      <c r="G127" s="61"/>
      <c r="H127" s="61"/>
      <c r="I127" s="34"/>
      <c r="N127" s="56"/>
    </row>
    <row r="128" spans="1:15" s="35" customFormat="1" ht="15.75" customHeight="1" x14ac:dyDescent="0.35">
      <c r="A128" s="61">
        <f t="shared" si="6"/>
        <v>6</v>
      </c>
      <c r="B128" s="61"/>
      <c r="C128" s="57" t="s">
        <v>192</v>
      </c>
      <c r="D128" s="54">
        <f>(4.65*2.85+2.35*2.1+3.35*2.75+1.2*1.75+2.1*1.2+0.9*2.1+2.45+0.7)*(10.764)</f>
        <v>398.91384000000005</v>
      </c>
      <c r="E128" s="57">
        <v>0</v>
      </c>
      <c r="F128" s="57">
        <v>745</v>
      </c>
      <c r="G128" s="61"/>
      <c r="H128" s="61"/>
      <c r="I128" s="34"/>
      <c r="M128" s="35">
        <v>745</v>
      </c>
      <c r="N128" s="56">
        <f t="shared" si="4"/>
        <v>1.8675712028442029</v>
      </c>
    </row>
    <row r="129" spans="1:8" s="33" customFormat="1" x14ac:dyDescent="0.35">
      <c r="A129" s="158" t="s">
        <v>69</v>
      </c>
      <c r="B129" s="158"/>
      <c r="C129" s="158"/>
      <c r="D129" s="158"/>
      <c r="E129" s="158"/>
      <c r="F129" s="158"/>
      <c r="G129" s="158"/>
      <c r="H129" s="158"/>
    </row>
    <row r="130" spans="1:8" s="33" customFormat="1" x14ac:dyDescent="0.35">
      <c r="A130" s="44" t="s">
        <v>154</v>
      </c>
      <c r="B130" s="105" t="s">
        <v>216</v>
      </c>
      <c r="C130" s="106"/>
      <c r="D130" s="106"/>
      <c r="E130" s="106"/>
      <c r="F130" s="106"/>
      <c r="G130" s="106"/>
      <c r="H130" s="107"/>
    </row>
    <row r="131" spans="1:8" s="33" customFormat="1" x14ac:dyDescent="0.35">
      <c r="A131" s="44" t="s">
        <v>154</v>
      </c>
      <c r="B131" s="105" t="str">
        <f>(IF(F107="Saleable area Loading :","We have considered Saleable area of Flats as per our Calculation.","We considered Saleable area of Flat as per Builder area Sheet."))</f>
        <v>We considered Saleable area of Flat as per Builder area Sheet.</v>
      </c>
      <c r="C131" s="106"/>
      <c r="D131" s="106"/>
      <c r="E131" s="106"/>
      <c r="F131" s="106"/>
      <c r="G131" s="106"/>
      <c r="H131" s="107"/>
    </row>
    <row r="132" spans="1:8" s="33" customFormat="1" x14ac:dyDescent="0.35">
      <c r="A132" s="44" t="s">
        <v>154</v>
      </c>
      <c r="B132" s="105" t="str">
        <f>(IF(F100="Saleable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32" s="106"/>
      <c r="D132" s="106"/>
      <c r="E132" s="106"/>
      <c r="F132" s="106"/>
      <c r="G132" s="106"/>
      <c r="H132" s="107"/>
    </row>
    <row r="133" spans="1:8" s="33" customFormat="1" x14ac:dyDescent="0.35">
      <c r="A133" s="44" t="s">
        <v>154</v>
      </c>
      <c r="B133" s="102" t="s">
        <v>126</v>
      </c>
      <c r="C133" s="103"/>
      <c r="D133" s="103"/>
      <c r="E133" s="103"/>
      <c r="F133" s="103"/>
      <c r="G133" s="103"/>
      <c r="H133" s="104"/>
    </row>
    <row r="134" spans="1:8" s="33" customFormat="1" x14ac:dyDescent="0.35">
      <c r="A134" s="44" t="s">
        <v>154</v>
      </c>
      <c r="B134" s="102" t="s">
        <v>196</v>
      </c>
      <c r="C134" s="103"/>
      <c r="D134" s="103"/>
      <c r="E134" s="103"/>
      <c r="F134" s="103"/>
      <c r="G134" s="103"/>
      <c r="H134" s="104"/>
    </row>
    <row r="135" spans="1:8" s="33" customFormat="1" x14ac:dyDescent="0.35">
      <c r="A135" s="44" t="s">
        <v>154</v>
      </c>
      <c r="B135" s="102" t="s">
        <v>153</v>
      </c>
      <c r="C135" s="103"/>
      <c r="D135" s="103"/>
      <c r="E135" s="103"/>
      <c r="F135" s="103"/>
      <c r="G135" s="103"/>
      <c r="H135" s="104"/>
    </row>
    <row r="136" spans="1:8" s="33" customFormat="1" x14ac:dyDescent="0.35">
      <c r="A136" s="44" t="s">
        <v>154</v>
      </c>
      <c r="B136" s="102" t="s">
        <v>127</v>
      </c>
      <c r="C136" s="103"/>
      <c r="D136" s="103"/>
      <c r="E136" s="103"/>
      <c r="F136" s="103"/>
      <c r="G136" s="103"/>
      <c r="H136" s="104"/>
    </row>
    <row r="137" spans="1:8" s="33" customFormat="1" ht="34.5" customHeight="1" x14ac:dyDescent="0.35">
      <c r="A137" s="44" t="s">
        <v>154</v>
      </c>
      <c r="B137" s="102" t="s">
        <v>155</v>
      </c>
      <c r="C137" s="103"/>
      <c r="D137" s="103"/>
      <c r="E137" s="103"/>
      <c r="F137" s="103"/>
      <c r="G137" s="103"/>
      <c r="H137" s="104"/>
    </row>
    <row r="138" spans="1:8" s="33" customFormat="1" x14ac:dyDescent="0.35">
      <c r="A138" s="44" t="s">
        <v>154</v>
      </c>
      <c r="B138" s="102" t="s">
        <v>128</v>
      </c>
      <c r="C138" s="103"/>
      <c r="D138" s="103"/>
      <c r="E138" s="103"/>
      <c r="F138" s="103"/>
      <c r="G138" s="103"/>
      <c r="H138" s="104"/>
    </row>
    <row r="139" spans="1:8" s="33" customFormat="1" x14ac:dyDescent="0.35">
      <c r="A139" s="44" t="s">
        <v>154</v>
      </c>
      <c r="B139" s="102" t="s">
        <v>209</v>
      </c>
      <c r="C139" s="103"/>
      <c r="D139" s="103"/>
      <c r="E139" s="103"/>
      <c r="F139" s="103"/>
      <c r="G139" s="103"/>
      <c r="H139" s="104"/>
    </row>
    <row r="140" spans="1:8" x14ac:dyDescent="0.35">
      <c r="A140" s="101" t="s">
        <v>62</v>
      </c>
      <c r="B140" s="101"/>
      <c r="C140" s="101"/>
      <c r="D140" s="101"/>
      <c r="E140" s="101"/>
      <c r="F140" s="101"/>
      <c r="G140" s="101"/>
      <c r="H140" s="101"/>
    </row>
    <row r="141" spans="1:8" x14ac:dyDescent="0.35">
      <c r="A141" s="59" t="s">
        <v>63</v>
      </c>
      <c r="B141" s="59"/>
      <c r="C141" s="59"/>
      <c r="D141" s="59"/>
      <c r="E141" s="59"/>
      <c r="F141" s="59"/>
      <c r="G141" s="59"/>
      <c r="H141" s="59"/>
    </row>
    <row r="142" spans="1:8" ht="15.75" customHeight="1" x14ac:dyDescent="0.35">
      <c r="A142" s="60" t="s">
        <v>64</v>
      </c>
      <c r="B142" s="60"/>
      <c r="C142" s="60"/>
      <c r="D142" s="60"/>
      <c r="E142" s="60"/>
      <c r="F142" s="60"/>
      <c r="G142" s="60"/>
      <c r="H142" s="60"/>
    </row>
    <row r="143" spans="1:8" x14ac:dyDescent="0.35">
      <c r="A143" s="59" t="s">
        <v>65</v>
      </c>
      <c r="B143" s="59"/>
      <c r="C143" s="59"/>
      <c r="D143" s="59"/>
      <c r="E143" s="59"/>
      <c r="F143" s="59"/>
      <c r="G143" s="59"/>
      <c r="H143" s="59"/>
    </row>
    <row r="144" spans="1:8" x14ac:dyDescent="0.35">
      <c r="A144" s="59" t="s">
        <v>66</v>
      </c>
      <c r="B144" s="59"/>
      <c r="C144" s="59"/>
      <c r="D144" s="59"/>
      <c r="E144" s="59"/>
      <c r="F144" s="59"/>
      <c r="G144" s="59"/>
      <c r="H144" s="59"/>
    </row>
    <row r="145" spans="1:8" x14ac:dyDescent="0.35">
      <c r="A145" s="59" t="s">
        <v>129</v>
      </c>
      <c r="B145" s="59"/>
      <c r="C145" s="59"/>
      <c r="D145" s="59"/>
      <c r="E145" s="59"/>
      <c r="F145" s="59"/>
      <c r="G145" s="59"/>
      <c r="H145" s="59"/>
    </row>
    <row r="146" spans="1:8" x14ac:dyDescent="0.35">
      <c r="A146" s="90" t="s">
        <v>130</v>
      </c>
      <c r="B146" s="90"/>
      <c r="C146" s="90"/>
      <c r="D146" s="90"/>
      <c r="E146" s="90"/>
      <c r="F146" s="90"/>
      <c r="G146" s="90"/>
      <c r="H146" s="90"/>
    </row>
    <row r="147" spans="1:8" x14ac:dyDescent="0.35">
      <c r="A147" s="96" t="s">
        <v>79</v>
      </c>
      <c r="B147" s="96"/>
      <c r="C147" s="96" t="s">
        <v>214</v>
      </c>
      <c r="D147" s="96"/>
      <c r="E147" s="96" t="s">
        <v>107</v>
      </c>
      <c r="F147" s="96"/>
      <c r="G147" s="96" t="s">
        <v>217</v>
      </c>
      <c r="H147" s="96"/>
    </row>
    <row r="148" spans="1:8" x14ac:dyDescent="0.35">
      <c r="A148" s="95" t="s">
        <v>81</v>
      </c>
      <c r="B148" s="95"/>
      <c r="C148" s="95"/>
      <c r="D148" s="95"/>
      <c r="E148" s="95"/>
      <c r="F148" s="95"/>
      <c r="G148" s="95"/>
      <c r="H148" s="95"/>
    </row>
    <row r="149" spans="1:8" x14ac:dyDescent="0.35">
      <c r="A149" s="95"/>
      <c r="B149" s="95"/>
      <c r="C149" s="95"/>
      <c r="D149" s="95"/>
      <c r="E149" s="95"/>
      <c r="F149" s="95"/>
      <c r="G149" s="95"/>
      <c r="H149" s="95"/>
    </row>
    <row r="150" spans="1:8" x14ac:dyDescent="0.35">
      <c r="A150" s="95"/>
      <c r="B150" s="95"/>
      <c r="C150" s="95"/>
      <c r="D150" s="95"/>
      <c r="E150" s="95"/>
      <c r="F150" s="95"/>
      <c r="G150" s="95"/>
      <c r="H150" s="95"/>
    </row>
    <row r="151" spans="1:8" x14ac:dyDescent="0.35">
      <c r="A151" s="95"/>
      <c r="B151" s="95"/>
      <c r="C151" s="95"/>
      <c r="D151" s="95"/>
      <c r="E151" s="95"/>
      <c r="F151" s="95"/>
      <c r="G151" s="95"/>
      <c r="H151" s="95"/>
    </row>
    <row r="152" spans="1:8" x14ac:dyDescent="0.35">
      <c r="A152" s="36" t="s">
        <v>67</v>
      </c>
      <c r="B152" s="37"/>
      <c r="C152" s="37"/>
      <c r="D152" s="36" t="str">
        <f>E8</f>
        <v>Siddhivinayak Darshan</v>
      </c>
      <c r="F152" s="37"/>
      <c r="G152" s="37"/>
      <c r="H152" s="37"/>
    </row>
    <row r="153" spans="1:8" x14ac:dyDescent="0.35">
      <c r="A153" s="37"/>
      <c r="B153" s="37"/>
      <c r="C153" s="37"/>
      <c r="D153" s="37"/>
      <c r="E153" s="37"/>
      <c r="F153" s="37"/>
      <c r="G153" s="37"/>
      <c r="H153" s="37"/>
    </row>
    <row r="154" spans="1:8" x14ac:dyDescent="0.35">
      <c r="A154" s="37"/>
      <c r="B154" s="37"/>
      <c r="C154" s="37"/>
      <c r="D154" s="37"/>
      <c r="E154" s="37"/>
      <c r="F154" s="37"/>
      <c r="G154" s="37"/>
      <c r="H154" s="37"/>
    </row>
    <row r="155" spans="1:8" ht="15" customHeight="1" x14ac:dyDescent="0.35"/>
    <row r="196" spans="1:1" x14ac:dyDescent="0.35">
      <c r="A196" s="39" t="s">
        <v>165</v>
      </c>
    </row>
    <row r="240" spans="1:1" x14ac:dyDescent="0.35">
      <c r="A240" s="39" t="s">
        <v>68</v>
      </c>
    </row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</sheetData>
  <mergeCells count="272">
    <mergeCell ref="B133:H133"/>
    <mergeCell ref="B134:H134"/>
    <mergeCell ref="A129:H129"/>
    <mergeCell ref="B131:H131"/>
    <mergeCell ref="A122:H122"/>
    <mergeCell ref="A123:B123"/>
    <mergeCell ref="G123:H128"/>
    <mergeCell ref="A124:B124"/>
    <mergeCell ref="A125:B125"/>
    <mergeCell ref="A126:B126"/>
    <mergeCell ref="B138:H138"/>
    <mergeCell ref="A38:B38"/>
    <mergeCell ref="C38:H38"/>
    <mergeCell ref="B137:H137"/>
    <mergeCell ref="A47:B47"/>
    <mergeCell ref="C47:H47"/>
    <mergeCell ref="B135:H135"/>
    <mergeCell ref="F81:H81"/>
    <mergeCell ref="A81:E81"/>
    <mergeCell ref="A102:B102"/>
    <mergeCell ref="A103:B103"/>
    <mergeCell ref="C51:H51"/>
    <mergeCell ref="A113:B113"/>
    <mergeCell ref="A114:B114"/>
    <mergeCell ref="A112:B112"/>
    <mergeCell ref="A109:B109"/>
    <mergeCell ref="A105:B105"/>
    <mergeCell ref="L114:M114"/>
    <mergeCell ref="G102:H105"/>
    <mergeCell ref="E97:F97"/>
    <mergeCell ref="L122:M122"/>
    <mergeCell ref="A127:B127"/>
    <mergeCell ref="A128:B128"/>
    <mergeCell ref="C127:F127"/>
    <mergeCell ref="L115:M115"/>
    <mergeCell ref="B130:H130"/>
    <mergeCell ref="A119:B119"/>
    <mergeCell ref="G109:H114"/>
    <mergeCell ref="A120:B120"/>
    <mergeCell ref="G116:H121"/>
    <mergeCell ref="D59:H59"/>
    <mergeCell ref="A97:B97"/>
    <mergeCell ref="C97:D97"/>
    <mergeCell ref="A106:H106"/>
    <mergeCell ref="A121:B121"/>
    <mergeCell ref="A117:B117"/>
    <mergeCell ref="A118:B118"/>
    <mergeCell ref="A88:E88"/>
    <mergeCell ref="L112:M112"/>
    <mergeCell ref="L109:M109"/>
    <mergeCell ref="A110:B110"/>
    <mergeCell ref="L105:M105"/>
    <mergeCell ref="L104:M104"/>
    <mergeCell ref="L103:M103"/>
    <mergeCell ref="L102:M102"/>
    <mergeCell ref="A104:B104"/>
    <mergeCell ref="G92:H92"/>
    <mergeCell ref="L110:M110"/>
    <mergeCell ref="A111:B111"/>
    <mergeCell ref="L111:M111"/>
    <mergeCell ref="C96:D96"/>
    <mergeCell ref="E96:F96"/>
    <mergeCell ref="G96:H96"/>
    <mergeCell ref="L113:M113"/>
    <mergeCell ref="A101:H101"/>
    <mergeCell ref="G100:H100"/>
    <mergeCell ref="F79:H79"/>
    <mergeCell ref="F82:H82"/>
    <mergeCell ref="A83:E83"/>
    <mergeCell ref="F83:H83"/>
    <mergeCell ref="A84:E84"/>
    <mergeCell ref="A86:E86"/>
    <mergeCell ref="A85:E85"/>
    <mergeCell ref="C95:D95"/>
    <mergeCell ref="G95:H95"/>
    <mergeCell ref="F85:H85"/>
    <mergeCell ref="C92:D92"/>
    <mergeCell ref="F88:H88"/>
    <mergeCell ref="F86:H86"/>
    <mergeCell ref="A99:H99"/>
    <mergeCell ref="A79:E79"/>
    <mergeCell ref="A82:E82"/>
    <mergeCell ref="A42:D42"/>
    <mergeCell ref="E42:H42"/>
    <mergeCell ref="E43:H43"/>
    <mergeCell ref="E44:H44"/>
    <mergeCell ref="E45:H45"/>
    <mergeCell ref="A44:D44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D55:H55"/>
    <mergeCell ref="G52:H52"/>
    <mergeCell ref="A59:C59"/>
    <mergeCell ref="C52:E52"/>
    <mergeCell ref="A53:H53"/>
    <mergeCell ref="A54:C54"/>
    <mergeCell ref="A55:C55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37:B37"/>
    <mergeCell ref="C37:H37"/>
    <mergeCell ref="A43:D43"/>
    <mergeCell ref="F35:H35"/>
    <mergeCell ref="A45:D45"/>
    <mergeCell ref="A46:H46"/>
    <mergeCell ref="D56:H56"/>
    <mergeCell ref="A56:C56"/>
    <mergeCell ref="G49:H49"/>
    <mergeCell ref="A50:B51"/>
    <mergeCell ref="C49:E49"/>
    <mergeCell ref="A49:B49"/>
    <mergeCell ref="E41:H41"/>
    <mergeCell ref="A41:D41"/>
    <mergeCell ref="D58:H58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48:H151"/>
    <mergeCell ref="A147:B147"/>
    <mergeCell ref="E147:F147"/>
    <mergeCell ref="C147:D147"/>
    <mergeCell ref="G147:H147"/>
    <mergeCell ref="A91:H91"/>
    <mergeCell ref="A89:E89"/>
    <mergeCell ref="F89:H89"/>
    <mergeCell ref="A90:E90"/>
    <mergeCell ref="F90:H90"/>
    <mergeCell ref="A115:H115"/>
    <mergeCell ref="A96:B96"/>
    <mergeCell ref="A93:B93"/>
    <mergeCell ref="A143:H143"/>
    <mergeCell ref="A94:H94"/>
    <mergeCell ref="A146:H146"/>
    <mergeCell ref="A144:H144"/>
    <mergeCell ref="A140:H140"/>
    <mergeCell ref="A141:H141"/>
    <mergeCell ref="E95:F95"/>
    <mergeCell ref="B139:H139"/>
    <mergeCell ref="B136:H136"/>
    <mergeCell ref="B132:H132"/>
    <mergeCell ref="A98:H98"/>
    <mergeCell ref="G97:H97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E69:F78"/>
    <mergeCell ref="G69:H78"/>
    <mergeCell ref="A77:B77"/>
    <mergeCell ref="A78:B78"/>
    <mergeCell ref="A76:B76"/>
    <mergeCell ref="F84:H84"/>
    <mergeCell ref="A80:E80"/>
    <mergeCell ref="A145:H145"/>
    <mergeCell ref="A142:H142"/>
    <mergeCell ref="A116:B116"/>
    <mergeCell ref="A95:B95"/>
    <mergeCell ref="G107:H107"/>
    <mergeCell ref="A74:B74"/>
    <mergeCell ref="F80:H80"/>
    <mergeCell ref="G93:H93"/>
    <mergeCell ref="A48:B48"/>
    <mergeCell ref="C48:E48"/>
    <mergeCell ref="G48:H48"/>
    <mergeCell ref="G50:H50"/>
    <mergeCell ref="A87:E87"/>
    <mergeCell ref="C93:D93"/>
    <mergeCell ref="E93:F93"/>
    <mergeCell ref="A108:H108"/>
    <mergeCell ref="F87:H87"/>
    <mergeCell ref="E92:F92"/>
    <mergeCell ref="A92:B92"/>
    <mergeCell ref="D54:H54"/>
    <mergeCell ref="C50:E50"/>
    <mergeCell ref="A57:C57"/>
    <mergeCell ref="D57:H57"/>
    <mergeCell ref="A52:B52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8" max="16383" man="1"/>
    <brk id="151" max="16383" man="1"/>
    <brk id="195" max="16383" man="1"/>
    <brk id="23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9" t="s">
        <v>108</v>
      </c>
      <c r="C3" s="159"/>
      <c r="D3" s="159"/>
      <c r="E3" s="159"/>
      <c r="F3" s="159"/>
      <c r="G3" s="159"/>
      <c r="H3" s="159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2025-02-14T10:59:51Z</cp:lastPrinted>
  <dcterms:created xsi:type="dcterms:W3CDTF">2019-07-16T09:29:46Z</dcterms:created>
  <dcterms:modified xsi:type="dcterms:W3CDTF">2025-08-28T04:10:38Z</dcterms:modified>
</cp:coreProperties>
</file>