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27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C16" i="1"/>
  <c r="I114" i="1" l="1"/>
  <c r="D265" i="1"/>
  <c r="F265" i="1" s="1"/>
  <c r="D264" i="1"/>
  <c r="F264" i="1" s="1"/>
  <c r="D263" i="1"/>
  <c r="F263" i="1" s="1"/>
  <c r="D262" i="1"/>
  <c r="F262" i="1" s="1"/>
  <c r="D261" i="1"/>
  <c r="F261" i="1" s="1"/>
  <c r="D259" i="1"/>
  <c r="F259" i="1" s="1"/>
  <c r="D258" i="1"/>
  <c r="F258" i="1" s="1"/>
  <c r="D257" i="1"/>
  <c r="F257" i="1" s="1"/>
  <c r="D256" i="1"/>
  <c r="F256" i="1" s="1"/>
  <c r="D255" i="1"/>
  <c r="F255" i="1" s="1"/>
  <c r="D254" i="1"/>
  <c r="F254" i="1" s="1"/>
  <c r="D253" i="1"/>
  <c r="F253" i="1" s="1"/>
  <c r="D252" i="1"/>
  <c r="F252" i="1" s="1"/>
  <c r="D251" i="1"/>
  <c r="F251" i="1" s="1"/>
  <c r="D249" i="1"/>
  <c r="F249" i="1" s="1"/>
  <c r="D248" i="1"/>
  <c r="F248" i="1" s="1"/>
  <c r="D247" i="1"/>
  <c r="F247" i="1" s="1"/>
  <c r="D246" i="1"/>
  <c r="F246" i="1" s="1"/>
  <c r="D245" i="1"/>
  <c r="F245" i="1" s="1"/>
  <c r="D244" i="1"/>
  <c r="F244" i="1" s="1"/>
  <c r="D243" i="1"/>
  <c r="F243" i="1" s="1"/>
  <c r="D242" i="1"/>
  <c r="F242" i="1" s="1"/>
  <c r="D241" i="1"/>
  <c r="F241" i="1" s="1"/>
  <c r="D237" i="1"/>
  <c r="F237" i="1" s="1"/>
  <c r="D236" i="1"/>
  <c r="F236" i="1" s="1"/>
  <c r="D235" i="1"/>
  <c r="F235" i="1" s="1"/>
  <c r="D234" i="1"/>
  <c r="F234" i="1" s="1"/>
  <c r="D233" i="1"/>
  <c r="D232" i="1"/>
  <c r="F232" i="1" s="1"/>
  <c r="D231" i="1"/>
  <c r="F231" i="1" s="1"/>
  <c r="D229" i="1"/>
  <c r="F229" i="1" s="1"/>
  <c r="D228" i="1"/>
  <c r="F228" i="1" s="1"/>
  <c r="D227" i="1"/>
  <c r="F227" i="1" s="1"/>
  <c r="D226" i="1"/>
  <c r="F226" i="1" s="1"/>
  <c r="D225" i="1"/>
  <c r="F225" i="1" s="1"/>
  <c r="D224" i="1"/>
  <c r="F224" i="1" s="1"/>
  <c r="D223" i="1"/>
  <c r="F223" i="1" s="1"/>
  <c r="D222" i="1"/>
  <c r="F222" i="1" s="1"/>
  <c r="D221" i="1"/>
  <c r="F221" i="1" s="1"/>
  <c r="D219" i="1"/>
  <c r="F219" i="1" s="1"/>
  <c r="D218" i="1"/>
  <c r="F218" i="1" s="1"/>
  <c r="D217" i="1"/>
  <c r="F217" i="1" s="1"/>
  <c r="D216" i="1"/>
  <c r="F216" i="1" s="1"/>
  <c r="D215" i="1"/>
  <c r="F215" i="1" s="1"/>
  <c r="D214" i="1"/>
  <c r="F214" i="1" s="1"/>
  <c r="D213" i="1"/>
  <c r="F213" i="1" s="1"/>
  <c r="D212" i="1"/>
  <c r="F212" i="1" s="1"/>
  <c r="D211" i="1"/>
  <c r="F211" i="1" s="1"/>
  <c r="D208" i="1"/>
  <c r="F208" i="1" s="1"/>
  <c r="D207" i="1"/>
  <c r="F207" i="1" s="1"/>
  <c r="D206" i="1"/>
  <c r="F206" i="1" s="1"/>
  <c r="D205" i="1"/>
  <c r="D204" i="1"/>
  <c r="D203" i="1"/>
  <c r="D202" i="1"/>
  <c r="D201" i="1"/>
  <c r="D199" i="1"/>
  <c r="F199" i="1" s="1"/>
  <c r="J199" i="1" s="1"/>
  <c r="D197" i="1"/>
  <c r="F197" i="1" s="1"/>
  <c r="J197" i="1" s="1"/>
  <c r="D196" i="1"/>
  <c r="F196" i="1" s="1"/>
  <c r="J196" i="1" s="1"/>
  <c r="D195" i="1"/>
  <c r="F195" i="1" s="1"/>
  <c r="J195" i="1" s="1"/>
  <c r="D194" i="1"/>
  <c r="D193" i="1"/>
  <c r="D192" i="1"/>
  <c r="D191" i="1"/>
  <c r="D188" i="1"/>
  <c r="F188" i="1" s="1"/>
  <c r="D187" i="1"/>
  <c r="F187" i="1" s="1"/>
  <c r="D186" i="1"/>
  <c r="F186" i="1" s="1"/>
  <c r="D185" i="1"/>
  <c r="F185" i="1" s="1"/>
  <c r="D184" i="1"/>
  <c r="F184" i="1" s="1"/>
  <c r="D179" i="1"/>
  <c r="F179" i="1" s="1"/>
  <c r="D178" i="1"/>
  <c r="F178" i="1" s="1"/>
  <c r="D177" i="1"/>
  <c r="F177" i="1" s="1"/>
  <c r="D176" i="1"/>
  <c r="D175" i="1"/>
  <c r="D174" i="1"/>
  <c r="D173" i="1"/>
  <c r="D172" i="1"/>
  <c r="D170" i="1"/>
  <c r="F170" i="1" s="1"/>
  <c r="D169" i="1"/>
  <c r="F169" i="1" s="1"/>
  <c r="D168" i="1"/>
  <c r="F168" i="1" s="1"/>
  <c r="D167" i="1"/>
  <c r="F167" i="1" s="1"/>
  <c r="D166" i="1"/>
  <c r="F166" i="1" s="1"/>
  <c r="D165" i="1"/>
  <c r="F165" i="1" s="1"/>
  <c r="D164" i="1"/>
  <c r="F164" i="1" s="1"/>
  <c r="D163" i="1"/>
  <c r="F163" i="1" s="1"/>
  <c r="D161" i="1"/>
  <c r="F161" i="1" s="1"/>
  <c r="D160" i="1"/>
  <c r="F160" i="1" s="1"/>
  <c r="D159" i="1"/>
  <c r="F159" i="1" s="1"/>
  <c r="D158" i="1"/>
  <c r="F158" i="1" s="1"/>
  <c r="D148" i="1"/>
  <c r="F148" i="1" s="1"/>
  <c r="D145" i="1"/>
  <c r="D137" i="1"/>
  <c r="F137" i="1" s="1"/>
  <c r="D136" i="1"/>
  <c r="F136" i="1" s="1"/>
  <c r="D135" i="1"/>
  <c r="F135" i="1" s="1"/>
  <c r="D134" i="1"/>
  <c r="F134" i="1" s="1"/>
  <c r="D133" i="1"/>
  <c r="F133" i="1" s="1"/>
  <c r="D132" i="1"/>
  <c r="F132" i="1" s="1"/>
  <c r="D131" i="1"/>
  <c r="D130" i="1"/>
  <c r="D129" i="1"/>
  <c r="D128" i="1"/>
  <c r="I130" i="1"/>
  <c r="C82" i="1"/>
  <c r="I269" i="1"/>
  <c r="I265" i="1"/>
  <c r="I262" i="1"/>
  <c r="A262" i="1"/>
  <c r="A263" i="1" s="1"/>
  <c r="A264" i="1" s="1"/>
  <c r="A265" i="1" s="1"/>
  <c r="A266" i="1" s="1"/>
  <c r="A267" i="1" s="1"/>
  <c r="A268" i="1" s="1"/>
  <c r="A269" i="1" s="1"/>
  <c r="I261" i="1"/>
  <c r="G261" i="1"/>
  <c r="G181" i="1"/>
  <c r="I239" i="1"/>
  <c r="I235" i="1"/>
  <c r="F233" i="1"/>
  <c r="I232" i="1"/>
  <c r="A232" i="1"/>
  <c r="A233" i="1" s="1"/>
  <c r="A234" i="1" s="1"/>
  <c r="A235" i="1" s="1"/>
  <c r="A236" i="1" s="1"/>
  <c r="A237" i="1" s="1"/>
  <c r="A238" i="1" s="1"/>
  <c r="A239" i="1" s="1"/>
  <c r="I231" i="1"/>
  <c r="G231" i="1"/>
  <c r="I259" i="1"/>
  <c r="I255" i="1"/>
  <c r="I252" i="1"/>
  <c r="A252" i="1"/>
  <c r="A253" i="1" s="1"/>
  <c r="A254" i="1" s="1"/>
  <c r="A255" i="1" s="1"/>
  <c r="A256" i="1" s="1"/>
  <c r="A257" i="1" s="1"/>
  <c r="A258" i="1" s="1"/>
  <c r="A259" i="1" s="1"/>
  <c r="I251" i="1"/>
  <c r="G251" i="1"/>
  <c r="I249" i="1"/>
  <c r="I245" i="1"/>
  <c r="I242" i="1"/>
  <c r="A242" i="1"/>
  <c r="A243" i="1" s="1"/>
  <c r="A244" i="1" s="1"/>
  <c r="A245" i="1" s="1"/>
  <c r="A246" i="1" s="1"/>
  <c r="A247" i="1" s="1"/>
  <c r="A248" i="1" s="1"/>
  <c r="A249" i="1" s="1"/>
  <c r="I241" i="1"/>
  <c r="G241" i="1"/>
  <c r="G154" i="1"/>
  <c r="G145" i="1"/>
  <c r="G163" i="1"/>
  <c r="I229" i="1"/>
  <c r="I225" i="1"/>
  <c r="I222" i="1"/>
  <c r="A222" i="1"/>
  <c r="A223" i="1" s="1"/>
  <c r="A224" i="1" s="1"/>
  <c r="A225" i="1" s="1"/>
  <c r="A226" i="1" s="1"/>
  <c r="A227" i="1" s="1"/>
  <c r="A228" i="1" s="1"/>
  <c r="A229" i="1" s="1"/>
  <c r="I221" i="1"/>
  <c r="G221" i="1"/>
  <c r="I219" i="1"/>
  <c r="I215" i="1"/>
  <c r="I212" i="1"/>
  <c r="A212" i="1"/>
  <c r="A213" i="1" s="1"/>
  <c r="A214" i="1" s="1"/>
  <c r="A215" i="1" s="1"/>
  <c r="A216" i="1" s="1"/>
  <c r="A217" i="1" s="1"/>
  <c r="A218" i="1" s="1"/>
  <c r="A219" i="1" s="1"/>
  <c r="I211" i="1"/>
  <c r="G211" i="1"/>
  <c r="I195" i="1"/>
  <c r="I199" i="1"/>
  <c r="I192" i="1"/>
  <c r="I191" i="1"/>
  <c r="I128" i="1"/>
  <c r="C118" i="1" l="1"/>
  <c r="C112" i="1"/>
  <c r="C113" i="1" s="1"/>
  <c r="C117" i="1"/>
  <c r="E118" i="1"/>
  <c r="F145" i="1"/>
  <c r="G117" i="1" s="1"/>
  <c r="E112" i="1"/>
  <c r="E113" i="1" s="1"/>
  <c r="E116" i="1"/>
  <c r="C116" i="1"/>
  <c r="E117" i="1"/>
  <c r="C119" i="1" l="1"/>
  <c r="C120" i="1" s="1"/>
  <c r="E119" i="1"/>
  <c r="E120" i="1" s="1"/>
  <c r="E44" i="1"/>
  <c r="E45" i="1" s="1"/>
  <c r="E31" i="1" l="1"/>
  <c r="F192" i="1" l="1"/>
  <c r="J192" i="1" s="1"/>
  <c r="F193" i="1"/>
  <c r="J193" i="1" s="1"/>
  <c r="F194" i="1"/>
  <c r="J194" i="1" s="1"/>
  <c r="F191" i="1"/>
  <c r="L191" i="1" s="1"/>
  <c r="A192" i="1"/>
  <c r="A193" i="1" s="1"/>
  <c r="A194" i="1" s="1"/>
  <c r="G191" i="1"/>
  <c r="J191" i="1" l="1"/>
  <c r="A195" i="1"/>
  <c r="A196" i="1" s="1"/>
  <c r="A197" i="1" s="1"/>
  <c r="A198" i="1" s="1"/>
  <c r="A199" i="1" s="1"/>
  <c r="F109" i="1"/>
  <c r="F129" i="1" l="1"/>
  <c r="F130" i="1"/>
  <c r="F131" i="1"/>
  <c r="F128" i="1"/>
  <c r="G112" i="1" l="1"/>
  <c r="G113" i="1" s="1"/>
  <c r="B272" i="1"/>
  <c r="F176" i="1" l="1"/>
  <c r="F175" i="1"/>
  <c r="F174" i="1"/>
  <c r="F173" i="1"/>
  <c r="F172" i="1"/>
  <c r="F205" i="1"/>
  <c r="F204" i="1"/>
  <c r="F202" i="1"/>
  <c r="F201" i="1"/>
  <c r="F203" i="1"/>
  <c r="G118" i="1" l="1"/>
  <c r="G116" i="1"/>
  <c r="B273" i="1"/>
  <c r="G119" i="1" l="1"/>
  <c r="G120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93" i="1"/>
  <c r="G172" i="1"/>
  <c r="G201" i="1"/>
  <c r="A202" i="1"/>
  <c r="A203" i="1" s="1"/>
  <c r="A204" i="1" s="1"/>
  <c r="A205" i="1" s="1"/>
  <c r="A129" i="1"/>
  <c r="A130" i="1" s="1"/>
  <c r="A131" i="1" s="1"/>
  <c r="G128" i="1"/>
  <c r="B69" i="1"/>
  <c r="D56" i="1"/>
  <c r="C51" i="1"/>
  <c r="C52" i="1" s="1"/>
  <c r="E28" i="1"/>
  <c r="E26" i="1"/>
  <c r="E7" i="1"/>
  <c r="E3" i="1"/>
  <c r="A206" i="1" l="1"/>
  <c r="A207" i="1" s="1"/>
  <c r="A208" i="1" s="1"/>
  <c r="A209" i="1" s="1"/>
  <c r="A132" i="1"/>
  <c r="A133" i="1" s="1"/>
  <c r="A134" i="1" s="1"/>
  <c r="A135" i="1" s="1"/>
  <c r="A136" i="1" s="1"/>
  <c r="A137" i="1" s="1"/>
  <c r="D62" i="1"/>
  <c r="D81" i="1"/>
  <c r="D79" i="1"/>
  <c r="D78" i="1"/>
  <c r="D77" i="1"/>
  <c r="D75" i="1"/>
  <c r="J68" i="1"/>
  <c r="D80" i="1"/>
  <c r="D76" i="1"/>
  <c r="J72" i="1"/>
  <c r="J73" i="1"/>
  <c r="C72" i="1" s="1"/>
  <c r="J71" i="1"/>
  <c r="J74" i="1"/>
  <c r="J75" i="1" s="1"/>
  <c r="J80" i="1" s="1"/>
  <c r="J76" i="1" l="1"/>
  <c r="J77" i="1" s="1"/>
  <c r="J78" i="1" s="1"/>
  <c r="J79" i="1" s="1"/>
  <c r="D74" i="1"/>
  <c r="J70" i="1"/>
  <c r="D72" i="1"/>
  <c r="B83" i="1" l="1"/>
  <c r="J81" i="1"/>
  <c r="C73" i="1" s="1"/>
  <c r="G72" i="1" s="1"/>
  <c r="D66" i="1" s="1"/>
  <c r="D67" i="1" s="1"/>
  <c r="J87" i="1" l="1"/>
  <c r="C86" i="1" s="1"/>
  <c r="D86" i="1" s="1"/>
  <c r="J85" i="1"/>
  <c r="J82" i="1"/>
  <c r="J84" i="1" s="1"/>
  <c r="D95" i="1"/>
  <c r="D94" i="1"/>
  <c r="D93" i="1"/>
  <c r="D92" i="1"/>
  <c r="D91" i="1"/>
  <c r="D90" i="1"/>
  <c r="D89" i="1"/>
  <c r="D88" i="1"/>
  <c r="J86" i="1"/>
  <c r="J93" i="1"/>
  <c r="J92" i="1"/>
  <c r="J91" i="1"/>
  <c r="J90" i="1"/>
  <c r="J88" i="1"/>
  <c r="J89" i="1" s="1"/>
  <c r="J94" i="1" s="1"/>
  <c r="J95" i="1" s="1"/>
  <c r="C87" i="1" s="1"/>
  <c r="J69" i="1"/>
  <c r="D73" i="1"/>
  <c r="I69" i="1" s="1"/>
  <c r="I70" i="1" s="1"/>
  <c r="E72" i="1"/>
  <c r="F67" i="1"/>
  <c r="E86" i="1" l="1"/>
  <c r="D87" i="1"/>
  <c r="I83" i="1" s="1"/>
  <c r="I84" i="1" s="1"/>
  <c r="G86" i="1"/>
  <c r="J83" i="1"/>
  <c r="I68" i="1"/>
  <c r="C70" i="1" s="1"/>
  <c r="I82" i="1" l="1"/>
  <c r="C84" i="1" s="1"/>
</calcChain>
</file>

<file path=xl/sharedStrings.xml><?xml version="1.0" encoding="utf-8"?>
<sst xmlns="http://schemas.openxmlformats.org/spreadsheetml/2006/main" count="562" uniqueCount="250">
  <si>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</si>
  <si>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</si>
  <si>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</si>
  <si>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</si>
  <si>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</si>
  <si>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</si>
  <si>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</si>
  <si>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</si>
  <si>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</si>
  <si>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</si>
  <si>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</si>
  <si>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</si>
  <si>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</si>
  <si>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</si>
  <si>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</si>
  <si>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</si>
  <si>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</si>
  <si>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</si>
  <si>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</si>
  <si>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</si>
  <si>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</si>
  <si>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</si>
  <si>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</si>
  <si>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</si>
  <si>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</si>
  <si>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</si>
  <si>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</si>
  <si>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</si>
  <si>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</si>
  <si>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</si>
  <si>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</si>
  <si>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</si>
  <si>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</si>
  <si>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</si>
  <si>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</si>
  <si>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</si>
  <si>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</si>
  <si>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</si>
  <si>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</si>
  <si>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</si>
  <si>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</si>
  <si>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</si>
  <si>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</si>
  <si>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</si>
  <si>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</si>
  <si>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</si>
  <si>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</si>
  <si>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</si>
  <si>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</si>
  <si>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</si>
  <si>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</si>
  <si>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</si>
  <si>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</si>
  <si>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</si>
  <si>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</si>
  <si>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</si>
  <si>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</si>
  <si>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</si>
  <si>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</si>
  <si>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</si>
  <si>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</si>
  <si>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</si>
  <si>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</si>
  <si>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</si>
  <si>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</si>
  <si>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</si>
  <si>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</si>
  <si>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</si>
  <si>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</si>
  <si>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</si>
  <si>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</si>
  <si>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</si>
  <si>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</si>
  <si>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</si>
  <si>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</si>
  <si>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</si>
  <si>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</si>
  <si>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</si>
  <si>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</si>
  <si>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</si>
  <si>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</si>
  <si>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</si>
  <si>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</si>
  <si>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</si>
  <si>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</si>
  <si>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</si>
  <si>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</si>
  <si>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</si>
  <si>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</si>
  <si>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</si>
  <si>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</si>
  <si>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</si>
  <si>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</si>
  <si>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</si>
  <si>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</si>
  <si>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</si>
  <si>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</si>
  <si>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</si>
  <si>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</si>
  <si>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</si>
  <si>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</si>
  <si>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</si>
  <si>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</si>
  <si>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</si>
  <si>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</si>
  <si>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</si>
  <si>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</si>
  <si>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</si>
  <si>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</si>
  <si>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</si>
  <si>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</si>
  <si>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</si>
  <si>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</si>
  <si>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</si>
  <si>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</si>
  <si>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</si>
  <si>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</si>
  <si>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</si>
  <si>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</si>
  <si>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</si>
  <si>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</si>
  <si>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</si>
  <si>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</si>
  <si>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</si>
  <si>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</si>
  <si>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</si>
  <si>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</si>
  <si>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</si>
  <si>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</si>
  <si>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</si>
  <si>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</si>
  <si>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</si>
  <si>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</si>
  <si>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</si>
  <si>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</si>
  <si>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</si>
  <si>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</si>
  <si>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</si>
  <si>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</si>
  <si>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</si>
  <si>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</si>
  <si>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</si>
  <si>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</si>
  <si>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</si>
  <si>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</si>
  <si>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</si>
  <si>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</si>
  <si>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</si>
  <si>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</si>
  <si>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</si>
  <si>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</si>
  <si>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</si>
  <si>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</si>
  <si>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</si>
  <si>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</si>
  <si>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</si>
  <si>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</si>
  <si>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</si>
  <si>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</si>
  <si>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</si>
  <si>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</si>
  <si>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</si>
  <si>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</si>
  <si>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</si>
  <si>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</si>
  <si>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</si>
  <si>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</si>
  <si>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</si>
  <si>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</si>
  <si>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</si>
  <si>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</si>
  <si>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</si>
  <si>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</si>
  <si>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</si>
  <si>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Goregaon</t>
  </si>
  <si>
    <t>Shiv Shruti Developers LLP</t>
  </si>
  <si>
    <t>Ashtavinayak Apartments</t>
  </si>
  <si>
    <t>022-26842269/022-26841153</t>
  </si>
  <si>
    <t>Approved Plans, CC, Sale Plans, Cost Sheet</t>
  </si>
  <si>
    <t>P51800049920</t>
  </si>
  <si>
    <t xml:space="preserve">Project location details
(As per approved plans) 
      </t>
  </si>
  <si>
    <t xml:space="preserve">Project location details
(As per CC &amp; Rera)       </t>
  </si>
  <si>
    <t>CTS No</t>
  </si>
  <si>
    <t>68, 69 &amp; 72, Redevlopement of "Shyamnagarcha Raja Shri Ganesh CHS"</t>
  </si>
  <si>
    <t>Name / No of the Existing Building</t>
  </si>
  <si>
    <t>Shyamnagarcha Raja Shri Ganesh CHS</t>
  </si>
  <si>
    <t>Mumbai</t>
  </si>
  <si>
    <t>Andheri</t>
  </si>
  <si>
    <t>Majas</t>
  </si>
  <si>
    <t>Internal Road</t>
  </si>
  <si>
    <t>Shyam Nagar</t>
  </si>
  <si>
    <t>Jogeshwari (East)</t>
  </si>
  <si>
    <t>Aishwarya Heights</t>
  </si>
  <si>
    <t>Ashtavinayak Apartments, CTS No.68, 68/1 to 20, 69, 70, 70/1 to 26, 71, 71/1 to 38, 72, 72/1 to 26, 73, 73/1 to 14, 74 &amp; 74/1 to 17 Redevlopement of "Shyamnagarcha Raja Shri Ganesh CHS", near Aishwarya Heights, Internal Road, Shyam Nagar, Majas, Jogeshwari (East), Andheri, Mumbai - 400060.</t>
  </si>
  <si>
    <t xml:space="preserve">Slum Rehabilitation Authority (SRA)
</t>
  </si>
  <si>
    <t>KE/PVT/0232/20180327/AP/S-2</t>
  </si>
  <si>
    <t>As per RERA - 31/12/2025</t>
  </si>
  <si>
    <t>Building No.2 (B Wing) = G + 1st to 23rd Floor</t>
  </si>
  <si>
    <t>Children's play area, terrace garden, Outdoor gym, Informal seating, Lift access to terrace level, Star gazing deck, Meditation area, Lounge area</t>
  </si>
  <si>
    <t>Ground Floor For Entrance Lobby, Meter Room, Pump Room, Commercial &amp; Parking</t>
  </si>
  <si>
    <t>Shop</t>
  </si>
  <si>
    <t>Sale/
Rehab</t>
  </si>
  <si>
    <t>Rehab</t>
  </si>
  <si>
    <t>1BHK</t>
  </si>
  <si>
    <t>Sale</t>
  </si>
  <si>
    <t>3rd Floor For Residential</t>
  </si>
  <si>
    <t>1st Floor For Residential</t>
  </si>
  <si>
    <t>-</t>
  </si>
  <si>
    <t>Double Heighted Entrance Lobby</t>
  </si>
  <si>
    <t>Fitness Center</t>
  </si>
  <si>
    <t>Wing A</t>
  </si>
  <si>
    <t>4th to 7th &amp; 9th to 11th</t>
  </si>
  <si>
    <t>Wing B</t>
  </si>
  <si>
    <t>02 Building</t>
  </si>
  <si>
    <t>1st Floor For Residential &amp; Parking</t>
  </si>
  <si>
    <t>Parking</t>
  </si>
  <si>
    <t>Ground Floor For Entrance Lobby, Society Office, Pump Room, Fire Panel Room, Meter Room &amp; Parking</t>
  </si>
  <si>
    <t>12th Floor</t>
  </si>
  <si>
    <t>13th, 14th &amp; 16th to 23rd Floor</t>
  </si>
  <si>
    <t>8th Floor (Part Refuge Area)</t>
  </si>
  <si>
    <t>Refuge Area</t>
  </si>
  <si>
    <t>We considered Gross carpet area = Net carpet.</t>
  </si>
  <si>
    <t>Building No.2 (A Wing) = G + 1st to 11th Floor
Building No.2 (B Wing) = G + 1st to 23rd Floor</t>
  </si>
  <si>
    <t>Building No.2 ( Wing A &amp; B )</t>
  </si>
  <si>
    <t>Sale Flats - 263, Rehab Flat - 11, Rehab Shops - 10</t>
  </si>
  <si>
    <t>4th to 7th &amp; 9th to 11th Floor</t>
  </si>
  <si>
    <t>Car parking tower is beside the building</t>
  </si>
  <si>
    <t>19.136602, 72.861456</t>
  </si>
  <si>
    <t>https://goo.gl/maps/pE36NKHh1fH6HwDD6</t>
  </si>
  <si>
    <t>3.4 KM from Jogeshwari Railway Station</t>
  </si>
  <si>
    <t>Station Road</t>
  </si>
  <si>
    <t>Jogeshwari Gumpha Darshan CHS/
Slums</t>
  </si>
  <si>
    <t>Kalpataru Vivant Uc</t>
  </si>
  <si>
    <t>This CC is further extended upto 4th(pt.) upper floor of wing 'A' &amp; 'B' and from 7th to 11th upper floor for wing 'A' &amp; from 4th(pt.) to 12th (Pt.) upper floor for wing 'B' only for RCC framework as per approved amended plans dated 21/04/2022</t>
  </si>
  <si>
    <t xml:space="preserve"> Building No. 2</t>
  </si>
  <si>
    <t>Building No. 2</t>
  </si>
  <si>
    <t>2nd Floor For Amenities &amp; Residential</t>
  </si>
  <si>
    <t>15th Floor (Part Refuge Area) &amp; Society Office</t>
  </si>
  <si>
    <t xml:space="preserve">Refuge Area </t>
  </si>
  <si>
    <t>Society Office</t>
  </si>
  <si>
    <t>Builder</t>
  </si>
  <si>
    <t>MIS</t>
  </si>
  <si>
    <t>RR</t>
  </si>
  <si>
    <t>Building No.2 (A Wing) = G + 1st to 23rd Floor</t>
  </si>
  <si>
    <t>Since internal visit were not permitted, we were unable to determine building progress from an external visit; so, we are maintaining the same progress as in the previous report.</t>
  </si>
  <si>
    <t>Wing A &amp; B = Construction work is in process at the time of Visit. Internal visit was not allowed.</t>
  </si>
  <si>
    <t>Construction work goes beyond approved no. of floor. Please provide revised Approved Plan &amp; CC.</t>
  </si>
  <si>
    <t>Mr. Vijay Kadam Sales 9987925145</t>
  </si>
  <si>
    <t>Pooja Kawale</t>
  </si>
  <si>
    <t>Roshan Kudalkar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</si>
</sst>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8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13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3.png"/><Relationship Id="rId1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540391</xdr:colOff>
      <xdr:row>354</xdr:row>
      <xdr:rowOff>189787</xdr:rowOff>
    </xdr:from>
    <xdr:to>
      <xdr:col>5</xdr:col>
      <xdr:colOff>435775</xdr:colOff>
      <xdr:row>369</xdr:row>
      <xdr:rowOff>82400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99027" y="76130014"/>
          <a:ext cx="2467134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753342</xdr:colOff>
      <xdr:row>338</xdr:row>
      <xdr:rowOff>8659</xdr:rowOff>
    </xdr:from>
    <xdr:to>
      <xdr:col>6</xdr:col>
      <xdr:colOff>205637</xdr:colOff>
      <xdr:row>354</xdr:row>
      <xdr:rowOff>16035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673229" y="72363236"/>
          <a:ext cx="3273091" cy="3588866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458932</xdr:colOff>
      <xdr:row>346</xdr:row>
      <xdr:rowOff>34635</xdr:rowOff>
    </xdr:from>
    <xdr:to>
      <xdr:col>5</xdr:col>
      <xdr:colOff>432954</xdr:colOff>
      <xdr:row>350</xdr:row>
      <xdr:rowOff>17317</xdr:rowOff>
    </xdr:to>
    <xdr:sp macro="" textlink="">
      <xdr:nvSpPr>
        <xdr:cNvPr id="5" name="L-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866159" y="74381590"/>
          <a:ext cx="1697181" cy="779318"/>
        </a:xfrm>
        <a:prstGeom prst="corner">
          <a:avLst>
            <a:gd name="adj1" fmla="val 70000"/>
            <a:gd name="adj2" fmla="val 85556"/>
          </a:avLst>
        </a:prstGeom>
        <a:noFill/>
        <a:ln w="190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692191</xdr:colOff>
      <xdr:row>341</xdr:row>
      <xdr:rowOff>161723</xdr:rowOff>
    </xdr:from>
    <xdr:to>
      <xdr:col>4</xdr:col>
      <xdr:colOff>339692</xdr:colOff>
      <xdr:row>345</xdr:row>
      <xdr:rowOff>196714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1150375">
          <a:off x="3099418" y="73512882"/>
          <a:ext cx="591342" cy="831627"/>
        </a:xfrm>
        <a:prstGeom prst="rect">
          <a:avLst/>
        </a:prstGeom>
        <a:noFill/>
        <a:ln w="190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779318</xdr:colOff>
      <xdr:row>350</xdr:row>
      <xdr:rowOff>51954</xdr:rowOff>
    </xdr:from>
    <xdr:to>
      <xdr:col>5</xdr:col>
      <xdr:colOff>155864</xdr:colOff>
      <xdr:row>351</xdr:row>
      <xdr:rowOff>129886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186545" y="75195545"/>
          <a:ext cx="1099705" cy="277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200" b="1">
              <a:solidFill>
                <a:srgbClr val="FFFF00"/>
              </a:solidFill>
            </a:rPr>
            <a:t>Building No.2</a:t>
          </a:r>
        </a:p>
      </xdr:txBody>
    </xdr:sp>
    <xdr:clientData/>
  </xdr:twoCellAnchor>
  <xdr:twoCellAnchor>
    <xdr:from>
      <xdr:col>3</xdr:col>
      <xdr:colOff>744683</xdr:colOff>
      <xdr:row>341</xdr:row>
      <xdr:rowOff>190501</xdr:rowOff>
    </xdr:from>
    <xdr:to>
      <xdr:col>4</xdr:col>
      <xdr:colOff>450273</xdr:colOff>
      <xdr:row>343</xdr:row>
      <xdr:rowOff>69274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151910" y="73541660"/>
          <a:ext cx="649431" cy="277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200" b="1">
              <a:solidFill>
                <a:srgbClr val="FFFF00"/>
              </a:solidFill>
            </a:rPr>
            <a:t>Wing A</a:t>
          </a:r>
        </a:p>
      </xdr:txBody>
    </xdr:sp>
    <xdr:clientData/>
  </xdr:twoCellAnchor>
  <xdr:twoCellAnchor>
    <xdr:from>
      <xdr:col>4</xdr:col>
      <xdr:colOff>441615</xdr:colOff>
      <xdr:row>348</xdr:row>
      <xdr:rowOff>121227</xdr:rowOff>
    </xdr:from>
    <xdr:to>
      <xdr:col>5</xdr:col>
      <xdr:colOff>311728</xdr:colOff>
      <xdr:row>350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792683" y="74866500"/>
          <a:ext cx="649431" cy="277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200" b="1">
              <a:solidFill>
                <a:srgbClr val="FFFF00"/>
              </a:solidFill>
            </a:rPr>
            <a:t>Wing B</a:t>
          </a:r>
        </a:p>
      </xdr:txBody>
    </xdr:sp>
    <xdr:clientData/>
  </xdr:twoCellAnchor>
  <xdr:twoCellAnchor editAs="oneCell">
    <xdr:from>
      <xdr:col>1</xdr:col>
      <xdr:colOff>441613</xdr:colOff>
      <xdr:row>379</xdr:row>
      <xdr:rowOff>190500</xdr:rowOff>
    </xdr:from>
    <xdr:to>
      <xdr:col>6</xdr:col>
      <xdr:colOff>533268</xdr:colOff>
      <xdr:row>394</xdr:row>
      <xdr:rowOff>83115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03613" y="81707182"/>
          <a:ext cx="4239360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447029</xdr:colOff>
      <xdr:row>395</xdr:row>
      <xdr:rowOff>166255</xdr:rowOff>
    </xdr:from>
    <xdr:to>
      <xdr:col>6</xdr:col>
      <xdr:colOff>533268</xdr:colOff>
      <xdr:row>410</xdr:row>
      <xdr:rowOff>58869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09029" y="84869482"/>
          <a:ext cx="4233944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8</xdr:col>
      <xdr:colOff>303069</xdr:colOff>
      <xdr:row>293</xdr:row>
      <xdr:rowOff>95251</xdr:rowOff>
    </xdr:from>
    <xdr:to>
      <xdr:col>8</xdr:col>
      <xdr:colOff>935183</xdr:colOff>
      <xdr:row>294</xdr:row>
      <xdr:rowOff>121228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23364" y="62172274"/>
          <a:ext cx="632114" cy="2251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Wing A</a:t>
          </a:r>
        </a:p>
      </xdr:txBody>
    </xdr:sp>
    <xdr:clientData/>
  </xdr:twoCellAnchor>
  <xdr:twoCellAnchor>
    <xdr:from>
      <xdr:col>9</xdr:col>
      <xdr:colOff>750094</xdr:colOff>
      <xdr:row>293</xdr:row>
      <xdr:rowOff>77932</xdr:rowOff>
    </xdr:from>
    <xdr:to>
      <xdr:col>10</xdr:col>
      <xdr:colOff>620208</xdr:colOff>
      <xdr:row>294</xdr:row>
      <xdr:rowOff>103909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430708" y="62154955"/>
          <a:ext cx="632114" cy="2251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Wing B</a:t>
          </a:r>
        </a:p>
      </xdr:txBody>
    </xdr:sp>
    <xdr:clientData/>
  </xdr:twoCellAnchor>
  <xdr:twoCellAnchor>
    <xdr:from>
      <xdr:col>8</xdr:col>
      <xdr:colOff>476249</xdr:colOff>
      <xdr:row>291</xdr:row>
      <xdr:rowOff>28575</xdr:rowOff>
    </xdr:from>
    <xdr:to>
      <xdr:col>14</xdr:col>
      <xdr:colOff>419334</xdr:colOff>
      <xdr:row>317</xdr:row>
      <xdr:rowOff>22408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7670799" y="60493275"/>
          <a:ext cx="5137385" cy="5105583"/>
          <a:chOff x="7213774" y="-564222"/>
          <a:chExt cx="4967476" cy="5510404"/>
        </a:xfrm>
      </xdr:grpSpPr>
      <xdr:sp macro="" textlink="">
        <xdr:nvSpPr>
          <xdr:cNvPr id="23" name="TextBox 10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>
          <a:xfrm>
            <a:off x="10008188" y="-564222"/>
            <a:ext cx="91884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 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24" name="TextBox 11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8040965" y="4576850"/>
            <a:ext cx="92845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FF00"/>
                </a:solidFill>
              </a:rPr>
              <a:t>Wing A </a:t>
            </a:r>
            <a:endParaRPr lang="en-IN" b="1">
              <a:solidFill>
                <a:srgbClr val="FFFF00"/>
              </a:solidFill>
            </a:endParaRPr>
          </a:p>
        </xdr:txBody>
      </xdr:sp>
      <xdr:sp macro="" textlink="">
        <xdr:nvSpPr>
          <xdr:cNvPr id="25" name="TextBox 12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7213774" y="1014767"/>
            <a:ext cx="1021799" cy="38285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26" name="TextBox 13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11252791" y="-564222"/>
            <a:ext cx="92845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FF00"/>
                </a:solidFill>
              </a:rPr>
              <a:t>Wing A </a:t>
            </a:r>
            <a:endParaRPr lang="en-IN" b="1">
              <a:solidFill>
                <a:srgbClr val="FFFF00"/>
              </a:solidFill>
            </a:endParaRPr>
          </a:p>
        </xdr:txBody>
      </xdr:sp>
      <xdr:cxnSp macro="">
        <xdr:nvCxnSpPr>
          <xdr:cNvPr id="32" name="Straight Arrow Connector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CxnSpPr/>
        </xdr:nvCxnSpPr>
        <xdr:spPr>
          <a:xfrm>
            <a:off x="11736233" y="-194890"/>
            <a:ext cx="152400" cy="564875"/>
          </a:xfrm>
          <a:prstGeom prst="straightConnector1">
            <a:avLst/>
          </a:prstGeom>
          <a:ln w="28575">
            <a:solidFill>
              <a:srgbClr val="FFFF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Straight Arrow Connector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CxnSpPr/>
        </xdr:nvCxnSpPr>
        <xdr:spPr>
          <a:xfrm flipV="1">
            <a:off x="8322473" y="3913286"/>
            <a:ext cx="76200" cy="663565"/>
          </a:xfrm>
          <a:prstGeom prst="straightConnector1">
            <a:avLst/>
          </a:prstGeom>
          <a:ln w="28575">
            <a:solidFill>
              <a:srgbClr val="FFFF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8</xdr:col>
      <xdr:colOff>317224</xdr:colOff>
      <xdr:row>335</xdr:row>
      <xdr:rowOff>73162</xdr:rowOff>
    </xdr:from>
    <xdr:to>
      <xdr:col>14</xdr:col>
      <xdr:colOff>19457</xdr:colOff>
      <xdr:row>357</xdr:row>
      <xdr:rowOff>191259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86430" y="71297750"/>
          <a:ext cx="4677645" cy="455562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10</xdr:col>
      <xdr:colOff>42205</xdr:colOff>
      <xdr:row>340</xdr:row>
      <xdr:rowOff>5755</xdr:rowOff>
    </xdr:from>
    <xdr:to>
      <xdr:col>12</xdr:col>
      <xdr:colOff>560922</xdr:colOff>
      <xdr:row>348</xdr:row>
      <xdr:rowOff>112399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 rot="3147149">
          <a:off x="9411292" y="70151368"/>
          <a:ext cx="1681444" cy="1991917"/>
        </a:xfrm>
        <a:prstGeom prst="rect">
          <a:avLst/>
        </a:prstGeom>
        <a:noFill/>
        <a:ln w="190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11</xdr:col>
      <xdr:colOff>268391</xdr:colOff>
      <xdr:row>341</xdr:row>
      <xdr:rowOff>187529</xdr:rowOff>
    </xdr:from>
    <xdr:to>
      <xdr:col>12</xdr:col>
      <xdr:colOff>227981</xdr:colOff>
      <xdr:row>343</xdr:row>
      <xdr:rowOff>66302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10218841" y="70685229"/>
          <a:ext cx="696190" cy="272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200" b="1">
              <a:solidFill>
                <a:srgbClr val="FFFF00"/>
              </a:solidFill>
            </a:rPr>
            <a:t>Wing A</a:t>
          </a:r>
        </a:p>
      </xdr:txBody>
    </xdr:sp>
    <xdr:clientData/>
  </xdr:twoCellAnchor>
  <xdr:twoCellAnchor>
    <xdr:from>
      <xdr:col>8</xdr:col>
      <xdr:colOff>260350</xdr:colOff>
      <xdr:row>293</xdr:row>
      <xdr:rowOff>133350</xdr:rowOff>
    </xdr:from>
    <xdr:to>
      <xdr:col>16</xdr:col>
      <xdr:colOff>38985</xdr:colOff>
      <xdr:row>335</xdr:row>
      <xdr:rowOff>94174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7454900" y="60991750"/>
          <a:ext cx="6477885" cy="8222174"/>
          <a:chOff x="298450" y="62607825"/>
          <a:chExt cx="6179435" cy="8352349"/>
        </a:xfrm>
      </xdr:grpSpPr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04221" y="68398899"/>
            <a:ext cx="1811832" cy="256127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04222" y="62607825"/>
            <a:ext cx="1973663" cy="277727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8450" y="65500187"/>
            <a:ext cx="1973663" cy="278045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17245" y="68398899"/>
            <a:ext cx="1792782" cy="256127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06736" y="62607825"/>
            <a:ext cx="1941913" cy="277727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04221" y="65500187"/>
            <a:ext cx="1973663" cy="278045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12474" y="65500187"/>
            <a:ext cx="1941913" cy="278045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8451" y="62607825"/>
            <a:ext cx="1973663" cy="277727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44858" y="68398899"/>
            <a:ext cx="1802307" cy="2561275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8</xdr:col>
      <xdr:colOff>379319</xdr:colOff>
      <xdr:row>294</xdr:row>
      <xdr:rowOff>15127</xdr:rowOff>
    </xdr:from>
    <xdr:to>
      <xdr:col>16</xdr:col>
      <xdr:colOff>390328</xdr:colOff>
      <xdr:row>336</xdr:row>
      <xdr:rowOff>50492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7573869" y="61070377"/>
          <a:ext cx="6710259" cy="8296715"/>
          <a:chOff x="228599" y="62736132"/>
          <a:chExt cx="6419653" cy="8495806"/>
        </a:xfrm>
      </xdr:grpSpPr>
      <xdr:pic>
        <xdr:nvPicPr>
          <xdr:cNvPr id="42" name="Picture 41" descr="https://vsjcllp.vsjadon.com/upload/insp-216982-1525.jpg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483909" y="69080074"/>
            <a:ext cx="1597398" cy="214065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42" descr="https://vsjcllp.vsjadon.com/upload/insp-216982-847.jpg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8599" y="66759978"/>
            <a:ext cx="1646559" cy="222294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7" name="Picture 46" descr="https://vsjcllp.vsjadon.com/upload/insp-216982-862.jpg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957667" y="66759978"/>
            <a:ext cx="1653282" cy="222294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8" name="Picture 47" descr="https://vsjcllp.vsjadon.com/upload/insp-216982-925.jpg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95743" y="69089599"/>
            <a:ext cx="1592916" cy="214233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Picture 48" descr="https://vsjcllp.vsjadon.com/upload/insp-216982-928.jpg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702984" y="66756803"/>
            <a:ext cx="2945268" cy="222294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GrpSpPr/>
        </xdr:nvGrpSpPr>
        <xdr:grpSpPr>
          <a:xfrm>
            <a:off x="500902" y="62736132"/>
            <a:ext cx="5847443" cy="3912534"/>
            <a:chOff x="400049" y="62758544"/>
            <a:chExt cx="5847443" cy="3912534"/>
          </a:xfrm>
        </xdr:grpSpPr>
        <xdr:pic>
          <xdr:nvPicPr>
            <xdr:cNvPr id="46" name="Picture 45" descr="https://vsjcllp.vsjadon.com/upload/insp-216982-851.jpg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00049" y="62811772"/>
              <a:ext cx="2867239" cy="385930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50" name="TextBox 13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SpPr txBox="1"/>
          </xdr:nvSpPr>
          <xdr:spPr>
            <a:xfrm>
              <a:off x="702608" y="62848191"/>
              <a:ext cx="919304" cy="363855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0000"/>
                  </a:solidFill>
                </a:rPr>
                <a:t>Wing A </a:t>
              </a:r>
              <a:endParaRPr lang="en-IN" b="1">
                <a:solidFill>
                  <a:srgbClr val="FF0000"/>
                </a:solidFill>
              </a:endParaRPr>
            </a:p>
          </xdr:txBody>
        </xdr:sp>
        <xdr:grpSp>
          <xdr:nvGrpSpPr>
            <xdr:cNvPr id="13" name="Group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pSpPr/>
          </xdr:nvGrpSpPr>
          <xdr:grpSpPr>
            <a:xfrm>
              <a:off x="3369608" y="62758544"/>
              <a:ext cx="2877884" cy="3912534"/>
              <a:chOff x="3369608" y="62758544"/>
              <a:chExt cx="2877884" cy="3912534"/>
            </a:xfrm>
          </xdr:grpSpPr>
          <xdr:pic>
            <xdr:nvPicPr>
              <xdr:cNvPr id="44" name="Picture 43" descr="https://vsjcllp.vsjadon.com/upload/insp-216982-844.jpg">
                <a:extLst>
                  <a:ext uri="{FF2B5EF4-FFF2-40B4-BE49-F238E27FC236}">
                    <a16:creationId xmlns:a16="http://schemas.microsoft.com/office/drawing/2014/main" id="{00000000-0008-0000-0000-00002C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1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369608" y="62811772"/>
                <a:ext cx="2877884" cy="3859306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 macro="" textlink="">
            <xdr:nvSpPr>
              <xdr:cNvPr id="51" name="TextBox 13">
                <a:extLst>
                  <a:ext uri="{FF2B5EF4-FFF2-40B4-BE49-F238E27FC236}">
                    <a16:creationId xmlns:a16="http://schemas.microsoft.com/office/drawing/2014/main" id="{00000000-0008-0000-0000-000033000000}"/>
                  </a:ext>
                </a:extLst>
              </xdr:cNvPr>
              <xdr:cNvSpPr txBox="1"/>
            </xdr:nvSpPr>
            <xdr:spPr>
              <a:xfrm>
                <a:off x="4649319" y="62758544"/>
                <a:ext cx="919304" cy="363855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b="1">
                    <a:solidFill>
                      <a:srgbClr val="FF0000"/>
                    </a:solidFill>
                  </a:rPr>
                  <a:t>Wing B </a:t>
                </a:r>
                <a:endParaRPr lang="en-IN" b="1">
                  <a:solidFill>
                    <a:srgbClr val="FF0000"/>
                  </a:solidFill>
                </a:endParaRPr>
              </a:p>
            </xdr:txBody>
          </xdr:sp>
        </xdr:grpSp>
      </xdr:grpSp>
    </xdr:grpSp>
    <xdr:clientData/>
  </xdr:twoCellAnchor>
  <xdr:twoCellAnchor>
    <xdr:from>
      <xdr:col>0</xdr:col>
      <xdr:colOff>330200</xdr:colOff>
      <xdr:row>293</xdr:row>
      <xdr:rowOff>107950</xdr:rowOff>
    </xdr:from>
    <xdr:to>
      <xdr:col>7</xdr:col>
      <xdr:colOff>855092</xdr:colOff>
      <xdr:row>332</xdr:row>
      <xdr:rowOff>141018</xdr:rowOff>
    </xdr:to>
    <xdr:grpSp>
      <xdr:nvGrpSpPr>
        <xdr:cNvPr id="16" name="Group 15"/>
        <xdr:cNvGrpSpPr/>
      </xdr:nvGrpSpPr>
      <xdr:grpSpPr>
        <a:xfrm>
          <a:off x="330200" y="60966350"/>
          <a:ext cx="6500242" cy="7703868"/>
          <a:chOff x="330200" y="60966350"/>
          <a:chExt cx="6500242" cy="7703868"/>
        </a:xfrm>
      </xdr:grpSpPr>
      <xdr:pic>
        <xdr:nvPicPr>
          <xdr:cNvPr id="66" name="Picture 65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3273" y="63792284"/>
            <a:ext cx="2025000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7" name="Picture 66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3273" y="60966350"/>
            <a:ext cx="2025000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8" name="Picture 67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91442" y="66618218"/>
            <a:ext cx="1539000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9" name="Picture 68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77104" y="63792284"/>
            <a:ext cx="2025000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0" name="Picture 69"/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77104" y="60966350"/>
            <a:ext cx="2025000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1" name="Picture 70"/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50935" y="63792284"/>
            <a:ext cx="2025000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2" name="Picture 71"/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39708" y="66618218"/>
            <a:ext cx="1539000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3" name="Picture 72"/>
          <xdr:cNvPicPr>
            <a:picLocks noChangeAspect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0200" y="66618218"/>
            <a:ext cx="1539000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4" name="Picture 73"/>
          <xdr:cNvPicPr>
            <a:picLocks noChangeAspect="1"/>
          </xdr:cNvPicPr>
        </xdr:nvPicPr>
        <xdr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50935" y="60966350"/>
            <a:ext cx="2025000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5" name="Picture 74"/>
          <xdr:cNvPicPr>
            <a:picLocks noChangeAspect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87974" y="66618218"/>
            <a:ext cx="1539000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oneCellAnchor>
    <xdr:from>
      <xdr:col>4</xdr:col>
      <xdr:colOff>304800</xdr:colOff>
      <xdr:row>309</xdr:row>
      <xdr:rowOff>158750</xdr:rowOff>
    </xdr:from>
    <xdr:ext cx="596574" cy="264560"/>
    <xdr:sp macro="" textlink="">
      <xdr:nvSpPr>
        <xdr:cNvPr id="17" name="TextBox 16"/>
        <xdr:cNvSpPr txBox="1"/>
      </xdr:nvSpPr>
      <xdr:spPr>
        <a:xfrm>
          <a:off x="3822700" y="64160400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Wing A</a:t>
          </a:r>
        </a:p>
      </xdr:txBody>
    </xdr:sp>
    <xdr:clientData/>
  </xdr:oneCellAnchor>
  <xdr:oneCellAnchor>
    <xdr:from>
      <xdr:col>3</xdr:col>
      <xdr:colOff>222250</xdr:colOff>
      <xdr:row>309</xdr:row>
      <xdr:rowOff>50800</xdr:rowOff>
    </xdr:from>
    <xdr:ext cx="596574" cy="264560"/>
    <xdr:sp macro="" textlink="">
      <xdr:nvSpPr>
        <xdr:cNvPr id="76" name="TextBox 75"/>
        <xdr:cNvSpPr txBox="1"/>
      </xdr:nvSpPr>
      <xdr:spPr>
        <a:xfrm>
          <a:off x="2749550" y="64052450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Wing B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pE36NKHh1fH6HwDD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79"/>
  <sheetViews>
    <sheetView tabSelected="1" view="pageBreakPreview" topLeftCell="A32" zoomScaleSheetLayoutView="100" workbookViewId="0">
      <selection activeCell="C39" sqref="C39:H39"/>
    </sheetView>
  </sheetViews>
  <sheetFormatPr defaultColWidth="9.179687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1796875" style="40" customWidth="1"/>
    <col min="5" max="7" width="11.7265625" style="40" customWidth="1"/>
    <col min="8" max="8" width="17.453125" style="40" customWidth="1"/>
    <col min="9" max="9" width="17.453125" style="21" customWidth="1"/>
    <col min="10" max="10" width="11.453125" style="21" customWidth="1"/>
    <col min="11" max="11" width="10.54296875" style="21" bestFit="1" customWidth="1"/>
    <col min="12" max="12" width="10.54296875" style="21" customWidth="1"/>
    <col min="13" max="13" width="11.81640625" style="21" customWidth="1"/>
    <col min="14" max="14" width="12.54296875" style="21" customWidth="1"/>
    <col min="15" max="15" width="9.81640625" style="21" customWidth="1"/>
    <col min="16" max="16" width="11.7265625" style="21" customWidth="1"/>
    <col min="17" max="247" width="9.1796875" style="21"/>
    <col min="248" max="248" width="8.7265625" style="21" customWidth="1"/>
    <col min="249" max="249" width="9.81640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81640625" style="21" customWidth="1"/>
    <col min="256" max="256" width="11.1796875" style="21" customWidth="1"/>
    <col min="257" max="257" width="2.81640625" style="21" customWidth="1"/>
    <col min="258" max="258" width="3.54296875" style="21" customWidth="1"/>
    <col min="259" max="503" width="9.1796875" style="21"/>
    <col min="504" max="504" width="8.7265625" style="21" customWidth="1"/>
    <col min="505" max="505" width="9.81640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81640625" style="21" customWidth="1"/>
    <col min="512" max="512" width="11.1796875" style="21" customWidth="1"/>
    <col min="513" max="513" width="2.81640625" style="21" customWidth="1"/>
    <col min="514" max="514" width="3.54296875" style="21" customWidth="1"/>
    <col min="515" max="759" width="9.1796875" style="21"/>
    <col min="760" max="760" width="8.7265625" style="21" customWidth="1"/>
    <col min="761" max="761" width="9.81640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81640625" style="21" customWidth="1"/>
    <col min="768" max="768" width="11.1796875" style="21" customWidth="1"/>
    <col min="769" max="769" width="2.81640625" style="21" customWidth="1"/>
    <col min="770" max="770" width="3.54296875" style="21" customWidth="1"/>
    <col min="771" max="1015" width="9.1796875" style="21"/>
    <col min="1016" max="1016" width="8.7265625" style="21" customWidth="1"/>
    <col min="1017" max="1017" width="9.81640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81640625" style="21" customWidth="1"/>
    <col min="1024" max="1024" width="11.1796875" style="21" customWidth="1"/>
    <col min="1025" max="1025" width="2.81640625" style="21" customWidth="1"/>
    <col min="1026" max="1026" width="3.54296875" style="21" customWidth="1"/>
    <col min="1027" max="1271" width="9.1796875" style="21"/>
    <col min="1272" max="1272" width="8.7265625" style="21" customWidth="1"/>
    <col min="1273" max="1273" width="9.81640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81640625" style="21" customWidth="1"/>
    <col min="1280" max="1280" width="11.1796875" style="21" customWidth="1"/>
    <col min="1281" max="1281" width="2.81640625" style="21" customWidth="1"/>
    <col min="1282" max="1282" width="3.54296875" style="21" customWidth="1"/>
    <col min="1283" max="1527" width="9.1796875" style="21"/>
    <col min="1528" max="1528" width="8.7265625" style="21" customWidth="1"/>
    <col min="1529" max="1529" width="9.81640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81640625" style="21" customWidth="1"/>
    <col min="1536" max="1536" width="11.1796875" style="21" customWidth="1"/>
    <col min="1537" max="1537" width="2.81640625" style="21" customWidth="1"/>
    <col min="1538" max="1538" width="3.54296875" style="21" customWidth="1"/>
    <col min="1539" max="1783" width="9.1796875" style="21"/>
    <col min="1784" max="1784" width="8.7265625" style="21" customWidth="1"/>
    <col min="1785" max="1785" width="9.81640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81640625" style="21" customWidth="1"/>
    <col min="1792" max="1792" width="11.1796875" style="21" customWidth="1"/>
    <col min="1793" max="1793" width="2.81640625" style="21" customWidth="1"/>
    <col min="1794" max="1794" width="3.54296875" style="21" customWidth="1"/>
    <col min="1795" max="2039" width="9.1796875" style="21"/>
    <col min="2040" max="2040" width="8.7265625" style="21" customWidth="1"/>
    <col min="2041" max="2041" width="9.81640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81640625" style="21" customWidth="1"/>
    <col min="2048" max="2048" width="11.1796875" style="21" customWidth="1"/>
    <col min="2049" max="2049" width="2.81640625" style="21" customWidth="1"/>
    <col min="2050" max="2050" width="3.54296875" style="21" customWidth="1"/>
    <col min="2051" max="2295" width="9.1796875" style="21"/>
    <col min="2296" max="2296" width="8.7265625" style="21" customWidth="1"/>
    <col min="2297" max="2297" width="9.81640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81640625" style="21" customWidth="1"/>
    <col min="2304" max="2304" width="11.1796875" style="21" customWidth="1"/>
    <col min="2305" max="2305" width="2.81640625" style="21" customWidth="1"/>
    <col min="2306" max="2306" width="3.54296875" style="21" customWidth="1"/>
    <col min="2307" max="2551" width="9.1796875" style="21"/>
    <col min="2552" max="2552" width="8.7265625" style="21" customWidth="1"/>
    <col min="2553" max="2553" width="9.81640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81640625" style="21" customWidth="1"/>
    <col min="2560" max="2560" width="11.1796875" style="21" customWidth="1"/>
    <col min="2561" max="2561" width="2.81640625" style="21" customWidth="1"/>
    <col min="2562" max="2562" width="3.54296875" style="21" customWidth="1"/>
    <col min="2563" max="2807" width="9.1796875" style="21"/>
    <col min="2808" max="2808" width="8.7265625" style="21" customWidth="1"/>
    <col min="2809" max="2809" width="9.81640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81640625" style="21" customWidth="1"/>
    <col min="2816" max="2816" width="11.1796875" style="21" customWidth="1"/>
    <col min="2817" max="2817" width="2.81640625" style="21" customWidth="1"/>
    <col min="2818" max="2818" width="3.54296875" style="21" customWidth="1"/>
    <col min="2819" max="3063" width="9.1796875" style="21"/>
    <col min="3064" max="3064" width="8.7265625" style="21" customWidth="1"/>
    <col min="3065" max="3065" width="9.81640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81640625" style="21" customWidth="1"/>
    <col min="3072" max="3072" width="11.1796875" style="21" customWidth="1"/>
    <col min="3073" max="3073" width="2.81640625" style="21" customWidth="1"/>
    <col min="3074" max="3074" width="3.54296875" style="21" customWidth="1"/>
    <col min="3075" max="3319" width="9.1796875" style="21"/>
    <col min="3320" max="3320" width="8.7265625" style="21" customWidth="1"/>
    <col min="3321" max="3321" width="9.81640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81640625" style="21" customWidth="1"/>
    <col min="3328" max="3328" width="11.1796875" style="21" customWidth="1"/>
    <col min="3329" max="3329" width="2.81640625" style="21" customWidth="1"/>
    <col min="3330" max="3330" width="3.54296875" style="21" customWidth="1"/>
    <col min="3331" max="3575" width="9.1796875" style="21"/>
    <col min="3576" max="3576" width="8.7265625" style="21" customWidth="1"/>
    <col min="3577" max="3577" width="9.81640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81640625" style="21" customWidth="1"/>
    <col min="3584" max="3584" width="11.1796875" style="21" customWidth="1"/>
    <col min="3585" max="3585" width="2.81640625" style="21" customWidth="1"/>
    <col min="3586" max="3586" width="3.54296875" style="21" customWidth="1"/>
    <col min="3587" max="3831" width="9.1796875" style="21"/>
    <col min="3832" max="3832" width="8.7265625" style="21" customWidth="1"/>
    <col min="3833" max="3833" width="9.81640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81640625" style="21" customWidth="1"/>
    <col min="3840" max="3840" width="11.1796875" style="21" customWidth="1"/>
    <col min="3841" max="3841" width="2.81640625" style="21" customWidth="1"/>
    <col min="3842" max="3842" width="3.54296875" style="21" customWidth="1"/>
    <col min="3843" max="4087" width="9.1796875" style="21"/>
    <col min="4088" max="4088" width="8.7265625" style="21" customWidth="1"/>
    <col min="4089" max="4089" width="9.81640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81640625" style="21" customWidth="1"/>
    <col min="4096" max="4096" width="11.1796875" style="21" customWidth="1"/>
    <col min="4097" max="4097" width="2.81640625" style="21" customWidth="1"/>
    <col min="4098" max="4098" width="3.54296875" style="21" customWidth="1"/>
    <col min="4099" max="4343" width="9.1796875" style="21"/>
    <col min="4344" max="4344" width="8.7265625" style="21" customWidth="1"/>
    <col min="4345" max="4345" width="9.81640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81640625" style="21" customWidth="1"/>
    <col min="4352" max="4352" width="11.1796875" style="21" customWidth="1"/>
    <col min="4353" max="4353" width="2.81640625" style="21" customWidth="1"/>
    <col min="4354" max="4354" width="3.54296875" style="21" customWidth="1"/>
    <col min="4355" max="4599" width="9.1796875" style="21"/>
    <col min="4600" max="4600" width="8.7265625" style="21" customWidth="1"/>
    <col min="4601" max="4601" width="9.81640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81640625" style="21" customWidth="1"/>
    <col min="4608" max="4608" width="11.1796875" style="21" customWidth="1"/>
    <col min="4609" max="4609" width="2.81640625" style="21" customWidth="1"/>
    <col min="4610" max="4610" width="3.54296875" style="21" customWidth="1"/>
    <col min="4611" max="4855" width="9.1796875" style="21"/>
    <col min="4856" max="4856" width="8.7265625" style="21" customWidth="1"/>
    <col min="4857" max="4857" width="9.81640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81640625" style="21" customWidth="1"/>
    <col min="4864" max="4864" width="11.1796875" style="21" customWidth="1"/>
    <col min="4865" max="4865" width="2.81640625" style="21" customWidth="1"/>
    <col min="4866" max="4866" width="3.54296875" style="21" customWidth="1"/>
    <col min="4867" max="5111" width="9.1796875" style="21"/>
    <col min="5112" max="5112" width="8.7265625" style="21" customWidth="1"/>
    <col min="5113" max="5113" width="9.81640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81640625" style="21" customWidth="1"/>
    <col min="5120" max="5120" width="11.1796875" style="21" customWidth="1"/>
    <col min="5121" max="5121" width="2.81640625" style="21" customWidth="1"/>
    <col min="5122" max="5122" width="3.54296875" style="21" customWidth="1"/>
    <col min="5123" max="5367" width="9.1796875" style="21"/>
    <col min="5368" max="5368" width="8.7265625" style="21" customWidth="1"/>
    <col min="5369" max="5369" width="9.81640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81640625" style="21" customWidth="1"/>
    <col min="5376" max="5376" width="11.1796875" style="21" customWidth="1"/>
    <col min="5377" max="5377" width="2.81640625" style="21" customWidth="1"/>
    <col min="5378" max="5378" width="3.54296875" style="21" customWidth="1"/>
    <col min="5379" max="5623" width="9.1796875" style="21"/>
    <col min="5624" max="5624" width="8.7265625" style="21" customWidth="1"/>
    <col min="5625" max="5625" width="9.81640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81640625" style="21" customWidth="1"/>
    <col min="5632" max="5632" width="11.1796875" style="21" customWidth="1"/>
    <col min="5633" max="5633" width="2.81640625" style="21" customWidth="1"/>
    <col min="5634" max="5634" width="3.54296875" style="21" customWidth="1"/>
    <col min="5635" max="5879" width="9.1796875" style="21"/>
    <col min="5880" max="5880" width="8.7265625" style="21" customWidth="1"/>
    <col min="5881" max="5881" width="9.81640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81640625" style="21" customWidth="1"/>
    <col min="5888" max="5888" width="11.1796875" style="21" customWidth="1"/>
    <col min="5889" max="5889" width="2.81640625" style="21" customWidth="1"/>
    <col min="5890" max="5890" width="3.54296875" style="21" customWidth="1"/>
    <col min="5891" max="6135" width="9.1796875" style="21"/>
    <col min="6136" max="6136" width="8.7265625" style="21" customWidth="1"/>
    <col min="6137" max="6137" width="9.81640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81640625" style="21" customWidth="1"/>
    <col min="6144" max="6144" width="11.1796875" style="21" customWidth="1"/>
    <col min="6145" max="6145" width="2.81640625" style="21" customWidth="1"/>
    <col min="6146" max="6146" width="3.54296875" style="21" customWidth="1"/>
    <col min="6147" max="6391" width="9.1796875" style="21"/>
    <col min="6392" max="6392" width="8.7265625" style="21" customWidth="1"/>
    <col min="6393" max="6393" width="9.81640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81640625" style="21" customWidth="1"/>
    <col min="6400" max="6400" width="11.1796875" style="21" customWidth="1"/>
    <col min="6401" max="6401" width="2.81640625" style="21" customWidth="1"/>
    <col min="6402" max="6402" width="3.54296875" style="21" customWidth="1"/>
    <col min="6403" max="6647" width="9.1796875" style="21"/>
    <col min="6648" max="6648" width="8.7265625" style="21" customWidth="1"/>
    <col min="6649" max="6649" width="9.81640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81640625" style="21" customWidth="1"/>
    <col min="6656" max="6656" width="11.1796875" style="21" customWidth="1"/>
    <col min="6657" max="6657" width="2.81640625" style="21" customWidth="1"/>
    <col min="6658" max="6658" width="3.54296875" style="21" customWidth="1"/>
    <col min="6659" max="6903" width="9.1796875" style="21"/>
    <col min="6904" max="6904" width="8.7265625" style="21" customWidth="1"/>
    <col min="6905" max="6905" width="9.81640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81640625" style="21" customWidth="1"/>
    <col min="6912" max="6912" width="11.1796875" style="21" customWidth="1"/>
    <col min="6913" max="6913" width="2.81640625" style="21" customWidth="1"/>
    <col min="6914" max="6914" width="3.54296875" style="21" customWidth="1"/>
    <col min="6915" max="7159" width="9.1796875" style="21"/>
    <col min="7160" max="7160" width="8.7265625" style="21" customWidth="1"/>
    <col min="7161" max="7161" width="9.81640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81640625" style="21" customWidth="1"/>
    <col min="7168" max="7168" width="11.1796875" style="21" customWidth="1"/>
    <col min="7169" max="7169" width="2.81640625" style="21" customWidth="1"/>
    <col min="7170" max="7170" width="3.54296875" style="21" customWidth="1"/>
    <col min="7171" max="7415" width="9.1796875" style="21"/>
    <col min="7416" max="7416" width="8.7265625" style="21" customWidth="1"/>
    <col min="7417" max="7417" width="9.81640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81640625" style="21" customWidth="1"/>
    <col min="7424" max="7424" width="11.1796875" style="21" customWidth="1"/>
    <col min="7425" max="7425" width="2.81640625" style="21" customWidth="1"/>
    <col min="7426" max="7426" width="3.54296875" style="21" customWidth="1"/>
    <col min="7427" max="7671" width="9.1796875" style="21"/>
    <col min="7672" max="7672" width="8.7265625" style="21" customWidth="1"/>
    <col min="7673" max="7673" width="9.81640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81640625" style="21" customWidth="1"/>
    <col min="7680" max="7680" width="11.1796875" style="21" customWidth="1"/>
    <col min="7681" max="7681" width="2.81640625" style="21" customWidth="1"/>
    <col min="7682" max="7682" width="3.54296875" style="21" customWidth="1"/>
    <col min="7683" max="7927" width="9.1796875" style="21"/>
    <col min="7928" max="7928" width="8.7265625" style="21" customWidth="1"/>
    <col min="7929" max="7929" width="9.81640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81640625" style="21" customWidth="1"/>
    <col min="7936" max="7936" width="11.1796875" style="21" customWidth="1"/>
    <col min="7937" max="7937" width="2.81640625" style="21" customWidth="1"/>
    <col min="7938" max="7938" width="3.54296875" style="21" customWidth="1"/>
    <col min="7939" max="8183" width="9.1796875" style="21"/>
    <col min="8184" max="8184" width="8.7265625" style="21" customWidth="1"/>
    <col min="8185" max="8185" width="9.81640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81640625" style="21" customWidth="1"/>
    <col min="8192" max="8192" width="11.1796875" style="21" customWidth="1"/>
    <col min="8193" max="8193" width="2.81640625" style="21" customWidth="1"/>
    <col min="8194" max="8194" width="3.54296875" style="21" customWidth="1"/>
    <col min="8195" max="8439" width="9.1796875" style="21"/>
    <col min="8440" max="8440" width="8.7265625" style="21" customWidth="1"/>
    <col min="8441" max="8441" width="9.81640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81640625" style="21" customWidth="1"/>
    <col min="8448" max="8448" width="11.1796875" style="21" customWidth="1"/>
    <col min="8449" max="8449" width="2.81640625" style="21" customWidth="1"/>
    <col min="8450" max="8450" width="3.54296875" style="21" customWidth="1"/>
    <col min="8451" max="8695" width="9.1796875" style="21"/>
    <col min="8696" max="8696" width="8.7265625" style="21" customWidth="1"/>
    <col min="8697" max="8697" width="9.81640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81640625" style="21" customWidth="1"/>
    <col min="8704" max="8704" width="11.1796875" style="21" customWidth="1"/>
    <col min="8705" max="8705" width="2.81640625" style="21" customWidth="1"/>
    <col min="8706" max="8706" width="3.54296875" style="21" customWidth="1"/>
    <col min="8707" max="8951" width="9.1796875" style="21"/>
    <col min="8952" max="8952" width="8.7265625" style="21" customWidth="1"/>
    <col min="8953" max="8953" width="9.81640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81640625" style="21" customWidth="1"/>
    <col min="8960" max="8960" width="11.1796875" style="21" customWidth="1"/>
    <col min="8961" max="8961" width="2.81640625" style="21" customWidth="1"/>
    <col min="8962" max="8962" width="3.54296875" style="21" customWidth="1"/>
    <col min="8963" max="9207" width="9.1796875" style="21"/>
    <col min="9208" max="9208" width="8.7265625" style="21" customWidth="1"/>
    <col min="9209" max="9209" width="9.81640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81640625" style="21" customWidth="1"/>
    <col min="9216" max="9216" width="11.1796875" style="21" customWidth="1"/>
    <col min="9217" max="9217" width="2.81640625" style="21" customWidth="1"/>
    <col min="9218" max="9218" width="3.54296875" style="21" customWidth="1"/>
    <col min="9219" max="9463" width="9.1796875" style="21"/>
    <col min="9464" max="9464" width="8.7265625" style="21" customWidth="1"/>
    <col min="9465" max="9465" width="9.81640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81640625" style="21" customWidth="1"/>
    <col min="9472" max="9472" width="11.1796875" style="21" customWidth="1"/>
    <col min="9473" max="9473" width="2.81640625" style="21" customWidth="1"/>
    <col min="9474" max="9474" width="3.54296875" style="21" customWidth="1"/>
    <col min="9475" max="9719" width="9.1796875" style="21"/>
    <col min="9720" max="9720" width="8.7265625" style="21" customWidth="1"/>
    <col min="9721" max="9721" width="9.81640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81640625" style="21" customWidth="1"/>
    <col min="9728" max="9728" width="11.1796875" style="21" customWidth="1"/>
    <col min="9729" max="9729" width="2.81640625" style="21" customWidth="1"/>
    <col min="9730" max="9730" width="3.54296875" style="21" customWidth="1"/>
    <col min="9731" max="9975" width="9.1796875" style="21"/>
    <col min="9976" max="9976" width="8.7265625" style="21" customWidth="1"/>
    <col min="9977" max="9977" width="9.81640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81640625" style="21" customWidth="1"/>
    <col min="9984" max="9984" width="11.1796875" style="21" customWidth="1"/>
    <col min="9985" max="9985" width="2.81640625" style="21" customWidth="1"/>
    <col min="9986" max="9986" width="3.54296875" style="21" customWidth="1"/>
    <col min="9987" max="10231" width="9.1796875" style="21"/>
    <col min="10232" max="10232" width="8.7265625" style="21" customWidth="1"/>
    <col min="10233" max="10233" width="9.81640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81640625" style="21" customWidth="1"/>
    <col min="10240" max="10240" width="11.1796875" style="21" customWidth="1"/>
    <col min="10241" max="10241" width="2.81640625" style="21" customWidth="1"/>
    <col min="10242" max="10242" width="3.54296875" style="21" customWidth="1"/>
    <col min="10243" max="10487" width="9.1796875" style="21"/>
    <col min="10488" max="10488" width="8.7265625" style="21" customWidth="1"/>
    <col min="10489" max="10489" width="9.81640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81640625" style="21" customWidth="1"/>
    <col min="10496" max="10496" width="11.1796875" style="21" customWidth="1"/>
    <col min="10497" max="10497" width="2.81640625" style="21" customWidth="1"/>
    <col min="10498" max="10498" width="3.54296875" style="21" customWidth="1"/>
    <col min="10499" max="10743" width="9.1796875" style="21"/>
    <col min="10744" max="10744" width="8.7265625" style="21" customWidth="1"/>
    <col min="10745" max="10745" width="9.81640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81640625" style="21" customWidth="1"/>
    <col min="10752" max="10752" width="11.1796875" style="21" customWidth="1"/>
    <col min="10753" max="10753" width="2.81640625" style="21" customWidth="1"/>
    <col min="10754" max="10754" width="3.54296875" style="21" customWidth="1"/>
    <col min="10755" max="10999" width="9.1796875" style="21"/>
    <col min="11000" max="11000" width="8.7265625" style="21" customWidth="1"/>
    <col min="11001" max="11001" width="9.81640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81640625" style="21" customWidth="1"/>
    <col min="11008" max="11008" width="11.1796875" style="21" customWidth="1"/>
    <col min="11009" max="11009" width="2.81640625" style="21" customWidth="1"/>
    <col min="11010" max="11010" width="3.54296875" style="21" customWidth="1"/>
    <col min="11011" max="11255" width="9.1796875" style="21"/>
    <col min="11256" max="11256" width="8.7265625" style="21" customWidth="1"/>
    <col min="11257" max="11257" width="9.81640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81640625" style="21" customWidth="1"/>
    <col min="11264" max="11264" width="11.1796875" style="21" customWidth="1"/>
    <col min="11265" max="11265" width="2.81640625" style="21" customWidth="1"/>
    <col min="11266" max="11266" width="3.54296875" style="21" customWidth="1"/>
    <col min="11267" max="11511" width="9.1796875" style="21"/>
    <col min="11512" max="11512" width="8.7265625" style="21" customWidth="1"/>
    <col min="11513" max="11513" width="9.81640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81640625" style="21" customWidth="1"/>
    <col min="11520" max="11520" width="11.1796875" style="21" customWidth="1"/>
    <col min="11521" max="11521" width="2.81640625" style="21" customWidth="1"/>
    <col min="11522" max="11522" width="3.54296875" style="21" customWidth="1"/>
    <col min="11523" max="11767" width="9.1796875" style="21"/>
    <col min="11768" max="11768" width="8.7265625" style="21" customWidth="1"/>
    <col min="11769" max="11769" width="9.81640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81640625" style="21" customWidth="1"/>
    <col min="11776" max="11776" width="11.1796875" style="21" customWidth="1"/>
    <col min="11777" max="11777" width="2.81640625" style="21" customWidth="1"/>
    <col min="11778" max="11778" width="3.54296875" style="21" customWidth="1"/>
    <col min="11779" max="12023" width="9.1796875" style="21"/>
    <col min="12024" max="12024" width="8.7265625" style="21" customWidth="1"/>
    <col min="12025" max="12025" width="9.81640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81640625" style="21" customWidth="1"/>
    <col min="12032" max="12032" width="11.1796875" style="21" customWidth="1"/>
    <col min="12033" max="12033" width="2.81640625" style="21" customWidth="1"/>
    <col min="12034" max="12034" width="3.54296875" style="21" customWidth="1"/>
    <col min="12035" max="12279" width="9.1796875" style="21"/>
    <col min="12280" max="12280" width="8.7265625" style="21" customWidth="1"/>
    <col min="12281" max="12281" width="9.81640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81640625" style="21" customWidth="1"/>
    <col min="12288" max="12288" width="11.1796875" style="21" customWidth="1"/>
    <col min="12289" max="12289" width="2.81640625" style="21" customWidth="1"/>
    <col min="12290" max="12290" width="3.54296875" style="21" customWidth="1"/>
    <col min="12291" max="12535" width="9.1796875" style="21"/>
    <col min="12536" max="12536" width="8.7265625" style="21" customWidth="1"/>
    <col min="12537" max="12537" width="9.81640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81640625" style="21" customWidth="1"/>
    <col min="12544" max="12544" width="11.1796875" style="21" customWidth="1"/>
    <col min="12545" max="12545" width="2.81640625" style="21" customWidth="1"/>
    <col min="12546" max="12546" width="3.54296875" style="21" customWidth="1"/>
    <col min="12547" max="12791" width="9.1796875" style="21"/>
    <col min="12792" max="12792" width="8.7265625" style="21" customWidth="1"/>
    <col min="12793" max="12793" width="9.81640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81640625" style="21" customWidth="1"/>
    <col min="12800" max="12800" width="11.1796875" style="21" customWidth="1"/>
    <col min="12801" max="12801" width="2.81640625" style="21" customWidth="1"/>
    <col min="12802" max="12802" width="3.54296875" style="21" customWidth="1"/>
    <col min="12803" max="13047" width="9.1796875" style="21"/>
    <col min="13048" max="13048" width="8.7265625" style="21" customWidth="1"/>
    <col min="13049" max="13049" width="9.81640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81640625" style="21" customWidth="1"/>
    <col min="13056" max="13056" width="11.1796875" style="21" customWidth="1"/>
    <col min="13057" max="13057" width="2.81640625" style="21" customWidth="1"/>
    <col min="13058" max="13058" width="3.54296875" style="21" customWidth="1"/>
    <col min="13059" max="13303" width="9.1796875" style="21"/>
    <col min="13304" max="13304" width="8.7265625" style="21" customWidth="1"/>
    <col min="13305" max="13305" width="9.81640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81640625" style="21" customWidth="1"/>
    <col min="13312" max="13312" width="11.1796875" style="21" customWidth="1"/>
    <col min="13313" max="13313" width="2.81640625" style="21" customWidth="1"/>
    <col min="13314" max="13314" width="3.54296875" style="21" customWidth="1"/>
    <col min="13315" max="13559" width="9.1796875" style="21"/>
    <col min="13560" max="13560" width="8.7265625" style="21" customWidth="1"/>
    <col min="13561" max="13561" width="9.81640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81640625" style="21" customWidth="1"/>
    <col min="13568" max="13568" width="11.1796875" style="21" customWidth="1"/>
    <col min="13569" max="13569" width="2.81640625" style="21" customWidth="1"/>
    <col min="13570" max="13570" width="3.54296875" style="21" customWidth="1"/>
    <col min="13571" max="13815" width="9.1796875" style="21"/>
    <col min="13816" max="13816" width="8.7265625" style="21" customWidth="1"/>
    <col min="13817" max="13817" width="9.81640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81640625" style="21" customWidth="1"/>
    <col min="13824" max="13824" width="11.1796875" style="21" customWidth="1"/>
    <col min="13825" max="13825" width="2.81640625" style="21" customWidth="1"/>
    <col min="13826" max="13826" width="3.54296875" style="21" customWidth="1"/>
    <col min="13827" max="14071" width="9.1796875" style="21"/>
    <col min="14072" max="14072" width="8.7265625" style="21" customWidth="1"/>
    <col min="14073" max="14073" width="9.81640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81640625" style="21" customWidth="1"/>
    <col min="14080" max="14080" width="11.1796875" style="21" customWidth="1"/>
    <col min="14081" max="14081" width="2.81640625" style="21" customWidth="1"/>
    <col min="14082" max="14082" width="3.54296875" style="21" customWidth="1"/>
    <col min="14083" max="14327" width="9.1796875" style="21"/>
    <col min="14328" max="14328" width="8.7265625" style="21" customWidth="1"/>
    <col min="14329" max="14329" width="9.81640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81640625" style="21" customWidth="1"/>
    <col min="14336" max="14336" width="11.1796875" style="21" customWidth="1"/>
    <col min="14337" max="14337" width="2.81640625" style="21" customWidth="1"/>
    <col min="14338" max="14338" width="3.54296875" style="21" customWidth="1"/>
    <col min="14339" max="14583" width="9.1796875" style="21"/>
    <col min="14584" max="14584" width="8.7265625" style="21" customWidth="1"/>
    <col min="14585" max="14585" width="9.81640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81640625" style="21" customWidth="1"/>
    <col min="14592" max="14592" width="11.1796875" style="21" customWidth="1"/>
    <col min="14593" max="14593" width="2.81640625" style="21" customWidth="1"/>
    <col min="14594" max="14594" width="3.54296875" style="21" customWidth="1"/>
    <col min="14595" max="14839" width="9.1796875" style="21"/>
    <col min="14840" max="14840" width="8.7265625" style="21" customWidth="1"/>
    <col min="14841" max="14841" width="9.81640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81640625" style="21" customWidth="1"/>
    <col min="14848" max="14848" width="11.1796875" style="21" customWidth="1"/>
    <col min="14849" max="14849" width="2.81640625" style="21" customWidth="1"/>
    <col min="14850" max="14850" width="3.54296875" style="21" customWidth="1"/>
    <col min="14851" max="15095" width="9.1796875" style="21"/>
    <col min="15096" max="15096" width="8.7265625" style="21" customWidth="1"/>
    <col min="15097" max="15097" width="9.81640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81640625" style="21" customWidth="1"/>
    <col min="15104" max="15104" width="11.1796875" style="21" customWidth="1"/>
    <col min="15105" max="15105" width="2.81640625" style="21" customWidth="1"/>
    <col min="15106" max="15106" width="3.54296875" style="21" customWidth="1"/>
    <col min="15107" max="15351" width="9.1796875" style="21"/>
    <col min="15352" max="15352" width="8.7265625" style="21" customWidth="1"/>
    <col min="15353" max="15353" width="9.81640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81640625" style="21" customWidth="1"/>
    <col min="15360" max="15360" width="11.1796875" style="21" customWidth="1"/>
    <col min="15361" max="15361" width="2.81640625" style="21" customWidth="1"/>
    <col min="15362" max="15362" width="3.54296875" style="21" customWidth="1"/>
    <col min="15363" max="15607" width="9.1796875" style="21"/>
    <col min="15608" max="15608" width="8.7265625" style="21" customWidth="1"/>
    <col min="15609" max="15609" width="9.81640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81640625" style="21" customWidth="1"/>
    <col min="15616" max="15616" width="11.1796875" style="21" customWidth="1"/>
    <col min="15617" max="15617" width="2.81640625" style="21" customWidth="1"/>
    <col min="15618" max="15618" width="3.54296875" style="21" customWidth="1"/>
    <col min="15619" max="15863" width="9.1796875" style="21"/>
    <col min="15864" max="15864" width="8.7265625" style="21" customWidth="1"/>
    <col min="15865" max="15865" width="9.81640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81640625" style="21" customWidth="1"/>
    <col min="15872" max="15872" width="11.1796875" style="21" customWidth="1"/>
    <col min="15873" max="15873" width="2.81640625" style="21" customWidth="1"/>
    <col min="15874" max="15874" width="3.54296875" style="21" customWidth="1"/>
    <col min="15875" max="16119" width="9.1796875" style="21"/>
    <col min="16120" max="16120" width="8.7265625" style="21" customWidth="1"/>
    <col min="16121" max="16121" width="9.81640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81640625" style="21" customWidth="1"/>
    <col min="16128" max="16128" width="11.1796875" style="21" customWidth="1"/>
    <col min="16129" max="16129" width="2.81640625" style="21" customWidth="1"/>
    <col min="16130" max="16130" width="3.54296875" style="21" customWidth="1"/>
    <col min="16131" max="16384" width="9.1796875" style="21"/>
  </cols>
  <sheetData>
    <row r="1" spans="1:14" ht="46.5" customHeight="1" x14ac:dyDescent="0.35">
      <c r="A1" s="150" t="s">
        <v>169</v>
      </c>
      <c r="B1" s="150"/>
      <c r="C1" s="150"/>
      <c r="D1" s="150"/>
      <c r="E1" s="150"/>
      <c r="F1" s="150"/>
      <c r="G1" s="150"/>
      <c r="H1" s="150"/>
    </row>
    <row r="2" spans="1:14" ht="16.5" customHeight="1" x14ac:dyDescent="0.35">
      <c r="A2" s="151" t="s">
        <v>0</v>
      </c>
      <c r="B2" s="151"/>
      <c r="C2" s="151"/>
      <c r="D2" s="151"/>
      <c r="E2" s="151"/>
      <c r="F2" s="151"/>
      <c r="G2" s="151"/>
      <c r="H2" s="151"/>
    </row>
    <row r="3" spans="1:14" x14ac:dyDescent="0.35">
      <c r="A3" s="119" t="s">
        <v>1</v>
      </c>
      <c r="B3" s="119"/>
      <c r="C3" s="119"/>
      <c r="D3" s="119"/>
      <c r="E3" s="119" t="str">
        <f ca="1">TEXT(TODAY(),"DD/MM/YYYY")</f>
        <v>28/08/2025</v>
      </c>
      <c r="F3" s="119"/>
      <c r="G3" s="119"/>
      <c r="H3" s="119"/>
    </row>
    <row r="4" spans="1:14" x14ac:dyDescent="0.35">
      <c r="A4" s="119" t="s">
        <v>2</v>
      </c>
      <c r="B4" s="119"/>
      <c r="C4" s="119"/>
      <c r="D4" s="119"/>
      <c r="E4" s="119" t="s">
        <v>174</v>
      </c>
      <c r="F4" s="119"/>
      <c r="G4" s="119"/>
      <c r="H4" s="119"/>
    </row>
    <row r="5" spans="1:14" x14ac:dyDescent="0.35">
      <c r="A5" s="119" t="s">
        <v>3</v>
      </c>
      <c r="B5" s="119"/>
      <c r="C5" s="119"/>
      <c r="D5" s="119"/>
      <c r="E5" s="152">
        <v>45895</v>
      </c>
      <c r="F5" s="119"/>
      <c r="G5" s="119"/>
      <c r="H5" s="119"/>
    </row>
    <row r="6" spans="1:14" ht="16.5" customHeight="1" x14ac:dyDescent="0.35">
      <c r="A6" s="119" t="s">
        <v>4</v>
      </c>
      <c r="B6" s="119"/>
      <c r="C6" s="119"/>
      <c r="D6" s="119"/>
      <c r="E6" s="119" t="s">
        <v>175</v>
      </c>
      <c r="F6" s="119"/>
      <c r="G6" s="119"/>
      <c r="H6" s="119"/>
    </row>
    <row r="7" spans="1:14" ht="15" customHeight="1" x14ac:dyDescent="0.35">
      <c r="A7" s="119" t="s">
        <v>5</v>
      </c>
      <c r="B7" s="119"/>
      <c r="C7" s="119"/>
      <c r="D7" s="119"/>
      <c r="E7" s="119" t="str">
        <f>E6</f>
        <v>Shiv Shruti Developers LLP</v>
      </c>
      <c r="F7" s="119"/>
      <c r="G7" s="119"/>
      <c r="H7" s="119"/>
    </row>
    <row r="8" spans="1:14" x14ac:dyDescent="0.35">
      <c r="A8" s="119" t="s">
        <v>6</v>
      </c>
      <c r="B8" s="119"/>
      <c r="C8" s="119"/>
      <c r="D8" s="119"/>
      <c r="E8" s="87" t="s">
        <v>176</v>
      </c>
      <c r="F8" s="87"/>
      <c r="G8" s="87"/>
      <c r="H8" s="87"/>
    </row>
    <row r="9" spans="1:14" x14ac:dyDescent="0.35">
      <c r="A9" s="119" t="s">
        <v>172</v>
      </c>
      <c r="B9" s="119"/>
      <c r="C9" s="119"/>
      <c r="D9" s="119"/>
      <c r="E9" s="119" t="s">
        <v>177</v>
      </c>
      <c r="F9" s="119"/>
      <c r="G9" s="119"/>
      <c r="H9" s="119"/>
    </row>
    <row r="10" spans="1:14" hidden="1" x14ac:dyDescent="0.35">
      <c r="A10" s="119" t="s">
        <v>173</v>
      </c>
      <c r="B10" s="119"/>
      <c r="C10" s="119"/>
      <c r="D10" s="119"/>
      <c r="E10" s="119" t="s">
        <v>247</v>
      </c>
      <c r="F10" s="119"/>
      <c r="G10" s="119"/>
      <c r="H10" s="119"/>
    </row>
    <row r="11" spans="1:14" x14ac:dyDescent="0.35">
      <c r="A11" s="119" t="s">
        <v>7</v>
      </c>
      <c r="B11" s="119"/>
      <c r="C11" s="119"/>
      <c r="D11" s="119"/>
      <c r="E11" s="119" t="s">
        <v>223</v>
      </c>
      <c r="F11" s="119"/>
      <c r="G11" s="119"/>
      <c r="H11" s="119"/>
    </row>
    <row r="12" spans="1:14" x14ac:dyDescent="0.35">
      <c r="A12" s="119" t="s">
        <v>184</v>
      </c>
      <c r="B12" s="119"/>
      <c r="C12" s="119"/>
      <c r="D12" s="119"/>
      <c r="E12" s="119" t="s">
        <v>185</v>
      </c>
      <c r="F12" s="119"/>
      <c r="G12" s="119"/>
      <c r="H12" s="119"/>
    </row>
    <row r="13" spans="1:14" x14ac:dyDescent="0.35">
      <c r="A13" s="83" t="s">
        <v>8</v>
      </c>
      <c r="B13" s="83"/>
      <c r="C13" s="83"/>
      <c r="D13" s="83"/>
      <c r="E13" s="133" t="s">
        <v>178</v>
      </c>
      <c r="F13" s="133"/>
      <c r="G13" s="133"/>
      <c r="H13" s="133"/>
    </row>
    <row r="14" spans="1:14" x14ac:dyDescent="0.35">
      <c r="A14" s="83" t="s">
        <v>9</v>
      </c>
      <c r="B14" s="83"/>
      <c r="C14" s="83"/>
      <c r="D14" s="83"/>
      <c r="E14" s="133" t="s">
        <v>179</v>
      </c>
      <c r="F14" s="119"/>
      <c r="G14" s="119"/>
      <c r="H14" s="119"/>
    </row>
    <row r="15" spans="1:14" ht="66" customHeight="1" x14ac:dyDescent="0.35">
      <c r="A15" s="125" t="s">
        <v>181</v>
      </c>
      <c r="B15" s="125"/>
      <c r="C15" s="125" t="s">
        <v>193</v>
      </c>
      <c r="D15" s="125"/>
      <c r="E15" s="125"/>
      <c r="F15" s="125"/>
      <c r="G15" s="125"/>
      <c r="H15" s="125"/>
      <c r="I15" s="68"/>
      <c r="J15" s="68"/>
      <c r="K15" s="68"/>
      <c r="L15" s="68"/>
      <c r="M15" s="68"/>
      <c r="N15" s="68"/>
    </row>
    <row r="16" spans="1:14" ht="48.75" customHeight="1" x14ac:dyDescent="0.35">
      <c r="A16" s="125" t="s">
        <v>180</v>
      </c>
      <c r="B16" s="125"/>
      <c r="C16" s="125" t="str">
        <f>CONCATENATE((IF(OR(E8="",E8="NA"),"",E8)),", ",(IF(OR(A17="",A17="NA"),"",A17)),".",(IF(OR(C17="",C17="NA"),"",C17)),", near ",(IF(OR(C22="",C22="NA"),"",C22)),", ",(IF(OR(C19="",C19="NA"),"",C19)),", ",(IF(OR(C18="",C18="NA"),"",C18)),", ",(IF(OR(G19="",G19="NA"),"",G19)),", ",(IF(OR(C20="",C20="NA"),"",C20)),", ",(IF(OR(C21="",C21="NA"),"",C21)),", ",(IF(OR(G20="",G20="NA"),"",G20))," - ",(IF(OR(G21="",G21="NA"),"",G21)),".")</f>
        <v>Ashtavinayak Apartments, CTS No.68, 69 &amp; 72, Redevlopement of "Shyamnagarcha Raja Shri Ganesh CHS", near Aishwarya Heights, Internal Road, Shyam Nagar, Majas, Jogeshwari (East), Andheri, Mumbai - 400060.</v>
      </c>
      <c r="D16" s="125"/>
      <c r="E16" s="125"/>
      <c r="F16" s="125"/>
      <c r="G16" s="125"/>
      <c r="H16" s="125"/>
    </row>
    <row r="17" spans="1:8" x14ac:dyDescent="0.35">
      <c r="A17" s="133" t="s">
        <v>182</v>
      </c>
      <c r="B17" s="133"/>
      <c r="C17" s="133" t="s">
        <v>183</v>
      </c>
      <c r="D17" s="133"/>
      <c r="E17" s="133"/>
      <c r="F17" s="133"/>
      <c r="G17" s="133"/>
      <c r="H17" s="133"/>
    </row>
    <row r="18" spans="1:8" ht="15.75" customHeight="1" x14ac:dyDescent="0.35">
      <c r="A18" s="133" t="s">
        <v>167</v>
      </c>
      <c r="B18" s="133"/>
      <c r="C18" s="133" t="s">
        <v>190</v>
      </c>
      <c r="D18" s="133"/>
      <c r="E18" s="133"/>
      <c r="F18" s="133"/>
      <c r="G18" s="133"/>
      <c r="H18" s="133"/>
    </row>
    <row r="19" spans="1:8" ht="15.75" customHeight="1" x14ac:dyDescent="0.35">
      <c r="A19" s="125" t="s">
        <v>10</v>
      </c>
      <c r="B19" s="125"/>
      <c r="C19" s="119" t="s">
        <v>189</v>
      </c>
      <c r="D19" s="119"/>
      <c r="E19" s="125" t="s">
        <v>74</v>
      </c>
      <c r="F19" s="125"/>
      <c r="G19" s="133" t="s">
        <v>188</v>
      </c>
      <c r="H19" s="133"/>
    </row>
    <row r="20" spans="1:8" x14ac:dyDescent="0.35">
      <c r="A20" s="83" t="s">
        <v>12</v>
      </c>
      <c r="B20" s="83"/>
      <c r="C20" s="133" t="s">
        <v>191</v>
      </c>
      <c r="D20" s="133"/>
      <c r="E20" s="125" t="s">
        <v>11</v>
      </c>
      <c r="F20" s="125"/>
      <c r="G20" s="149" t="s">
        <v>186</v>
      </c>
      <c r="H20" s="149"/>
    </row>
    <row r="21" spans="1:8" x14ac:dyDescent="0.35">
      <c r="A21" s="83" t="s">
        <v>75</v>
      </c>
      <c r="B21" s="83"/>
      <c r="C21" s="133" t="s">
        <v>187</v>
      </c>
      <c r="D21" s="133"/>
      <c r="E21" s="125" t="s">
        <v>13</v>
      </c>
      <c r="F21" s="125"/>
      <c r="G21" s="133">
        <v>400060</v>
      </c>
      <c r="H21" s="133"/>
    </row>
    <row r="22" spans="1:8" ht="32.25" customHeight="1" x14ac:dyDescent="0.35">
      <c r="A22" s="83" t="s">
        <v>124</v>
      </c>
      <c r="B22" s="83"/>
      <c r="C22" s="133" t="s">
        <v>192</v>
      </c>
      <c r="D22" s="133"/>
      <c r="E22" s="125" t="s">
        <v>14</v>
      </c>
      <c r="F22" s="125"/>
      <c r="G22" s="133" t="s">
        <v>229</v>
      </c>
      <c r="H22" s="133"/>
    </row>
    <row r="23" spans="1:8" ht="15" customHeight="1" x14ac:dyDescent="0.35">
      <c r="A23" s="125" t="s">
        <v>78</v>
      </c>
      <c r="B23" s="125"/>
      <c r="C23" s="125"/>
      <c r="D23" s="125"/>
      <c r="E23" s="119" t="s">
        <v>15</v>
      </c>
      <c r="F23" s="119"/>
      <c r="G23" s="119"/>
      <c r="H23" s="119"/>
    </row>
    <row r="24" spans="1:8" ht="18.75" customHeight="1" x14ac:dyDescent="0.35">
      <c r="A24" s="125"/>
      <c r="B24" s="125"/>
      <c r="C24" s="125"/>
      <c r="D24" s="125"/>
      <c r="E24" s="119"/>
      <c r="F24" s="119"/>
      <c r="G24" s="119"/>
      <c r="H24" s="119"/>
    </row>
    <row r="25" spans="1:8" ht="15" customHeight="1" x14ac:dyDescent="0.35">
      <c r="A25" s="125" t="s">
        <v>16</v>
      </c>
      <c r="B25" s="125"/>
      <c r="C25" s="125"/>
      <c r="D25" s="125"/>
      <c r="E25" s="133" t="s">
        <v>17</v>
      </c>
      <c r="F25" s="133"/>
      <c r="G25" s="133"/>
      <c r="H25" s="133"/>
    </row>
    <row r="26" spans="1:8" ht="15" customHeight="1" x14ac:dyDescent="0.35">
      <c r="A26" s="83" t="s">
        <v>18</v>
      </c>
      <c r="B26" s="83"/>
      <c r="C26" s="83"/>
      <c r="D26" s="83"/>
      <c r="E26" s="133" t="str">
        <f>IF(AND(G20="Mumbai"),"Upper Class","Middle Class")</f>
        <v>Upper Class</v>
      </c>
      <c r="F26" s="133"/>
      <c r="G26" s="133"/>
      <c r="H26" s="133"/>
    </row>
    <row r="27" spans="1:8" x14ac:dyDescent="0.35">
      <c r="A27" s="83" t="s">
        <v>19</v>
      </c>
      <c r="B27" s="83"/>
      <c r="C27" s="83"/>
      <c r="D27" s="83"/>
      <c r="E27" s="133" t="s">
        <v>20</v>
      </c>
      <c r="F27" s="133"/>
      <c r="G27" s="133"/>
      <c r="H27" s="133"/>
    </row>
    <row r="28" spans="1:8" ht="15.75" customHeight="1" x14ac:dyDescent="0.35">
      <c r="A28" s="83" t="s">
        <v>21</v>
      </c>
      <c r="B28" s="83"/>
      <c r="C28" s="83"/>
      <c r="D28" s="83"/>
      <c r="E28" s="133" t="str">
        <f>IF(AND(G20="Mumbai"),"Developed","Developing")</f>
        <v>Developed</v>
      </c>
      <c r="F28" s="133"/>
      <c r="G28" s="133"/>
      <c r="H28" s="133"/>
    </row>
    <row r="29" spans="1:8" x14ac:dyDescent="0.35">
      <c r="A29" s="83" t="s">
        <v>22</v>
      </c>
      <c r="B29" s="83"/>
      <c r="C29" s="83"/>
      <c r="D29" s="83"/>
      <c r="E29" s="133" t="s">
        <v>23</v>
      </c>
      <c r="F29" s="133"/>
      <c r="G29" s="133"/>
      <c r="H29" s="133"/>
    </row>
    <row r="30" spans="1:8" ht="15.75" customHeight="1" x14ac:dyDescent="0.35">
      <c r="A30" s="83" t="s">
        <v>83</v>
      </c>
      <c r="B30" s="83"/>
      <c r="C30" s="83"/>
      <c r="D30" s="83"/>
      <c r="E30" s="133" t="s">
        <v>84</v>
      </c>
      <c r="F30" s="133"/>
      <c r="G30" s="133"/>
      <c r="H30" s="133"/>
    </row>
    <row r="31" spans="1:8" ht="15" customHeight="1" x14ac:dyDescent="0.35">
      <c r="A31" s="83" t="s">
        <v>32</v>
      </c>
      <c r="B31" s="83"/>
      <c r="C31" s="83"/>
      <c r="D31" s="83"/>
      <c r="E31" s="133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 + Commercial</v>
      </c>
      <c r="F31" s="133"/>
      <c r="G31" s="133"/>
      <c r="H31" s="133"/>
    </row>
    <row r="32" spans="1:8" ht="15.75" customHeight="1" x14ac:dyDescent="0.35">
      <c r="A32" s="83" t="s">
        <v>95</v>
      </c>
      <c r="B32" s="83"/>
      <c r="C32" s="83"/>
      <c r="D32" s="83"/>
      <c r="E32" s="133" t="s">
        <v>33</v>
      </c>
      <c r="F32" s="133"/>
      <c r="G32" s="133"/>
      <c r="H32" s="133"/>
    </row>
    <row r="33" spans="1:8" s="22" customFormat="1" x14ac:dyDescent="0.35">
      <c r="A33" s="148" t="s">
        <v>96</v>
      </c>
      <c r="B33" s="148"/>
      <c r="C33" s="147" t="s">
        <v>28</v>
      </c>
      <c r="D33" s="147"/>
      <c r="E33" s="147"/>
      <c r="F33" s="147" t="s">
        <v>30</v>
      </c>
      <c r="G33" s="147"/>
      <c r="H33" s="147"/>
    </row>
    <row r="34" spans="1:8" s="22" customFormat="1" x14ac:dyDescent="0.35">
      <c r="A34" s="126" t="s">
        <v>24</v>
      </c>
      <c r="B34" s="126" t="s">
        <v>29</v>
      </c>
      <c r="C34" s="127" t="s">
        <v>29</v>
      </c>
      <c r="D34" s="127"/>
      <c r="E34" s="127"/>
      <c r="F34" s="127" t="s">
        <v>230</v>
      </c>
      <c r="G34" s="127"/>
      <c r="H34" s="127"/>
    </row>
    <row r="35" spans="1:8" ht="31.5" customHeight="1" x14ac:dyDescent="0.35">
      <c r="A35" s="130" t="s">
        <v>25</v>
      </c>
      <c r="B35" s="130" t="s">
        <v>29</v>
      </c>
      <c r="C35" s="130" t="s">
        <v>29</v>
      </c>
      <c r="D35" s="130"/>
      <c r="E35" s="130"/>
      <c r="F35" s="129" t="s">
        <v>231</v>
      </c>
      <c r="G35" s="130"/>
      <c r="H35" s="130"/>
    </row>
    <row r="36" spans="1:8" s="22" customFormat="1" x14ac:dyDescent="0.35">
      <c r="A36" s="126" t="s">
        <v>27</v>
      </c>
      <c r="B36" s="126" t="s">
        <v>29</v>
      </c>
      <c r="C36" s="127" t="s">
        <v>29</v>
      </c>
      <c r="D36" s="127"/>
      <c r="E36" s="127"/>
      <c r="F36" s="127" t="s">
        <v>232</v>
      </c>
      <c r="G36" s="127"/>
      <c r="H36" s="127"/>
    </row>
    <row r="37" spans="1:8" x14ac:dyDescent="0.35">
      <c r="A37" s="126" t="s">
        <v>26</v>
      </c>
      <c r="B37" s="126" t="s">
        <v>29</v>
      </c>
      <c r="C37" s="127" t="s">
        <v>29</v>
      </c>
      <c r="D37" s="127"/>
      <c r="E37" s="127"/>
      <c r="F37" s="127" t="s">
        <v>192</v>
      </c>
      <c r="G37" s="127"/>
      <c r="H37" s="127"/>
    </row>
    <row r="38" spans="1:8" x14ac:dyDescent="0.35">
      <c r="A38" s="83" t="s">
        <v>31</v>
      </c>
      <c r="B38" s="83"/>
      <c r="C38" s="83"/>
      <c r="D38" s="83"/>
      <c r="E38" s="83"/>
      <c r="F38" s="83"/>
      <c r="G38" s="83"/>
      <c r="H38" s="83"/>
    </row>
    <row r="39" spans="1:8" ht="15.75" customHeight="1" x14ac:dyDescent="0.35">
      <c r="A39" s="83" t="s">
        <v>170</v>
      </c>
      <c r="B39" s="83"/>
      <c r="C39" s="131" t="s">
        <v>227</v>
      </c>
      <c r="D39" s="131"/>
      <c r="E39" s="131"/>
      <c r="F39" s="131"/>
      <c r="G39" s="131"/>
      <c r="H39" s="131"/>
    </row>
    <row r="40" spans="1:8" x14ac:dyDescent="0.35">
      <c r="A40" s="83" t="s">
        <v>166</v>
      </c>
      <c r="B40" s="83"/>
      <c r="C40" s="132" t="s">
        <v>228</v>
      </c>
      <c r="D40" s="133"/>
      <c r="E40" s="133"/>
      <c r="F40" s="133"/>
      <c r="G40" s="133"/>
      <c r="H40" s="133"/>
    </row>
    <row r="41" spans="1:8" x14ac:dyDescent="0.35">
      <c r="A41" s="131" t="s">
        <v>34</v>
      </c>
      <c r="B41" s="131"/>
      <c r="C41" s="131"/>
      <c r="D41" s="131"/>
      <c r="E41" s="131"/>
      <c r="F41" s="131"/>
      <c r="G41" s="131"/>
      <c r="H41" s="131"/>
    </row>
    <row r="42" spans="1:8" x14ac:dyDescent="0.35">
      <c r="A42" s="83" t="s">
        <v>35</v>
      </c>
      <c r="B42" s="83"/>
      <c r="C42" s="83"/>
      <c r="D42" s="83"/>
      <c r="E42" s="128">
        <v>3217.8</v>
      </c>
      <c r="F42" s="128"/>
      <c r="G42" s="128"/>
      <c r="H42" s="128"/>
    </row>
    <row r="43" spans="1:8" x14ac:dyDescent="0.35">
      <c r="A43" s="83" t="s">
        <v>36</v>
      </c>
      <c r="B43" s="83"/>
      <c r="C43" s="83"/>
      <c r="D43" s="83"/>
      <c r="E43" s="117">
        <v>4</v>
      </c>
      <c r="F43" s="117"/>
      <c r="G43" s="117"/>
      <c r="H43" s="117"/>
    </row>
    <row r="44" spans="1:8" x14ac:dyDescent="0.35">
      <c r="A44" s="83" t="s">
        <v>37</v>
      </c>
      <c r="B44" s="83"/>
      <c r="C44" s="83"/>
      <c r="D44" s="83"/>
      <c r="E44" s="117">
        <f>E46/E42-E43</f>
        <v>1.8666169432531534</v>
      </c>
      <c r="F44" s="117"/>
      <c r="G44" s="117"/>
      <c r="H44" s="117"/>
    </row>
    <row r="45" spans="1:8" x14ac:dyDescent="0.35">
      <c r="A45" s="83" t="s">
        <v>38</v>
      </c>
      <c r="B45" s="83"/>
      <c r="C45" s="83"/>
      <c r="D45" s="83"/>
      <c r="E45" s="117">
        <f>E43+E44</f>
        <v>5.8666169432531534</v>
      </c>
      <c r="F45" s="117"/>
      <c r="G45" s="117"/>
      <c r="H45" s="117"/>
    </row>
    <row r="46" spans="1:8" x14ac:dyDescent="0.35">
      <c r="A46" s="83" t="s">
        <v>94</v>
      </c>
      <c r="B46" s="83"/>
      <c r="C46" s="83"/>
      <c r="D46" s="83"/>
      <c r="E46" s="118">
        <v>18877.599999999999</v>
      </c>
      <c r="F46" s="118"/>
      <c r="G46" s="118"/>
      <c r="H46" s="118"/>
    </row>
    <row r="47" spans="1:8" x14ac:dyDescent="0.35">
      <c r="A47" s="119" t="s">
        <v>39</v>
      </c>
      <c r="B47" s="119"/>
      <c r="C47" s="119"/>
      <c r="D47" s="119"/>
      <c r="E47" s="119" t="s">
        <v>213</v>
      </c>
      <c r="F47" s="119"/>
      <c r="G47" s="119"/>
      <c r="H47" s="119"/>
    </row>
    <row r="48" spans="1:8" x14ac:dyDescent="0.35">
      <c r="A48" s="131" t="s">
        <v>40</v>
      </c>
      <c r="B48" s="131"/>
      <c r="C48" s="131"/>
      <c r="D48" s="131"/>
      <c r="E48" s="131"/>
      <c r="F48" s="131"/>
      <c r="G48" s="131"/>
      <c r="H48" s="131"/>
    </row>
    <row r="49" spans="1:14" ht="33.75" customHeight="1" x14ac:dyDescent="0.35">
      <c r="A49" s="69" t="s">
        <v>153</v>
      </c>
      <c r="B49" s="70"/>
      <c r="C49" s="71" t="s">
        <v>194</v>
      </c>
      <c r="D49" s="72"/>
      <c r="E49" s="72"/>
      <c r="F49" s="72"/>
      <c r="G49" s="72"/>
      <c r="H49" s="73"/>
    </row>
    <row r="50" spans="1:14" ht="15.75" customHeight="1" x14ac:dyDescent="0.35">
      <c r="A50" s="69" t="s">
        <v>41</v>
      </c>
      <c r="B50" s="70"/>
      <c r="C50" s="69" t="s">
        <v>195</v>
      </c>
      <c r="D50" s="144"/>
      <c r="E50" s="70"/>
      <c r="F50" s="18" t="s">
        <v>42</v>
      </c>
      <c r="G50" s="139">
        <v>44672</v>
      </c>
      <c r="H50" s="70"/>
    </row>
    <row r="51" spans="1:14" x14ac:dyDescent="0.35">
      <c r="A51" s="69" t="s">
        <v>43</v>
      </c>
      <c r="B51" s="70"/>
      <c r="C51" s="69" t="str">
        <f>C50</f>
        <v>KE/PVT/0232/20180327/AP/S-2</v>
      </c>
      <c r="D51" s="144"/>
      <c r="E51" s="70"/>
      <c r="F51" s="18" t="s">
        <v>42</v>
      </c>
      <c r="G51" s="139">
        <v>44672</v>
      </c>
      <c r="H51" s="70"/>
    </row>
    <row r="52" spans="1:14" s="23" customFormat="1" ht="15.75" customHeight="1" x14ac:dyDescent="0.35">
      <c r="A52" s="140" t="s">
        <v>157</v>
      </c>
      <c r="B52" s="141"/>
      <c r="C52" s="69" t="str">
        <f>C51</f>
        <v>KE/PVT/0232/20180327/AP/S-2</v>
      </c>
      <c r="D52" s="144"/>
      <c r="E52" s="70"/>
      <c r="F52" s="18" t="s">
        <v>42</v>
      </c>
      <c r="G52" s="139">
        <v>44981</v>
      </c>
      <c r="H52" s="70"/>
    </row>
    <row r="53" spans="1:14" s="23" customFormat="1" ht="50.15" customHeight="1" x14ac:dyDescent="0.35">
      <c r="A53" s="142"/>
      <c r="B53" s="143"/>
      <c r="C53" s="69" t="s">
        <v>233</v>
      </c>
      <c r="D53" s="144"/>
      <c r="E53" s="144"/>
      <c r="F53" s="144"/>
      <c r="G53" s="144"/>
      <c r="H53" s="70"/>
    </row>
    <row r="54" spans="1:14" x14ac:dyDescent="0.35">
      <c r="A54" s="167" t="s">
        <v>44</v>
      </c>
      <c r="B54" s="168"/>
      <c r="C54" s="167" t="s">
        <v>108</v>
      </c>
      <c r="D54" s="169"/>
      <c r="E54" s="168"/>
      <c r="F54" s="46" t="s">
        <v>42</v>
      </c>
      <c r="G54" s="170" t="s">
        <v>29</v>
      </c>
      <c r="H54" s="171"/>
    </row>
    <row r="55" spans="1:14" x14ac:dyDescent="0.35">
      <c r="A55" s="158" t="s">
        <v>46</v>
      </c>
      <c r="B55" s="158"/>
      <c r="C55" s="158"/>
      <c r="D55" s="158"/>
      <c r="E55" s="158"/>
      <c r="F55" s="158"/>
      <c r="G55" s="158"/>
      <c r="H55" s="158"/>
    </row>
    <row r="56" spans="1:14" x14ac:dyDescent="0.35">
      <c r="A56" s="125" t="s">
        <v>93</v>
      </c>
      <c r="B56" s="125"/>
      <c r="C56" s="125"/>
      <c r="D56" s="119">
        <f>E46</f>
        <v>18877.599999999999</v>
      </c>
      <c r="E56" s="119"/>
      <c r="F56" s="119"/>
      <c r="G56" s="119"/>
      <c r="H56" s="119"/>
    </row>
    <row r="57" spans="1:14" x14ac:dyDescent="0.35">
      <c r="A57" s="133" t="s">
        <v>47</v>
      </c>
      <c r="B57" s="119"/>
      <c r="C57" s="119"/>
      <c r="D57" s="119" t="s">
        <v>224</v>
      </c>
      <c r="E57" s="119"/>
      <c r="F57" s="119"/>
      <c r="G57" s="119"/>
      <c r="H57" s="119"/>
      <c r="I57" s="24"/>
    </row>
    <row r="58" spans="1:14" ht="33" customHeight="1" x14ac:dyDescent="0.35">
      <c r="A58" s="136" t="s">
        <v>48</v>
      </c>
      <c r="B58" s="137"/>
      <c r="C58" s="138"/>
      <c r="D58" s="134" t="s">
        <v>222</v>
      </c>
      <c r="E58" s="135"/>
      <c r="F58" s="135"/>
      <c r="G58" s="135"/>
      <c r="H58" s="135"/>
    </row>
    <row r="59" spans="1:14" ht="15.75" customHeight="1" x14ac:dyDescent="0.35">
      <c r="A59" s="136" t="s">
        <v>91</v>
      </c>
      <c r="B59" s="137"/>
      <c r="C59" s="137"/>
      <c r="D59" s="136" t="s">
        <v>243</v>
      </c>
      <c r="E59" s="145"/>
      <c r="F59" s="145"/>
      <c r="G59" s="145"/>
      <c r="H59" s="146"/>
    </row>
    <row r="60" spans="1:14" ht="15.75" customHeight="1" x14ac:dyDescent="0.35">
      <c r="A60" s="187"/>
      <c r="B60" s="190"/>
      <c r="C60" s="190"/>
      <c r="D60" s="187" t="s">
        <v>197</v>
      </c>
      <c r="E60" s="188"/>
      <c r="F60" s="188"/>
      <c r="G60" s="188"/>
      <c r="H60" s="189"/>
    </row>
    <row r="61" spans="1:14" ht="15.75" customHeight="1" x14ac:dyDescent="0.35">
      <c r="A61" s="83" t="s">
        <v>45</v>
      </c>
      <c r="B61" s="83"/>
      <c r="C61" s="83"/>
      <c r="D61" s="115" t="s">
        <v>196</v>
      </c>
      <c r="E61" s="115"/>
      <c r="F61" s="115"/>
      <c r="G61" s="115"/>
      <c r="H61" s="115"/>
      <c r="J61" s="25"/>
      <c r="K61" s="24"/>
      <c r="N61" s="24"/>
    </row>
    <row r="62" spans="1:14" ht="15.75" customHeight="1" x14ac:dyDescent="0.35">
      <c r="A62" s="83" t="s">
        <v>89</v>
      </c>
      <c r="B62" s="83"/>
      <c r="C62" s="83"/>
      <c r="D62" s="116" t="str">
        <f>(IF(G54="NA","60 Years After Completion",IF(G54&lt;&gt;"NA",""&amp;60-ROUNDDOWN((E3-G54)/360,0)&amp;" Years"," ")))</f>
        <v>60 Years After Completion</v>
      </c>
      <c r="E62" s="116"/>
      <c r="F62" s="116"/>
      <c r="G62" s="116"/>
      <c r="H62" s="116"/>
      <c r="N62" s="24"/>
    </row>
    <row r="63" spans="1:14" ht="15.75" customHeight="1" x14ac:dyDescent="0.35">
      <c r="A63" s="83" t="s">
        <v>90</v>
      </c>
      <c r="B63" s="83"/>
      <c r="C63" s="83"/>
      <c r="D63" s="125" t="s">
        <v>23</v>
      </c>
      <c r="E63" s="125"/>
      <c r="F63" s="125"/>
      <c r="G63" s="125"/>
      <c r="H63" s="125"/>
      <c r="J63" s="26"/>
      <c r="K63" s="26"/>
    </row>
    <row r="64" spans="1:14" ht="33.75" customHeight="1" x14ac:dyDescent="0.35">
      <c r="A64" s="83" t="s">
        <v>76</v>
      </c>
      <c r="B64" s="83"/>
      <c r="C64" s="83"/>
      <c r="D64" s="133" t="s">
        <v>198</v>
      </c>
      <c r="E64" s="125"/>
      <c r="F64" s="125"/>
      <c r="G64" s="125"/>
      <c r="H64" s="125"/>
    </row>
    <row r="65" spans="1:14" x14ac:dyDescent="0.35">
      <c r="A65" s="125" t="s">
        <v>150</v>
      </c>
      <c r="B65" s="125"/>
      <c r="C65" s="125"/>
      <c r="D65" s="125" t="s">
        <v>29</v>
      </c>
      <c r="E65" s="125"/>
      <c r="F65" s="125"/>
      <c r="G65" s="125"/>
      <c r="H65" s="125"/>
      <c r="I65" s="27"/>
      <c r="J65" s="27"/>
      <c r="K65" s="27"/>
      <c r="L65" s="27"/>
      <c r="M65" s="27"/>
      <c r="N65" s="27"/>
    </row>
    <row r="66" spans="1:14" ht="15.75" customHeight="1" x14ac:dyDescent="0.35">
      <c r="A66" s="154" t="s">
        <v>88</v>
      </c>
      <c r="B66" s="154"/>
      <c r="C66" s="154"/>
      <c r="D66" s="134" t="str">
        <f>(IF(G72&gt;95%,"Nothing",IF(G72&gt;0%,"Cement, Aggregate, Steel, etc",IF(G72=0%,"Work not yet Started"))))</f>
        <v>Cement, Aggregate, Steel, etc</v>
      </c>
      <c r="E66" s="134"/>
      <c r="F66" s="134"/>
      <c r="G66" s="134"/>
      <c r="H66" s="134"/>
      <c r="J66" s="26"/>
    </row>
    <row r="67" spans="1:14" ht="33.75" customHeight="1" thickBot="1" x14ac:dyDescent="0.4">
      <c r="A67" s="153" t="s">
        <v>121</v>
      </c>
      <c r="B67" s="153"/>
      <c r="C67" s="153"/>
      <c r="D67" s="134" t="str">
        <f>(IF(D66="Nothing","Yes",IF(D66="Cement, Aggregate, Steel, etc","Under Construction",IF(D66="Work not yet Started","Work not yet Started"))))</f>
        <v>Under Construction</v>
      </c>
      <c r="E67" s="134"/>
      <c r="F67" s="134" t="str">
        <f>(IF(D66="Nothing","Yes",IF(D66="Cement, Aggregate, Steel, etc","Under Construction",IF(D66="Work not yet Started","Work not yet Started"))))</f>
        <v>Under Construction</v>
      </c>
      <c r="G67" s="134"/>
      <c r="H67" s="134"/>
    </row>
    <row r="68" spans="1:14" ht="15.75" customHeight="1" x14ac:dyDescent="0.35">
      <c r="A68" s="120" t="s">
        <v>142</v>
      </c>
      <c r="B68" s="121"/>
      <c r="C68" s="122" t="str">
        <f>D59</f>
        <v>Building No.2 (A Wing) = G + 1st to 23rd Floor</v>
      </c>
      <c r="D68" s="123"/>
      <c r="E68" s="123"/>
      <c r="F68" s="123"/>
      <c r="G68" s="123"/>
      <c r="H68" s="124"/>
      <c r="I68" s="49" t="str">
        <f>IF(D81=100%,"All work Completed. Possession granted to the Building.",IF(D80=100%,"All work Completed, Waiting for OC",I69&amp;""&amp;I70&amp;""&amp;J69&amp;""&amp;J68&amp;" "&amp;J70))</f>
        <v>Excavation, Plinth, RCC Slab, Brickwork, Internal Plaster, External Plaster Completed, Flooring upto 22 Floor, Painting upto 17 Floor Completed</v>
      </c>
      <c r="J68" s="50" t="str">
        <f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Flooring upto 22 Floor, Painting upto 17 Floor</v>
      </c>
    </row>
    <row r="69" spans="1:14" x14ac:dyDescent="0.35">
      <c r="A69" s="16" t="s">
        <v>144</v>
      </c>
      <c r="B69" s="57">
        <f>IF(AND(ISNUMBER(SEARCH("1B",C68))),1,IF(AND(ISNUMBER(SEARCH("2B",C68))),2,IF(AND(ISNUMBER(SEARCH("3B",C68))),3,IF(AND(ISNUMBER(SEARCH("4B",C68))),4,IF(ISNUMBER(SEARCH("5B",C68)),5,0)))))</f>
        <v>0</v>
      </c>
      <c r="C69" s="57" t="s">
        <v>73</v>
      </c>
      <c r="D69" s="57">
        <v>1</v>
      </c>
      <c r="E69" s="57" t="s">
        <v>72</v>
      </c>
      <c r="F69" s="57">
        <v>0</v>
      </c>
      <c r="G69" s="48" t="s">
        <v>82</v>
      </c>
      <c r="H69" s="17">
        <v>23</v>
      </c>
      <c r="I69" s="51" t="str">
        <f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Brickwork, Internal Plaster, External Plaster</v>
      </c>
      <c r="J69" s="52" t="str">
        <f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33" customHeight="1" x14ac:dyDescent="0.35">
      <c r="A70" s="86" t="s">
        <v>92</v>
      </c>
      <c r="B70" s="87"/>
      <c r="C70" s="88" t="str">
        <f>I68</f>
        <v>Excavation, Plinth, RCC Slab, Brickwork, Internal Plaster, External Plaster Completed, Flooring upto 22 Floor, Painting upto 17 Floor Completed</v>
      </c>
      <c r="D70" s="88"/>
      <c r="E70" s="88"/>
      <c r="F70" s="88"/>
      <c r="G70" s="88"/>
      <c r="H70" s="89"/>
      <c r="I70" s="51" t="str">
        <f>IF(I69&lt;&gt;""," Completed","")</f>
        <v xml:space="preserve"> Completed</v>
      </c>
      <c r="J70" s="52" t="str">
        <f>IF(J68&lt;&gt;"","Completed","")</f>
        <v>Completed</v>
      </c>
    </row>
    <row r="71" spans="1:14" ht="15.75" customHeight="1" x14ac:dyDescent="0.35">
      <c r="A71" s="80" t="s">
        <v>49</v>
      </c>
      <c r="B71" s="81"/>
      <c r="C71" s="44" t="s">
        <v>141</v>
      </c>
      <c r="D71" s="44" t="s">
        <v>85</v>
      </c>
      <c r="E71" s="81" t="s">
        <v>87</v>
      </c>
      <c r="F71" s="81"/>
      <c r="G71" s="81" t="s">
        <v>86</v>
      </c>
      <c r="H71" s="90"/>
      <c r="I71" s="14" t="s">
        <v>143</v>
      </c>
      <c r="J71" s="28">
        <f>H69*25%</f>
        <v>5.75</v>
      </c>
    </row>
    <row r="72" spans="1:14" x14ac:dyDescent="0.35">
      <c r="A72" s="80" t="s">
        <v>130</v>
      </c>
      <c r="B72" s="81"/>
      <c r="C72" s="44">
        <f>J73</f>
        <v>23</v>
      </c>
      <c r="D72" s="19">
        <f>((100/H69)*C72)/100</f>
        <v>1</v>
      </c>
      <c r="E72" s="74">
        <f>(((C73/H69*10)+(40/(D69+F69+H69)*C74)+(7.5/(H69)*C75)+(7.5/(H69)*C76)+(10/H69*C77)+(10/H69*C78)+(5/H69*C79)+(5/H69*C80)+(5/H69*C81))/100)</f>
        <v>0.88260869565217392</v>
      </c>
      <c r="F72" s="102"/>
      <c r="G72" s="74">
        <f>((((C72/H69)*20)+((C73/H69)*25)+(30/(H69+F69+D69)*C74)+(5/H69*C75)+(5/H69*C76)+(5/H69*C77)+(5/H69*C78)+(0/H69*C79)+(0/H69*C80)+(5/H69*C81))/100)</f>
        <v>0.94782608695652171</v>
      </c>
      <c r="H72" s="75"/>
      <c r="I72" s="14" t="s">
        <v>103</v>
      </c>
      <c r="J72" s="29">
        <f>H69*50%</f>
        <v>11.5</v>
      </c>
    </row>
    <row r="73" spans="1:14" x14ac:dyDescent="0.35">
      <c r="A73" s="80" t="s">
        <v>50</v>
      </c>
      <c r="B73" s="81"/>
      <c r="C73" s="44">
        <f>J81</f>
        <v>23</v>
      </c>
      <c r="D73" s="19">
        <f>((100/H69)*C73)/100</f>
        <v>1</v>
      </c>
      <c r="E73" s="76"/>
      <c r="F73" s="103"/>
      <c r="G73" s="76"/>
      <c r="H73" s="77"/>
      <c r="I73" s="14" t="s">
        <v>104</v>
      </c>
      <c r="J73" s="29">
        <f>H69</f>
        <v>23</v>
      </c>
    </row>
    <row r="74" spans="1:14" ht="15.75" customHeight="1" x14ac:dyDescent="0.35">
      <c r="A74" s="80" t="s">
        <v>131</v>
      </c>
      <c r="B74" s="81"/>
      <c r="C74" s="44">
        <v>24</v>
      </c>
      <c r="D74" s="19">
        <f>((100/(D69+F69+H69))*C74)/100</f>
        <v>1</v>
      </c>
      <c r="E74" s="76"/>
      <c r="F74" s="103"/>
      <c r="G74" s="76"/>
      <c r="H74" s="77"/>
      <c r="I74" s="14" t="s">
        <v>105</v>
      </c>
      <c r="J74" s="30">
        <f>(IF(B69&gt;1,(H69/(B69+2)),H69/4))</f>
        <v>5.75</v>
      </c>
    </row>
    <row r="75" spans="1:14" ht="15.75" customHeight="1" x14ac:dyDescent="0.35">
      <c r="A75" s="80" t="s">
        <v>138</v>
      </c>
      <c r="B75" s="81" t="s">
        <v>132</v>
      </c>
      <c r="C75" s="44">
        <v>23</v>
      </c>
      <c r="D75" s="19">
        <f>((100/H69)*C75)/100</f>
        <v>1</v>
      </c>
      <c r="E75" s="76"/>
      <c r="F75" s="103"/>
      <c r="G75" s="76"/>
      <c r="H75" s="77"/>
      <c r="I75" s="14" t="s">
        <v>106</v>
      </c>
      <c r="J75" s="30">
        <f>(IF(B69&gt;1,(H69/(B69+2)+J74),H69/4+J74))</f>
        <v>11.5</v>
      </c>
    </row>
    <row r="76" spans="1:14" ht="15.75" customHeight="1" x14ac:dyDescent="0.35">
      <c r="A76" s="80" t="s">
        <v>139</v>
      </c>
      <c r="B76" s="81" t="s">
        <v>132</v>
      </c>
      <c r="C76" s="44">
        <v>23</v>
      </c>
      <c r="D76" s="19">
        <f>((100/H69)*C76)/100</f>
        <v>1</v>
      </c>
      <c r="E76" s="76"/>
      <c r="F76" s="103"/>
      <c r="G76" s="76"/>
      <c r="H76" s="77"/>
      <c r="I76" s="14" t="s">
        <v>148</v>
      </c>
      <c r="J76" s="30">
        <f>(IF(B69&gt;1,(H69/(B69+2)+J75),0))</f>
        <v>0</v>
      </c>
    </row>
    <row r="77" spans="1:14" ht="15" customHeight="1" x14ac:dyDescent="0.35">
      <c r="A77" s="80" t="s">
        <v>137</v>
      </c>
      <c r="B77" s="81" t="s">
        <v>134</v>
      </c>
      <c r="C77" s="44">
        <v>23</v>
      </c>
      <c r="D77" s="19">
        <f>((100/(H69))*C77)/100</f>
        <v>1</v>
      </c>
      <c r="E77" s="76"/>
      <c r="F77" s="103"/>
      <c r="G77" s="76"/>
      <c r="H77" s="77"/>
      <c r="I77" s="14" t="s">
        <v>145</v>
      </c>
      <c r="J77" s="30">
        <f>(IF(B69&gt;2,(H69/(B69+2)+J76),0))</f>
        <v>0</v>
      </c>
    </row>
    <row r="78" spans="1:14" ht="15.75" customHeight="1" x14ac:dyDescent="0.35">
      <c r="A78" s="80" t="s">
        <v>133</v>
      </c>
      <c r="B78" s="81" t="s">
        <v>133</v>
      </c>
      <c r="C78" s="44">
        <v>22</v>
      </c>
      <c r="D78" s="19">
        <f>((100/H69)*C78)/100</f>
        <v>0.9565217391304347</v>
      </c>
      <c r="E78" s="76"/>
      <c r="F78" s="103"/>
      <c r="G78" s="76"/>
      <c r="H78" s="77"/>
      <c r="I78" s="14" t="s">
        <v>146</v>
      </c>
      <c r="J78" s="31">
        <f>(IF(B69&gt;3,(H69/(B69+2)+J77),0))</f>
        <v>0</v>
      </c>
    </row>
    <row r="79" spans="1:14" ht="15.75" customHeight="1" x14ac:dyDescent="0.35">
      <c r="A79" s="80" t="s">
        <v>140</v>
      </c>
      <c r="B79" s="81"/>
      <c r="C79" s="44">
        <v>17</v>
      </c>
      <c r="D79" s="19">
        <f>((100/H69)*C79)/100</f>
        <v>0.73913043478260865</v>
      </c>
      <c r="E79" s="76"/>
      <c r="F79" s="103"/>
      <c r="G79" s="76"/>
      <c r="H79" s="77"/>
      <c r="I79" s="14" t="s">
        <v>147</v>
      </c>
      <c r="J79" s="30">
        <f>(IF(B69&gt;4,(H69/(B69+2)+J78),0))</f>
        <v>0</v>
      </c>
    </row>
    <row r="80" spans="1:14" ht="15.75" customHeight="1" x14ac:dyDescent="0.35">
      <c r="A80" s="80" t="s">
        <v>135</v>
      </c>
      <c r="B80" s="81" t="s">
        <v>135</v>
      </c>
      <c r="C80" s="44">
        <v>0</v>
      </c>
      <c r="D80" s="19">
        <f>((100/(H69))*C80)/100</f>
        <v>0</v>
      </c>
      <c r="E80" s="76"/>
      <c r="F80" s="103"/>
      <c r="G80" s="76"/>
      <c r="H80" s="77"/>
      <c r="I80" s="14" t="s">
        <v>149</v>
      </c>
      <c r="J80" s="30">
        <f>(IF(B69=1,(H69/(B69+3)+J75),IF(B69=0,(H69/4+J75),IF(B69&gt;1,0))))</f>
        <v>17.25</v>
      </c>
    </row>
    <row r="81" spans="1:10" ht="16" thickBot="1" x14ac:dyDescent="0.4">
      <c r="A81" s="109" t="s">
        <v>136</v>
      </c>
      <c r="B81" s="110"/>
      <c r="C81" s="45">
        <v>0</v>
      </c>
      <c r="D81" s="20">
        <f>((100/(H69))*C81)/100</f>
        <v>0</v>
      </c>
      <c r="E81" s="78"/>
      <c r="F81" s="104"/>
      <c r="G81" s="78"/>
      <c r="H81" s="79"/>
      <c r="I81" s="15" t="s">
        <v>107</v>
      </c>
      <c r="J81" s="32">
        <f>(IF(B69&gt;1.5,(H69/(B69+2)+J75+MAX(0,J76-J75)+MAX(0,J77-J76)+MAX(0,J78-J77)+MAX(0,J79-J78)+MAX(0,J80-J79)),IF(B69=1,(H69/(B69+3)+J80),IF(B69=0,H69/4+J80))))</f>
        <v>23</v>
      </c>
    </row>
    <row r="82" spans="1:10" ht="15.75" customHeight="1" x14ac:dyDescent="0.35">
      <c r="A82" s="120" t="s">
        <v>142</v>
      </c>
      <c r="B82" s="121"/>
      <c r="C82" s="122" t="str">
        <f>D60</f>
        <v>Building No.2 (B Wing) = G + 1st to 23rd Floor</v>
      </c>
      <c r="D82" s="123"/>
      <c r="E82" s="123"/>
      <c r="F82" s="123"/>
      <c r="G82" s="123"/>
      <c r="H82" s="124"/>
      <c r="I82" s="49" t="str">
        <f>IF(D95=100%,"All work Completed. Possession granted to the Building.",IF(D94=100%,"All work Completed, Waiting for OC",I83&amp;""&amp;I84&amp;""&amp;J83&amp;""&amp;J82&amp;" "&amp;J84))</f>
        <v>Excavation, Plinth, RCC Slab, Brickwork, Internal Plaster, External Plaster Completed, Flooring upto 22 Floor, Painting upto 17 Floor Completed</v>
      </c>
      <c r="J82" s="50" t="str">
        <f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>, Flooring upto 22 Floor, Painting upto 17 Floor</v>
      </c>
    </row>
    <row r="83" spans="1:10" x14ac:dyDescent="0.35">
      <c r="A83" s="16" t="s">
        <v>144</v>
      </c>
      <c r="B83" s="57">
        <f>IF(AND(ISNUMBER(SEARCH("1B",C82))),1,IF(AND(ISNUMBER(SEARCH("2B",C82))),2,IF(AND(ISNUMBER(SEARCH("3B",C82))),3,IF(AND(ISNUMBER(SEARCH("4B",C82))),4,IF(ISNUMBER(SEARCH("5B",C82)),5,0)))))</f>
        <v>0</v>
      </c>
      <c r="C83" s="57" t="s">
        <v>73</v>
      </c>
      <c r="D83" s="57">
        <v>1</v>
      </c>
      <c r="E83" s="57" t="s">
        <v>72</v>
      </c>
      <c r="F83" s="57">
        <v>0</v>
      </c>
      <c r="G83" s="48" t="s">
        <v>82</v>
      </c>
      <c r="H83" s="17">
        <v>23</v>
      </c>
      <c r="I83" s="51" t="str">
        <f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Plinth, RCC Slab, Brickwork, Internal Plaster, External Plaster</v>
      </c>
      <c r="J83" s="52" t="str">
        <f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ht="33" customHeight="1" x14ac:dyDescent="0.35">
      <c r="A84" s="86" t="s">
        <v>92</v>
      </c>
      <c r="B84" s="87"/>
      <c r="C84" s="88" t="str">
        <f>I82</f>
        <v>Excavation, Plinth, RCC Slab, Brickwork, Internal Plaster, External Plaster Completed, Flooring upto 22 Floor, Painting upto 17 Floor Completed</v>
      </c>
      <c r="D84" s="88"/>
      <c r="E84" s="88"/>
      <c r="F84" s="88"/>
      <c r="G84" s="88"/>
      <c r="H84" s="89"/>
      <c r="I84" s="51" t="str">
        <f>IF(I83&lt;&gt;""," Completed","")</f>
        <v xml:space="preserve"> Completed</v>
      </c>
      <c r="J84" s="52" t="str">
        <f>IF(J82&lt;&gt;"","Completed","")</f>
        <v>Completed</v>
      </c>
    </row>
    <row r="85" spans="1:10" ht="15.75" customHeight="1" x14ac:dyDescent="0.35">
      <c r="A85" s="80" t="s">
        <v>49</v>
      </c>
      <c r="B85" s="81"/>
      <c r="C85" s="54" t="s">
        <v>141</v>
      </c>
      <c r="D85" s="54" t="s">
        <v>85</v>
      </c>
      <c r="E85" s="81" t="s">
        <v>87</v>
      </c>
      <c r="F85" s="81"/>
      <c r="G85" s="81" t="s">
        <v>86</v>
      </c>
      <c r="H85" s="90"/>
      <c r="I85" s="14" t="s">
        <v>143</v>
      </c>
      <c r="J85" s="28">
        <f>H83*25%</f>
        <v>5.75</v>
      </c>
    </row>
    <row r="86" spans="1:10" x14ac:dyDescent="0.35">
      <c r="A86" s="80" t="s">
        <v>130</v>
      </c>
      <c r="B86" s="81"/>
      <c r="C86" s="54">
        <f>J87</f>
        <v>23</v>
      </c>
      <c r="D86" s="19">
        <f>((100/H83)*C86)/100</f>
        <v>1</v>
      </c>
      <c r="E86" s="74">
        <f>(((C87/H83*10)+(40/(D83+F83+H83)*C88)+(7.5/(H83)*C89)+(7.5/(H83)*C90)+(10/H83*C91)+(10/H83*C92)+(5/H83*C93)+(5/H83*C94)+(5/H83*C95))/100)</f>
        <v>0.88260869565217392</v>
      </c>
      <c r="F86" s="102"/>
      <c r="G86" s="74">
        <f>((((C86/H83)*20)+((C87/H83)*25)+(30/(H83+F83+D83)*C88)+(5/H83*C89)+(5/H83*C90)+(5/H83*C91)+(5/H83*C92)+(0/H83*C93)+(0/H83*C94)+(5/H83*C95))/100)</f>
        <v>0.94782608695652171</v>
      </c>
      <c r="H86" s="75"/>
      <c r="I86" s="14" t="s">
        <v>103</v>
      </c>
      <c r="J86" s="29">
        <f>H83*50%</f>
        <v>11.5</v>
      </c>
    </row>
    <row r="87" spans="1:10" x14ac:dyDescent="0.35">
      <c r="A87" s="80" t="s">
        <v>50</v>
      </c>
      <c r="B87" s="81"/>
      <c r="C87" s="54">
        <f>J95</f>
        <v>23</v>
      </c>
      <c r="D87" s="19">
        <f>((100/H83)*C87)/100</f>
        <v>1</v>
      </c>
      <c r="E87" s="76"/>
      <c r="F87" s="103"/>
      <c r="G87" s="76"/>
      <c r="H87" s="77"/>
      <c r="I87" s="14" t="s">
        <v>104</v>
      </c>
      <c r="J87" s="29">
        <f>H83</f>
        <v>23</v>
      </c>
    </row>
    <row r="88" spans="1:10" ht="15.75" customHeight="1" x14ac:dyDescent="0.35">
      <c r="A88" s="80" t="s">
        <v>131</v>
      </c>
      <c r="B88" s="81"/>
      <c r="C88" s="54">
        <v>24</v>
      </c>
      <c r="D88" s="19">
        <f>((100/(D83+F83+H83))*C88)/100</f>
        <v>1</v>
      </c>
      <c r="E88" s="76"/>
      <c r="F88" s="103"/>
      <c r="G88" s="76"/>
      <c r="H88" s="77"/>
      <c r="I88" s="14" t="s">
        <v>105</v>
      </c>
      <c r="J88" s="30">
        <f>(IF(B83&gt;1,(H83/(B83+2)),H83/4))</f>
        <v>5.75</v>
      </c>
    </row>
    <row r="89" spans="1:10" ht="15.75" customHeight="1" x14ac:dyDescent="0.35">
      <c r="A89" s="80" t="s">
        <v>138</v>
      </c>
      <c r="B89" s="81" t="s">
        <v>132</v>
      </c>
      <c r="C89" s="54">
        <v>23</v>
      </c>
      <c r="D89" s="19">
        <f>((100/H83)*C89)/100</f>
        <v>1</v>
      </c>
      <c r="E89" s="76"/>
      <c r="F89" s="103"/>
      <c r="G89" s="76"/>
      <c r="H89" s="77"/>
      <c r="I89" s="14" t="s">
        <v>106</v>
      </c>
      <c r="J89" s="30">
        <f>(IF(B83&gt;1,(H83/(B83+2)+J88),H83/4+J88))</f>
        <v>11.5</v>
      </c>
    </row>
    <row r="90" spans="1:10" ht="15.75" customHeight="1" x14ac:dyDescent="0.35">
      <c r="A90" s="80" t="s">
        <v>139</v>
      </c>
      <c r="B90" s="81" t="s">
        <v>132</v>
      </c>
      <c r="C90" s="54">
        <v>23</v>
      </c>
      <c r="D90" s="19">
        <f>((100/H83)*C90)/100</f>
        <v>1</v>
      </c>
      <c r="E90" s="76"/>
      <c r="F90" s="103"/>
      <c r="G90" s="76"/>
      <c r="H90" s="77"/>
      <c r="I90" s="14" t="s">
        <v>148</v>
      </c>
      <c r="J90" s="30">
        <f>(IF(B83&gt;1,(H83/(B83+2)+J89),0))</f>
        <v>0</v>
      </c>
    </row>
    <row r="91" spans="1:10" ht="15" customHeight="1" x14ac:dyDescent="0.35">
      <c r="A91" s="80" t="s">
        <v>137</v>
      </c>
      <c r="B91" s="81" t="s">
        <v>134</v>
      </c>
      <c r="C91" s="54">
        <v>23</v>
      </c>
      <c r="D91" s="19">
        <f>((100/(H83))*C91)/100</f>
        <v>1</v>
      </c>
      <c r="E91" s="76"/>
      <c r="F91" s="103"/>
      <c r="G91" s="76"/>
      <c r="H91" s="77"/>
      <c r="I91" s="14" t="s">
        <v>145</v>
      </c>
      <c r="J91" s="30">
        <f>(IF(B83&gt;2,(H83/(B83+2)+J90),0))</f>
        <v>0</v>
      </c>
    </row>
    <row r="92" spans="1:10" ht="15.75" customHeight="1" x14ac:dyDescent="0.35">
      <c r="A92" s="80" t="s">
        <v>133</v>
      </c>
      <c r="B92" s="81" t="s">
        <v>133</v>
      </c>
      <c r="C92" s="54">
        <v>22</v>
      </c>
      <c r="D92" s="19">
        <f>((100/H83)*C92)/100</f>
        <v>0.9565217391304347</v>
      </c>
      <c r="E92" s="76"/>
      <c r="F92" s="103"/>
      <c r="G92" s="76"/>
      <c r="H92" s="77"/>
      <c r="I92" s="14" t="s">
        <v>146</v>
      </c>
      <c r="J92" s="31">
        <f>(IF(B83&gt;3,(H83/(B83+2)+J91),0))</f>
        <v>0</v>
      </c>
    </row>
    <row r="93" spans="1:10" ht="15.75" customHeight="1" x14ac:dyDescent="0.35">
      <c r="A93" s="80" t="s">
        <v>140</v>
      </c>
      <c r="B93" s="81"/>
      <c r="C93" s="54">
        <v>17</v>
      </c>
      <c r="D93" s="19">
        <f>((100/H83)*C93)/100</f>
        <v>0.73913043478260865</v>
      </c>
      <c r="E93" s="76"/>
      <c r="F93" s="103"/>
      <c r="G93" s="76"/>
      <c r="H93" s="77"/>
      <c r="I93" s="14" t="s">
        <v>147</v>
      </c>
      <c r="J93" s="30">
        <f>(IF(B83&gt;4,(H83/(B83+2)+J92),0))</f>
        <v>0</v>
      </c>
    </row>
    <row r="94" spans="1:10" ht="15.75" customHeight="1" x14ac:dyDescent="0.35">
      <c r="A94" s="80" t="s">
        <v>135</v>
      </c>
      <c r="B94" s="81" t="s">
        <v>135</v>
      </c>
      <c r="C94" s="54">
        <v>0</v>
      </c>
      <c r="D94" s="19">
        <f>((100/(H83))*C94)/100</f>
        <v>0</v>
      </c>
      <c r="E94" s="76"/>
      <c r="F94" s="103"/>
      <c r="G94" s="76"/>
      <c r="H94" s="77"/>
      <c r="I94" s="14" t="s">
        <v>149</v>
      </c>
      <c r="J94" s="30">
        <f>(IF(B83=1,(H83/(B83+3)+J89),IF(B83=0,(H83/4+J89),IF(B83&gt;1,0))))</f>
        <v>17.25</v>
      </c>
    </row>
    <row r="95" spans="1:10" ht="16" thickBot="1" x14ac:dyDescent="0.4">
      <c r="A95" s="109" t="s">
        <v>136</v>
      </c>
      <c r="B95" s="110"/>
      <c r="C95" s="55">
        <v>0</v>
      </c>
      <c r="D95" s="20">
        <f>((100/(H83))*C95)/100</f>
        <v>0</v>
      </c>
      <c r="E95" s="78"/>
      <c r="F95" s="104"/>
      <c r="G95" s="78"/>
      <c r="H95" s="79"/>
      <c r="I95" s="15" t="s">
        <v>107</v>
      </c>
      <c r="J95" s="32">
        <f>(IF(B83&gt;1.5,(H83/(B83+2)+J89+MAX(0,J90-J89)+MAX(0,J91-J90)+MAX(0,J92-J91)+MAX(0,J93-J92)+MAX(0,J94-J93)),IF(B83=1,(H83/(B83+3)+J94),IF(B83=0,H83/4+J94))))</f>
        <v>23</v>
      </c>
    </row>
    <row r="96" spans="1:10" x14ac:dyDescent="0.35">
      <c r="A96" s="114" t="s">
        <v>159</v>
      </c>
      <c r="B96" s="114"/>
      <c r="C96" s="114"/>
      <c r="D96" s="114"/>
      <c r="E96" s="114"/>
      <c r="F96" s="105" t="s">
        <v>164</v>
      </c>
      <c r="G96" s="105"/>
      <c r="H96" s="105"/>
    </row>
    <row r="97" spans="1:8" x14ac:dyDescent="0.35">
      <c r="A97" s="83" t="s">
        <v>162</v>
      </c>
      <c r="B97" s="83"/>
      <c r="C97" s="83"/>
      <c r="D97" s="83"/>
      <c r="E97" s="83"/>
      <c r="F97" s="82">
        <v>17000</v>
      </c>
      <c r="G97" s="82"/>
      <c r="H97" s="82"/>
    </row>
    <row r="98" spans="1:8" x14ac:dyDescent="0.35">
      <c r="A98" s="83" t="s">
        <v>161</v>
      </c>
      <c r="B98" s="83"/>
      <c r="C98" s="83"/>
      <c r="D98" s="83"/>
      <c r="E98" s="83"/>
      <c r="F98" s="82">
        <v>25000</v>
      </c>
      <c r="G98" s="82"/>
      <c r="H98" s="82"/>
    </row>
    <row r="99" spans="1:8" hidden="1" x14ac:dyDescent="0.35">
      <c r="A99" s="83" t="s">
        <v>163</v>
      </c>
      <c r="B99" s="83"/>
      <c r="C99" s="83"/>
      <c r="D99" s="83"/>
      <c r="E99" s="83"/>
      <c r="F99" s="82"/>
      <c r="G99" s="82"/>
      <c r="H99" s="82"/>
    </row>
    <row r="100" spans="1:8" s="33" customFormat="1" hidden="1" x14ac:dyDescent="0.3">
      <c r="A100" s="83" t="s">
        <v>160</v>
      </c>
      <c r="B100" s="83"/>
      <c r="C100" s="83"/>
      <c r="D100" s="83"/>
      <c r="E100" s="83"/>
      <c r="F100" s="82"/>
      <c r="G100" s="82"/>
      <c r="H100" s="82"/>
    </row>
    <row r="101" spans="1:8" s="33" customFormat="1" hidden="1" x14ac:dyDescent="0.3">
      <c r="A101" s="83" t="s">
        <v>97</v>
      </c>
      <c r="B101" s="83"/>
      <c r="C101" s="83"/>
      <c r="D101" s="83"/>
      <c r="E101" s="83"/>
      <c r="F101" s="82"/>
      <c r="G101" s="82"/>
      <c r="H101" s="82"/>
    </row>
    <row r="102" spans="1:8" s="33" customFormat="1" hidden="1" x14ac:dyDescent="0.3">
      <c r="A102" s="83" t="s">
        <v>98</v>
      </c>
      <c r="B102" s="83"/>
      <c r="C102" s="83"/>
      <c r="D102" s="83"/>
      <c r="E102" s="83"/>
      <c r="F102" s="82"/>
      <c r="G102" s="82"/>
      <c r="H102" s="82"/>
    </row>
    <row r="103" spans="1:8" s="33" customFormat="1" hidden="1" x14ac:dyDescent="0.3">
      <c r="A103" s="83" t="s">
        <v>165</v>
      </c>
      <c r="B103" s="83"/>
      <c r="C103" s="83"/>
      <c r="D103" s="83"/>
      <c r="E103" s="83"/>
      <c r="F103" s="82"/>
      <c r="G103" s="82"/>
      <c r="H103" s="82"/>
    </row>
    <row r="104" spans="1:8" s="33" customFormat="1" hidden="1" x14ac:dyDescent="0.3">
      <c r="A104" s="83" t="s">
        <v>99</v>
      </c>
      <c r="B104" s="83"/>
      <c r="C104" s="83"/>
      <c r="D104" s="83"/>
      <c r="E104" s="83"/>
      <c r="F104" s="82"/>
      <c r="G104" s="82"/>
      <c r="H104" s="82"/>
    </row>
    <row r="105" spans="1:8" s="33" customFormat="1" hidden="1" x14ac:dyDescent="0.3">
      <c r="A105" s="83" t="s">
        <v>100</v>
      </c>
      <c r="B105" s="83"/>
      <c r="C105" s="83"/>
      <c r="D105" s="83"/>
      <c r="E105" s="83"/>
      <c r="F105" s="82"/>
      <c r="G105" s="82"/>
      <c r="H105" s="82"/>
    </row>
    <row r="106" spans="1:8" s="33" customFormat="1" hidden="1" x14ac:dyDescent="0.3">
      <c r="A106" s="83" t="s">
        <v>101</v>
      </c>
      <c r="B106" s="83"/>
      <c r="C106" s="83"/>
      <c r="D106" s="83"/>
      <c r="E106" s="83"/>
      <c r="F106" s="82"/>
      <c r="G106" s="82"/>
      <c r="H106" s="82"/>
    </row>
    <row r="107" spans="1:8" s="33" customFormat="1" hidden="1" x14ac:dyDescent="0.3">
      <c r="A107" s="83" t="s">
        <v>102</v>
      </c>
      <c r="B107" s="83"/>
      <c r="C107" s="83"/>
      <c r="D107" s="83"/>
      <c r="E107" s="83"/>
      <c r="F107" s="82"/>
      <c r="G107" s="82"/>
      <c r="H107" s="82"/>
    </row>
    <row r="108" spans="1:8" x14ac:dyDescent="0.35">
      <c r="A108" s="83" t="s">
        <v>51</v>
      </c>
      <c r="B108" s="83"/>
      <c r="C108" s="83"/>
      <c r="D108" s="83"/>
      <c r="E108" s="83"/>
      <c r="F108" s="82">
        <v>800000</v>
      </c>
      <c r="G108" s="82"/>
      <c r="H108" s="82"/>
    </row>
    <row r="109" spans="1:8" s="34" customFormat="1" x14ac:dyDescent="0.35">
      <c r="A109" s="131" t="s">
        <v>52</v>
      </c>
      <c r="B109" s="131"/>
      <c r="C109" s="131"/>
      <c r="D109" s="131"/>
      <c r="E109" s="131"/>
      <c r="F109" s="82">
        <f>F97*0.8</f>
        <v>13600</v>
      </c>
      <c r="G109" s="82"/>
      <c r="H109" s="82"/>
    </row>
    <row r="110" spans="1:8" s="35" customFormat="1" ht="15.75" customHeight="1" x14ac:dyDescent="0.35">
      <c r="A110" s="108" t="s">
        <v>77</v>
      </c>
      <c r="B110" s="108"/>
      <c r="C110" s="108"/>
      <c r="D110" s="108"/>
      <c r="E110" s="108"/>
      <c r="F110" s="108"/>
      <c r="G110" s="108"/>
      <c r="H110" s="108"/>
    </row>
    <row r="111" spans="1:8" s="35" customFormat="1" ht="15.75" customHeight="1" x14ac:dyDescent="0.35">
      <c r="A111" s="111" t="s">
        <v>53</v>
      </c>
      <c r="B111" s="111"/>
      <c r="C111" s="107" t="s">
        <v>80</v>
      </c>
      <c r="D111" s="107"/>
      <c r="E111" s="159" t="s">
        <v>54</v>
      </c>
      <c r="F111" s="159"/>
      <c r="G111" s="111" t="s">
        <v>55</v>
      </c>
      <c r="H111" s="111"/>
    </row>
    <row r="112" spans="1:8" s="35" customFormat="1" x14ac:dyDescent="0.35">
      <c r="A112" s="56" t="s">
        <v>212</v>
      </c>
      <c r="B112" s="56" t="s">
        <v>202</v>
      </c>
      <c r="C112" s="100">
        <f>COUNT(D128:D137)</f>
        <v>10</v>
      </c>
      <c r="D112" s="112"/>
      <c r="E112" s="101">
        <f>SUM(D128:D137)</f>
        <v>1616.5375199999996</v>
      </c>
      <c r="F112" s="113"/>
      <c r="G112" s="101">
        <f>SUM(F128:F137)</f>
        <v>2586.460032</v>
      </c>
      <c r="H112" s="113"/>
    </row>
    <row r="113" spans="1:14" s="35" customFormat="1" x14ac:dyDescent="0.35">
      <c r="A113" s="108" t="s">
        <v>152</v>
      </c>
      <c r="B113" s="108"/>
      <c r="C113" s="106">
        <f>SUM(C112)</f>
        <v>10</v>
      </c>
      <c r="D113" s="107"/>
      <c r="E113" s="106">
        <f t="shared" ref="E113" si="0">SUM(E112)</f>
        <v>1616.5375199999996</v>
      </c>
      <c r="F113" s="107"/>
      <c r="G113" s="106">
        <f t="shared" ref="G113" si="1">SUM(G112)</f>
        <v>2586.460032</v>
      </c>
      <c r="H113" s="107"/>
    </row>
    <row r="114" spans="1:14" s="35" customFormat="1" x14ac:dyDescent="0.35">
      <c r="A114" s="108" t="s">
        <v>71</v>
      </c>
      <c r="B114" s="108"/>
      <c r="C114" s="108"/>
      <c r="D114" s="108"/>
      <c r="E114" s="108"/>
      <c r="F114" s="108"/>
      <c r="G114" s="108"/>
      <c r="H114" s="108"/>
      <c r="I114" s="35">
        <f>199+64</f>
        <v>263</v>
      </c>
    </row>
    <row r="115" spans="1:14" s="35" customFormat="1" ht="15.75" customHeight="1" x14ac:dyDescent="0.35">
      <c r="A115" s="111" t="s">
        <v>53</v>
      </c>
      <c r="B115" s="111"/>
      <c r="C115" s="107" t="s">
        <v>80</v>
      </c>
      <c r="D115" s="107"/>
      <c r="E115" s="159" t="s">
        <v>54</v>
      </c>
      <c r="F115" s="159"/>
      <c r="G115" s="111" t="s">
        <v>55</v>
      </c>
      <c r="H115" s="111"/>
    </row>
    <row r="116" spans="1:14" s="35" customFormat="1" x14ac:dyDescent="0.35">
      <c r="A116" s="192" t="s">
        <v>210</v>
      </c>
      <c r="B116" s="56" t="s">
        <v>204</v>
      </c>
      <c r="C116" s="100">
        <f>COUNT(D163:D170)+COUNT(D172:D179)*7</f>
        <v>64</v>
      </c>
      <c r="D116" s="100"/>
      <c r="E116" s="101">
        <f>SUM(D163:D170)+SUM(D172:D179)*7</f>
        <v>20318.126399999997</v>
      </c>
      <c r="F116" s="101"/>
      <c r="G116" s="101">
        <f>SUM(F163:F170)+SUM(F172:F179)*7</f>
        <v>31493.095920000003</v>
      </c>
      <c r="H116" s="101"/>
    </row>
    <row r="117" spans="1:14" s="35" customFormat="1" x14ac:dyDescent="0.35">
      <c r="A117" s="192"/>
      <c r="B117" s="56" t="s">
        <v>202</v>
      </c>
      <c r="C117" s="100">
        <f>COUNT(D145,D148)+COUNT(D158:D161)+COUNT(D184:D188)</f>
        <v>11</v>
      </c>
      <c r="D117" s="100"/>
      <c r="E117" s="101">
        <f t="shared" ref="E117" si="2">SUM(D145,D148)+SUM(D158:D161)+SUM(D184:D188)</f>
        <v>3496.6854000000003</v>
      </c>
      <c r="F117" s="101"/>
      <c r="G117" s="101">
        <f t="shared" ref="G117" si="3">SUM(F145,F148)+SUM(F158:F161)+SUM(F184:F188)</f>
        <v>5419.8623699999998</v>
      </c>
      <c r="H117" s="101"/>
    </row>
    <row r="118" spans="1:14" s="35" customFormat="1" x14ac:dyDescent="0.35">
      <c r="A118" s="56" t="s">
        <v>212</v>
      </c>
      <c r="B118" s="56" t="s">
        <v>204</v>
      </c>
      <c r="C118" s="100">
        <f>COUNT(D191:D197,D199)+COUNT(D201:D208)+COUNT(D211:D219)+COUNT(D221:D229)*7+COUNT(D231:D237)+COUNT(D241:D249)+COUNT(D251:D259)*10+COUNT(D261:D265)</f>
        <v>199</v>
      </c>
      <c r="D118" s="100"/>
      <c r="E118" s="101">
        <f>SUM(D191:D197,D199)+SUM(D201:D208)+SUM(D211:D219)+SUM(D221:D229)*7+SUM(D231:D237)+SUM(D241:D249)+SUM(D251:D259)*10+SUM(D261:D265)</f>
        <v>84185.674559999985</v>
      </c>
      <c r="F118" s="101"/>
      <c r="G118" s="101">
        <f>SUM(F191:F197,F199)+SUM(F201:F208)+SUM(F211:F219)+SUM(F221:F229)*7+SUM(F231:F237)+SUM(F241:F249)+SUM(F251:F259)*10+SUM(F261:F265)</f>
        <v>130487.795568</v>
      </c>
      <c r="H118" s="101"/>
    </row>
    <row r="119" spans="1:14" s="35" customFormat="1" x14ac:dyDescent="0.35">
      <c r="A119" s="108" t="s">
        <v>152</v>
      </c>
      <c r="B119" s="108"/>
      <c r="C119" s="106">
        <f>SUM(C116:C118)</f>
        <v>274</v>
      </c>
      <c r="D119" s="107"/>
      <c r="E119" s="106">
        <f>SUM(E116:E118)</f>
        <v>108000.48635999998</v>
      </c>
      <c r="F119" s="107"/>
      <c r="G119" s="106">
        <f>SUM(G116:G118)</f>
        <v>167400.75385800001</v>
      </c>
      <c r="H119" s="107"/>
    </row>
    <row r="120" spans="1:14" s="35" customFormat="1" x14ac:dyDescent="0.35">
      <c r="A120" s="108" t="s">
        <v>171</v>
      </c>
      <c r="B120" s="108"/>
      <c r="C120" s="107">
        <f>C113+C119</f>
        <v>284</v>
      </c>
      <c r="D120" s="107"/>
      <c r="E120" s="193">
        <f>E113+E119</f>
        <v>109617.02387999998</v>
      </c>
      <c r="F120" s="193"/>
      <c r="G120" s="111">
        <f>G113+G119</f>
        <v>169987.21389000001</v>
      </c>
      <c r="H120" s="111"/>
    </row>
    <row r="121" spans="1:14" s="34" customFormat="1" x14ac:dyDescent="0.35">
      <c r="A121" s="151" t="s">
        <v>56</v>
      </c>
      <c r="B121" s="151"/>
      <c r="C121" s="151"/>
      <c r="D121" s="151"/>
      <c r="E121" s="151"/>
      <c r="F121" s="151"/>
      <c r="G121" s="151"/>
      <c r="H121" s="151"/>
    </row>
    <row r="122" spans="1:14" x14ac:dyDescent="0.35">
      <c r="A122" s="151" t="s">
        <v>57</v>
      </c>
      <c r="B122" s="151"/>
      <c r="C122" s="151"/>
      <c r="D122" s="151"/>
      <c r="E122" s="151"/>
      <c r="F122" s="151"/>
      <c r="G122" s="151"/>
      <c r="H122" s="151"/>
    </row>
    <row r="123" spans="1:14" ht="47.25" customHeight="1" x14ac:dyDescent="0.35">
      <c r="A123" s="194" t="s">
        <v>122</v>
      </c>
      <c r="B123" s="194" t="s">
        <v>201</v>
      </c>
      <c r="C123" s="194" t="s">
        <v>58</v>
      </c>
      <c r="D123" s="194" t="s">
        <v>59</v>
      </c>
      <c r="E123" s="195" t="s">
        <v>158</v>
      </c>
      <c r="F123" s="196" t="s">
        <v>151</v>
      </c>
      <c r="G123" s="194" t="s">
        <v>61</v>
      </c>
      <c r="H123" s="194"/>
    </row>
    <row r="124" spans="1:14" s="37" customFormat="1" x14ac:dyDescent="0.35">
      <c r="A124" s="194"/>
      <c r="B124" s="194"/>
      <c r="C124" s="194"/>
      <c r="D124" s="194"/>
      <c r="E124" s="195"/>
      <c r="F124" s="197">
        <v>0.6</v>
      </c>
      <c r="G124" s="194"/>
      <c r="H124" s="194"/>
    </row>
    <row r="125" spans="1:14" s="61" customFormat="1" x14ac:dyDescent="0.35">
      <c r="A125" s="91" t="s">
        <v>234</v>
      </c>
      <c r="B125" s="92"/>
      <c r="C125" s="92"/>
      <c r="D125" s="92"/>
      <c r="E125" s="92"/>
      <c r="F125" s="92"/>
      <c r="G125" s="92"/>
      <c r="H125" s="93"/>
      <c r="J125" s="36"/>
    </row>
    <row r="126" spans="1:14" s="58" customFormat="1" x14ac:dyDescent="0.35">
      <c r="A126" s="91" t="s">
        <v>212</v>
      </c>
      <c r="B126" s="92"/>
      <c r="C126" s="92"/>
      <c r="D126" s="92"/>
      <c r="E126" s="92"/>
      <c r="F126" s="92"/>
      <c r="G126" s="92"/>
      <c r="H126" s="93"/>
      <c r="J126" s="36"/>
    </row>
    <row r="127" spans="1:14" s="37" customFormat="1" x14ac:dyDescent="0.35">
      <c r="A127" s="91" t="s">
        <v>199</v>
      </c>
      <c r="B127" s="92"/>
      <c r="C127" s="92"/>
      <c r="D127" s="92"/>
      <c r="E127" s="92"/>
      <c r="F127" s="92"/>
      <c r="G127" s="92"/>
      <c r="H127" s="93"/>
      <c r="J127" s="36"/>
    </row>
    <row r="128" spans="1:14" s="37" customFormat="1" ht="15.75" customHeight="1" x14ac:dyDescent="0.35">
      <c r="A128" s="53">
        <v>1</v>
      </c>
      <c r="B128" s="53" t="s">
        <v>202</v>
      </c>
      <c r="C128" s="42" t="s">
        <v>200</v>
      </c>
      <c r="D128" s="60">
        <f>(18)*(10.764)</f>
        <v>193.75199999999998</v>
      </c>
      <c r="E128" s="42">
        <v>0</v>
      </c>
      <c r="F128" s="42">
        <f>(D128+E128)*(($F$124)+1)</f>
        <v>310.00319999999999</v>
      </c>
      <c r="G128" s="173" t="str">
        <f>A127</f>
        <v>Ground Floor For Entrance Lobby, Meter Room, Pump Room, Commercial &amp; Parking</v>
      </c>
      <c r="H128" s="174"/>
      <c r="I128" s="36">
        <f>5.05*1.85+5.2*0.75+4.44*0.5+1.3*1.05+1.2*0.9</f>
        <v>17.907499999999999</v>
      </c>
      <c r="L128" s="182"/>
      <c r="M128" s="182"/>
      <c r="N128" s="36"/>
    </row>
    <row r="129" spans="1:14" s="37" customFormat="1" ht="15.75" customHeight="1" x14ac:dyDescent="0.35">
      <c r="A129" s="53">
        <f t="shared" ref="A129:A137" si="4">A128+1</f>
        <v>2</v>
      </c>
      <c r="B129" s="53" t="s">
        <v>202</v>
      </c>
      <c r="C129" s="53" t="s">
        <v>200</v>
      </c>
      <c r="D129" s="60">
        <f>(12.38)*(10.764)</f>
        <v>133.25832</v>
      </c>
      <c r="E129" s="42">
        <v>0</v>
      </c>
      <c r="F129" s="42">
        <f t="shared" ref="F129:F131" si="5">(D129+E129)*(($F$124)+1)</f>
        <v>213.213312</v>
      </c>
      <c r="G129" s="175"/>
      <c r="H129" s="176"/>
      <c r="I129" s="36"/>
      <c r="L129" s="182"/>
      <c r="M129" s="182"/>
      <c r="N129" s="36"/>
    </row>
    <row r="130" spans="1:14" s="37" customFormat="1" ht="15.75" customHeight="1" x14ac:dyDescent="0.35">
      <c r="A130" s="53">
        <f t="shared" si="4"/>
        <v>3</v>
      </c>
      <c r="B130" s="53" t="s">
        <v>202</v>
      </c>
      <c r="C130" s="53" t="s">
        <v>200</v>
      </c>
      <c r="D130" s="60">
        <f>(15.73)*(10.764)</f>
        <v>169.31772000000001</v>
      </c>
      <c r="E130" s="42">
        <v>0</v>
      </c>
      <c r="F130" s="42">
        <f t="shared" si="5"/>
        <v>270.90835200000004</v>
      </c>
      <c r="G130" s="175"/>
      <c r="H130" s="176"/>
      <c r="I130" s="60">
        <f>10.764</f>
        <v>10.763999999999999</v>
      </c>
      <c r="L130" s="182"/>
      <c r="M130" s="182"/>
      <c r="N130" s="36"/>
    </row>
    <row r="131" spans="1:14" s="37" customFormat="1" ht="15.75" customHeight="1" x14ac:dyDescent="0.35">
      <c r="A131" s="53">
        <f t="shared" si="4"/>
        <v>4</v>
      </c>
      <c r="B131" s="53" t="s">
        <v>202</v>
      </c>
      <c r="C131" s="53" t="s">
        <v>200</v>
      </c>
      <c r="D131" s="60">
        <f>(12.26)*(10.764)</f>
        <v>131.96663999999998</v>
      </c>
      <c r="E131" s="42">
        <v>0</v>
      </c>
      <c r="F131" s="42">
        <f t="shared" si="5"/>
        <v>211.14662399999997</v>
      </c>
      <c r="G131" s="175"/>
      <c r="H131" s="176"/>
      <c r="I131" s="36"/>
      <c r="L131" s="182"/>
      <c r="M131" s="182"/>
      <c r="N131" s="36"/>
    </row>
    <row r="132" spans="1:14" s="58" customFormat="1" x14ac:dyDescent="0.35">
      <c r="A132" s="53">
        <f t="shared" si="4"/>
        <v>5</v>
      </c>
      <c r="B132" s="53" t="s">
        <v>202</v>
      </c>
      <c r="C132" s="53" t="s">
        <v>200</v>
      </c>
      <c r="D132" s="60">
        <f>(16.98)*(10.764)</f>
        <v>182.77271999999999</v>
      </c>
      <c r="E132" s="53">
        <v>0</v>
      </c>
      <c r="F132" s="53">
        <f>(D132+E132)*(($F$124)+1)</f>
        <v>292.436352</v>
      </c>
      <c r="G132" s="175"/>
      <c r="H132" s="176"/>
      <c r="I132" s="36"/>
      <c r="L132" s="182"/>
      <c r="M132" s="182"/>
      <c r="N132" s="36"/>
    </row>
    <row r="133" spans="1:14" s="58" customFormat="1" x14ac:dyDescent="0.35">
      <c r="A133" s="53">
        <f t="shared" si="4"/>
        <v>6</v>
      </c>
      <c r="B133" s="53" t="s">
        <v>202</v>
      </c>
      <c r="C133" s="53" t="s">
        <v>200</v>
      </c>
      <c r="D133" s="60">
        <f>(16.65)*(10.764)</f>
        <v>179.22059999999996</v>
      </c>
      <c r="E133" s="53">
        <v>0</v>
      </c>
      <c r="F133" s="53">
        <f t="shared" ref="F133:F135" si="6">(D133+E133)*(($F$124)+1)</f>
        <v>286.75295999999997</v>
      </c>
      <c r="G133" s="175"/>
      <c r="H133" s="176"/>
      <c r="I133" s="36"/>
      <c r="L133" s="182"/>
      <c r="M133" s="182"/>
      <c r="N133" s="36"/>
    </row>
    <row r="134" spans="1:14" s="58" customFormat="1" x14ac:dyDescent="0.35">
      <c r="A134" s="53">
        <f t="shared" si="4"/>
        <v>7</v>
      </c>
      <c r="B134" s="53" t="s">
        <v>202</v>
      </c>
      <c r="C134" s="53" t="s">
        <v>200</v>
      </c>
      <c r="D134" s="60">
        <f>(5.67)*(10.764)</f>
        <v>61.031879999999994</v>
      </c>
      <c r="E134" s="53">
        <v>0</v>
      </c>
      <c r="F134" s="53">
        <f t="shared" si="6"/>
        <v>97.65100799999999</v>
      </c>
      <c r="G134" s="175"/>
      <c r="H134" s="176"/>
      <c r="I134" s="36"/>
      <c r="L134" s="182"/>
      <c r="M134" s="182"/>
      <c r="N134" s="36"/>
    </row>
    <row r="135" spans="1:14" s="58" customFormat="1" x14ac:dyDescent="0.35">
      <c r="A135" s="53">
        <f t="shared" si="4"/>
        <v>8</v>
      </c>
      <c r="B135" s="53" t="s">
        <v>202</v>
      </c>
      <c r="C135" s="53" t="s">
        <v>200</v>
      </c>
      <c r="D135" s="60">
        <f>(6.51)*(10.764)</f>
        <v>70.073639999999997</v>
      </c>
      <c r="E135" s="53">
        <v>0</v>
      </c>
      <c r="F135" s="53">
        <f t="shared" si="6"/>
        <v>112.117824</v>
      </c>
      <c r="G135" s="175"/>
      <c r="H135" s="176"/>
      <c r="I135" s="36"/>
      <c r="L135" s="182"/>
      <c r="M135" s="182"/>
      <c r="N135" s="36"/>
    </row>
    <row r="136" spans="1:14" s="58" customFormat="1" x14ac:dyDescent="0.35">
      <c r="A136" s="53">
        <f t="shared" si="4"/>
        <v>9</v>
      </c>
      <c r="B136" s="53" t="s">
        <v>202</v>
      </c>
      <c r="C136" s="53" t="s">
        <v>200</v>
      </c>
      <c r="D136" s="60">
        <f>(22.32)*(10.764)</f>
        <v>240.25247999999999</v>
      </c>
      <c r="E136" s="53">
        <v>0</v>
      </c>
      <c r="F136" s="53">
        <f t="shared" ref="F136:F137" si="7">(D136+E136)*(($F$124)+1)</f>
        <v>384.40396800000002</v>
      </c>
      <c r="G136" s="175"/>
      <c r="H136" s="176"/>
      <c r="I136" s="36"/>
      <c r="L136" s="182"/>
      <c r="M136" s="182"/>
      <c r="N136" s="36"/>
    </row>
    <row r="137" spans="1:14" s="58" customFormat="1" x14ac:dyDescent="0.35">
      <c r="A137" s="53">
        <f t="shared" si="4"/>
        <v>10</v>
      </c>
      <c r="B137" s="53" t="s">
        <v>202</v>
      </c>
      <c r="C137" s="53" t="s">
        <v>200</v>
      </c>
      <c r="D137" s="60">
        <f>(23.68)*(10.764)</f>
        <v>254.89151999999999</v>
      </c>
      <c r="E137" s="53">
        <v>0</v>
      </c>
      <c r="F137" s="53">
        <f t="shared" si="7"/>
        <v>407.82643200000001</v>
      </c>
      <c r="G137" s="177"/>
      <c r="H137" s="178"/>
      <c r="I137" s="36"/>
      <c r="L137" s="182"/>
      <c r="M137" s="182"/>
      <c r="N137" s="36"/>
    </row>
    <row r="138" spans="1:14" s="37" customFormat="1" x14ac:dyDescent="0.35">
      <c r="A138" s="163"/>
      <c r="B138" s="164"/>
      <c r="C138" s="164"/>
      <c r="D138" s="164"/>
      <c r="E138" s="164"/>
      <c r="F138" s="164"/>
      <c r="G138" s="164"/>
      <c r="H138" s="165"/>
      <c r="I138" s="36"/>
      <c r="N138" s="36"/>
    </row>
    <row r="139" spans="1:14" ht="47.25" customHeight="1" x14ac:dyDescent="0.35">
      <c r="A139" s="96" t="s">
        <v>123</v>
      </c>
      <c r="B139" s="96" t="s">
        <v>201</v>
      </c>
      <c r="C139" s="84" t="s">
        <v>58</v>
      </c>
      <c r="D139" s="84" t="s">
        <v>59</v>
      </c>
      <c r="E139" s="94" t="s">
        <v>60</v>
      </c>
      <c r="F139" s="43" t="s">
        <v>151</v>
      </c>
      <c r="G139" s="96" t="s">
        <v>61</v>
      </c>
      <c r="H139" s="97"/>
      <c r="I139" s="36"/>
    </row>
    <row r="140" spans="1:14" s="37" customFormat="1" x14ac:dyDescent="0.35">
      <c r="A140" s="98"/>
      <c r="B140" s="98"/>
      <c r="C140" s="85"/>
      <c r="D140" s="85"/>
      <c r="E140" s="95"/>
      <c r="F140" s="13">
        <v>0.55000000000000004</v>
      </c>
      <c r="G140" s="98"/>
      <c r="H140" s="99"/>
      <c r="I140" s="36"/>
    </row>
    <row r="141" spans="1:14" s="61" customFormat="1" ht="15.75" customHeight="1" x14ac:dyDescent="0.35">
      <c r="A141" s="183" t="s">
        <v>235</v>
      </c>
      <c r="B141" s="184"/>
      <c r="C141" s="184"/>
      <c r="D141" s="184"/>
      <c r="E141" s="184"/>
      <c r="F141" s="184"/>
      <c r="G141" s="184"/>
      <c r="H141" s="185"/>
      <c r="I141" s="36"/>
    </row>
    <row r="142" spans="1:14" s="58" customFormat="1" ht="15.75" customHeight="1" x14ac:dyDescent="0.35">
      <c r="A142" s="183" t="s">
        <v>210</v>
      </c>
      <c r="B142" s="184"/>
      <c r="C142" s="184"/>
      <c r="D142" s="184"/>
      <c r="E142" s="184"/>
      <c r="F142" s="184"/>
      <c r="G142" s="184"/>
      <c r="H142" s="185"/>
      <c r="I142" s="36" t="s">
        <v>240</v>
      </c>
      <c r="J142" s="58" t="s">
        <v>241</v>
      </c>
      <c r="K142" s="58" t="s">
        <v>242</v>
      </c>
    </row>
    <row r="143" spans="1:14" s="58" customFormat="1" ht="32.25" customHeight="1" x14ac:dyDescent="0.35">
      <c r="A143" s="91" t="s">
        <v>216</v>
      </c>
      <c r="B143" s="92"/>
      <c r="C143" s="92"/>
      <c r="D143" s="92"/>
      <c r="E143" s="92"/>
      <c r="F143" s="92"/>
      <c r="G143" s="92"/>
      <c r="H143" s="93"/>
      <c r="I143" s="36">
        <v>12913.950999999999</v>
      </c>
      <c r="J143" s="58">
        <v>19400</v>
      </c>
      <c r="K143" s="58">
        <v>125570</v>
      </c>
    </row>
    <row r="144" spans="1:14" s="58" customFormat="1" ht="15.75" customHeight="1" x14ac:dyDescent="0.35">
      <c r="A144" s="91" t="s">
        <v>214</v>
      </c>
      <c r="B144" s="92"/>
      <c r="C144" s="92"/>
      <c r="D144" s="92"/>
      <c r="E144" s="92"/>
      <c r="F144" s="92"/>
      <c r="G144" s="92"/>
      <c r="H144" s="93"/>
      <c r="I144" s="36"/>
    </row>
    <row r="145" spans="1:9" s="58" customFormat="1" ht="15.75" customHeight="1" x14ac:dyDescent="0.35">
      <c r="A145" s="53">
        <v>1</v>
      </c>
      <c r="B145" s="53" t="s">
        <v>202</v>
      </c>
      <c r="C145" s="53" t="s">
        <v>203</v>
      </c>
      <c r="D145" s="60">
        <f>(29.41)*(10.764)</f>
        <v>316.56923999999998</v>
      </c>
      <c r="E145" s="53">
        <v>0</v>
      </c>
      <c r="F145" s="53">
        <f>D145*(($F$140)+1)+(IF(E145&lt;101,E145,IF(E145&lt;201,E145/2,IF(E145&lt;=301,E145/3,E145/4))))</f>
        <v>490.682322</v>
      </c>
      <c r="G145" s="173" t="str">
        <f>A144</f>
        <v>1st Floor For Residential &amp; Parking</v>
      </c>
      <c r="H145" s="174"/>
      <c r="I145" s="36"/>
    </row>
    <row r="146" spans="1:9" s="58" customFormat="1" ht="15.75" customHeight="1" x14ac:dyDescent="0.35">
      <c r="A146" s="53">
        <v>2</v>
      </c>
      <c r="B146" s="53" t="s">
        <v>207</v>
      </c>
      <c r="C146" s="173" t="s">
        <v>215</v>
      </c>
      <c r="D146" s="179"/>
      <c r="E146" s="179"/>
      <c r="F146" s="174"/>
      <c r="G146" s="175"/>
      <c r="H146" s="176"/>
      <c r="I146" s="36"/>
    </row>
    <row r="147" spans="1:9" s="58" customFormat="1" ht="15.75" customHeight="1" x14ac:dyDescent="0.35">
      <c r="A147" s="53">
        <v>3</v>
      </c>
      <c r="B147" s="53" t="s">
        <v>207</v>
      </c>
      <c r="C147" s="177"/>
      <c r="D147" s="180"/>
      <c r="E147" s="180"/>
      <c r="F147" s="178"/>
      <c r="G147" s="175"/>
      <c r="H147" s="176"/>
      <c r="I147" s="36"/>
    </row>
    <row r="148" spans="1:9" s="58" customFormat="1" ht="15.75" customHeight="1" x14ac:dyDescent="0.35">
      <c r="A148" s="53">
        <v>4</v>
      </c>
      <c r="B148" s="53" t="s">
        <v>202</v>
      </c>
      <c r="C148" s="53" t="s">
        <v>203</v>
      </c>
      <c r="D148" s="60">
        <f>(29.41)*(10.764)</f>
        <v>316.56923999999998</v>
      </c>
      <c r="E148" s="53">
        <v>0</v>
      </c>
      <c r="F148" s="53">
        <f>D148*(($F$140)+1)+(IF(E148&lt;101,E148,IF(E148&lt;201,E148/2,IF(E148&lt;=301,E148/3,E148/4))))</f>
        <v>490.682322</v>
      </c>
      <c r="G148" s="175"/>
      <c r="H148" s="176"/>
      <c r="I148" s="36"/>
    </row>
    <row r="149" spans="1:9" s="58" customFormat="1" ht="15.75" customHeight="1" x14ac:dyDescent="0.35">
      <c r="A149" s="53">
        <v>5</v>
      </c>
      <c r="B149" s="53" t="s">
        <v>207</v>
      </c>
      <c r="C149" s="173" t="s">
        <v>215</v>
      </c>
      <c r="D149" s="179"/>
      <c r="E149" s="179"/>
      <c r="F149" s="174"/>
      <c r="G149" s="175"/>
      <c r="H149" s="176"/>
      <c r="I149" s="36"/>
    </row>
    <row r="150" spans="1:9" s="58" customFormat="1" x14ac:dyDescent="0.35">
      <c r="A150" s="53">
        <v>6</v>
      </c>
      <c r="B150" s="53" t="s">
        <v>207</v>
      </c>
      <c r="C150" s="175"/>
      <c r="D150" s="181"/>
      <c r="E150" s="181"/>
      <c r="F150" s="176"/>
      <c r="G150" s="175"/>
      <c r="H150" s="176"/>
      <c r="I150" s="36"/>
    </row>
    <row r="151" spans="1:9" s="58" customFormat="1" x14ac:dyDescent="0.35">
      <c r="A151" s="53">
        <v>7</v>
      </c>
      <c r="B151" s="53" t="s">
        <v>207</v>
      </c>
      <c r="C151" s="175"/>
      <c r="D151" s="181"/>
      <c r="E151" s="181"/>
      <c r="F151" s="176"/>
      <c r="G151" s="175"/>
      <c r="H151" s="176"/>
      <c r="I151" s="36"/>
    </row>
    <row r="152" spans="1:9" s="58" customFormat="1" ht="15.75" customHeight="1" x14ac:dyDescent="0.35">
      <c r="A152" s="53">
        <v>8</v>
      </c>
      <c r="B152" s="53" t="s">
        <v>207</v>
      </c>
      <c r="C152" s="177"/>
      <c r="D152" s="180"/>
      <c r="E152" s="180"/>
      <c r="F152" s="178"/>
      <c r="G152" s="177"/>
      <c r="H152" s="178"/>
      <c r="I152" s="36"/>
    </row>
    <row r="153" spans="1:9" s="58" customFormat="1" ht="15.75" customHeight="1" x14ac:dyDescent="0.35">
      <c r="A153" s="157" t="s">
        <v>236</v>
      </c>
      <c r="B153" s="157"/>
      <c r="C153" s="157"/>
      <c r="D153" s="157"/>
      <c r="E153" s="157"/>
      <c r="F153" s="157"/>
      <c r="G153" s="157"/>
      <c r="H153" s="157"/>
      <c r="I153" s="36"/>
    </row>
    <row r="154" spans="1:9" s="58" customFormat="1" ht="15.75" customHeight="1" x14ac:dyDescent="0.35">
      <c r="A154" s="64">
        <v>1</v>
      </c>
      <c r="B154" s="64" t="s">
        <v>207</v>
      </c>
      <c r="C154" s="186" t="s">
        <v>209</v>
      </c>
      <c r="D154" s="186"/>
      <c r="E154" s="186"/>
      <c r="F154" s="186"/>
      <c r="G154" s="186" t="str">
        <f>A153</f>
        <v>2nd Floor For Amenities &amp; Residential</v>
      </c>
      <c r="H154" s="186"/>
      <c r="I154" s="36"/>
    </row>
    <row r="155" spans="1:9" s="58" customFormat="1" ht="15.75" customHeight="1" x14ac:dyDescent="0.35">
      <c r="A155" s="64">
        <v>2</v>
      </c>
      <c r="B155" s="64" t="s">
        <v>207</v>
      </c>
      <c r="C155" s="186"/>
      <c r="D155" s="186"/>
      <c r="E155" s="186"/>
      <c r="F155" s="186"/>
      <c r="G155" s="186"/>
      <c r="H155" s="186"/>
      <c r="I155" s="36"/>
    </row>
    <row r="156" spans="1:9" s="58" customFormat="1" ht="15.75" customHeight="1" x14ac:dyDescent="0.35">
      <c r="A156" s="64">
        <v>3</v>
      </c>
      <c r="B156" s="64" t="s">
        <v>207</v>
      </c>
      <c r="C156" s="186"/>
      <c r="D156" s="186"/>
      <c r="E156" s="186"/>
      <c r="F156" s="186"/>
      <c r="G156" s="186"/>
      <c r="H156" s="186"/>
      <c r="I156" s="36"/>
    </row>
    <row r="157" spans="1:9" s="58" customFormat="1" ht="15.75" customHeight="1" x14ac:dyDescent="0.35">
      <c r="A157" s="64">
        <v>4</v>
      </c>
      <c r="B157" s="64" t="s">
        <v>207</v>
      </c>
      <c r="C157" s="186"/>
      <c r="D157" s="186"/>
      <c r="E157" s="186"/>
      <c r="F157" s="186"/>
      <c r="G157" s="186"/>
      <c r="H157" s="186"/>
      <c r="I157" s="36"/>
    </row>
    <row r="158" spans="1:9" s="58" customFormat="1" ht="15.75" customHeight="1" x14ac:dyDescent="0.35">
      <c r="A158" s="64">
        <v>5</v>
      </c>
      <c r="B158" s="64" t="s">
        <v>202</v>
      </c>
      <c r="C158" s="64" t="s">
        <v>203</v>
      </c>
      <c r="D158" s="60">
        <f>(30.08)*(10.764)</f>
        <v>323.78111999999999</v>
      </c>
      <c r="E158" s="64">
        <v>0</v>
      </c>
      <c r="F158" s="64">
        <f>D158*(($F$140)+1)+(IF(E158&lt;101,E158,IF(E158&lt;201,E158/2,IF(E158&lt;=301,E158/3,E158/4))))</f>
        <v>501.86073599999997</v>
      </c>
      <c r="G158" s="186"/>
      <c r="H158" s="186"/>
      <c r="I158" s="36"/>
    </row>
    <row r="159" spans="1:9" s="58" customFormat="1" x14ac:dyDescent="0.35">
      <c r="A159" s="64">
        <v>6</v>
      </c>
      <c r="B159" s="64" t="s">
        <v>202</v>
      </c>
      <c r="C159" s="64" t="s">
        <v>203</v>
      </c>
      <c r="D159" s="60">
        <f>(29.41)*(10.764)</f>
        <v>316.56923999999998</v>
      </c>
      <c r="E159" s="64">
        <v>0</v>
      </c>
      <c r="F159" s="64">
        <f>D159*(($F$140)+1)+(IF(E159&lt;101,E159,IF(E159&lt;201,E159/2,IF(E159&lt;=301,E159/3,E159/4))))</f>
        <v>490.682322</v>
      </c>
      <c r="G159" s="186"/>
      <c r="H159" s="186"/>
      <c r="I159" s="36"/>
    </row>
    <row r="160" spans="1:9" s="58" customFormat="1" x14ac:dyDescent="0.35">
      <c r="A160" s="64">
        <v>7</v>
      </c>
      <c r="B160" s="64" t="s">
        <v>202</v>
      </c>
      <c r="C160" s="64" t="s">
        <v>203</v>
      </c>
      <c r="D160" s="60">
        <f>(29.41)*(10.764)</f>
        <v>316.56923999999998</v>
      </c>
      <c r="E160" s="64">
        <v>0</v>
      </c>
      <c r="F160" s="64">
        <f>D160*(($F$140)+1)+(IF(E160&lt;101,E160,IF(E160&lt;201,E160/2,IF(E160&lt;=301,E160/3,E160/4))))</f>
        <v>490.682322</v>
      </c>
      <c r="G160" s="186"/>
      <c r="H160" s="186"/>
      <c r="I160" s="36"/>
    </row>
    <row r="161" spans="1:9" s="58" customFormat="1" ht="15.75" customHeight="1" x14ac:dyDescent="0.35">
      <c r="A161" s="64">
        <v>8</v>
      </c>
      <c r="B161" s="64" t="s">
        <v>202</v>
      </c>
      <c r="C161" s="64" t="s">
        <v>203</v>
      </c>
      <c r="D161" s="60">
        <f>(29.41)*(10.764)</f>
        <v>316.56923999999998</v>
      </c>
      <c r="E161" s="64">
        <v>0</v>
      </c>
      <c r="F161" s="64">
        <f>D161*(($F$140)+1)+(IF(E161&lt;101,E161,IF(E161&lt;201,E161/2,IF(E161&lt;=301,E161/3,E161/4))))</f>
        <v>490.682322</v>
      </c>
      <c r="G161" s="186"/>
      <c r="H161" s="186"/>
      <c r="I161" s="36"/>
    </row>
    <row r="162" spans="1:9" s="58" customFormat="1" ht="15.75" customHeight="1" x14ac:dyDescent="0.35">
      <c r="A162" s="157" t="s">
        <v>205</v>
      </c>
      <c r="B162" s="157"/>
      <c r="C162" s="157"/>
      <c r="D162" s="157"/>
      <c r="E162" s="157"/>
      <c r="F162" s="157"/>
      <c r="G162" s="157"/>
      <c r="H162" s="157"/>
      <c r="I162" s="36"/>
    </row>
    <row r="163" spans="1:9" s="58" customFormat="1" ht="15.75" customHeight="1" x14ac:dyDescent="0.35">
      <c r="A163" s="64">
        <v>1</v>
      </c>
      <c r="B163" s="64" t="s">
        <v>204</v>
      </c>
      <c r="C163" s="64" t="s">
        <v>203</v>
      </c>
      <c r="D163" s="60">
        <f>(29.41)*(10.764)</f>
        <v>316.56923999999998</v>
      </c>
      <c r="E163" s="64">
        <v>0</v>
      </c>
      <c r="F163" s="64">
        <f t="shared" ref="F163:F170" si="8">D163*(($F$140)+1)+(IF(E163&lt;101,E163,IF(E163&lt;201,E163/2,IF(E163&lt;=301,E163/3,E163/4))))</f>
        <v>490.682322</v>
      </c>
      <c r="G163" s="186" t="str">
        <f>A162</f>
        <v>3rd Floor For Residential</v>
      </c>
      <c r="H163" s="186"/>
      <c r="I163" s="36"/>
    </row>
    <row r="164" spans="1:9" s="58" customFormat="1" ht="15.75" customHeight="1" x14ac:dyDescent="0.35">
      <c r="A164" s="64">
        <v>2</v>
      </c>
      <c r="B164" s="64" t="s">
        <v>204</v>
      </c>
      <c r="C164" s="64" t="s">
        <v>203</v>
      </c>
      <c r="D164" s="60">
        <f>(29.41)*(10.764)</f>
        <v>316.56923999999998</v>
      </c>
      <c r="E164" s="64">
        <v>0</v>
      </c>
      <c r="F164" s="64">
        <f t="shared" si="8"/>
        <v>490.682322</v>
      </c>
      <c r="G164" s="186"/>
      <c r="H164" s="186"/>
      <c r="I164" s="36"/>
    </row>
    <row r="165" spans="1:9" s="58" customFormat="1" ht="15.75" customHeight="1" x14ac:dyDescent="0.35">
      <c r="A165" s="64">
        <v>3</v>
      </c>
      <c r="B165" s="64" t="s">
        <v>204</v>
      </c>
      <c r="C165" s="64" t="s">
        <v>203</v>
      </c>
      <c r="D165" s="60">
        <f>(29.41)*(10.764)</f>
        <v>316.56923999999998</v>
      </c>
      <c r="E165" s="64">
        <v>0</v>
      </c>
      <c r="F165" s="64">
        <f t="shared" si="8"/>
        <v>490.682322</v>
      </c>
      <c r="G165" s="186"/>
      <c r="H165" s="186"/>
      <c r="I165" s="36"/>
    </row>
    <row r="166" spans="1:9" s="58" customFormat="1" ht="15.75" customHeight="1" x14ac:dyDescent="0.35">
      <c r="A166" s="64">
        <v>4</v>
      </c>
      <c r="B166" s="64" t="s">
        <v>204</v>
      </c>
      <c r="C166" s="64" t="s">
        <v>203</v>
      </c>
      <c r="D166" s="60">
        <f>(29.41)*(10.764)</f>
        <v>316.56923999999998</v>
      </c>
      <c r="E166" s="64">
        <v>0</v>
      </c>
      <c r="F166" s="64">
        <f t="shared" si="8"/>
        <v>490.682322</v>
      </c>
      <c r="G166" s="186"/>
      <c r="H166" s="186"/>
      <c r="I166" s="36"/>
    </row>
    <row r="167" spans="1:9" s="58" customFormat="1" ht="15.75" customHeight="1" x14ac:dyDescent="0.35">
      <c r="A167" s="64">
        <v>5</v>
      </c>
      <c r="B167" s="64" t="s">
        <v>204</v>
      </c>
      <c r="C167" s="64" t="s">
        <v>203</v>
      </c>
      <c r="D167" s="60">
        <f>(30.08)*(10.764)</f>
        <v>323.78111999999999</v>
      </c>
      <c r="E167" s="64">
        <v>0</v>
      </c>
      <c r="F167" s="64">
        <f t="shared" si="8"/>
        <v>501.86073599999997</v>
      </c>
      <c r="G167" s="186"/>
      <c r="H167" s="186"/>
      <c r="I167" s="36"/>
    </row>
    <row r="168" spans="1:9" s="58" customFormat="1" x14ac:dyDescent="0.35">
      <c r="A168" s="64">
        <v>6</v>
      </c>
      <c r="B168" s="64" t="s">
        <v>204</v>
      </c>
      <c r="C168" s="64" t="s">
        <v>203</v>
      </c>
      <c r="D168" s="60">
        <f>(29.41)*(10.764)</f>
        <v>316.56923999999998</v>
      </c>
      <c r="E168" s="64">
        <v>0</v>
      </c>
      <c r="F168" s="64">
        <f t="shared" si="8"/>
        <v>490.682322</v>
      </c>
      <c r="G168" s="186"/>
      <c r="H168" s="186"/>
      <c r="I168" s="36"/>
    </row>
    <row r="169" spans="1:9" s="58" customFormat="1" x14ac:dyDescent="0.35">
      <c r="A169" s="64">
        <v>7</v>
      </c>
      <c r="B169" s="64" t="s">
        <v>204</v>
      </c>
      <c r="C169" s="64" t="s">
        <v>203</v>
      </c>
      <c r="D169" s="60">
        <f>(29.41)*(10.764)</f>
        <v>316.56923999999998</v>
      </c>
      <c r="E169" s="64">
        <v>0</v>
      </c>
      <c r="F169" s="64">
        <f t="shared" si="8"/>
        <v>490.682322</v>
      </c>
      <c r="G169" s="186"/>
      <c r="H169" s="186"/>
      <c r="I169" s="36"/>
    </row>
    <row r="170" spans="1:9" s="58" customFormat="1" ht="15.75" customHeight="1" x14ac:dyDescent="0.35">
      <c r="A170" s="64">
        <v>8</v>
      </c>
      <c r="B170" s="64" t="s">
        <v>204</v>
      </c>
      <c r="C170" s="64" t="s">
        <v>203</v>
      </c>
      <c r="D170" s="60">
        <f>(29.41)*(10.764)</f>
        <v>316.56923999999998</v>
      </c>
      <c r="E170" s="64">
        <v>0</v>
      </c>
      <c r="F170" s="64">
        <f t="shared" si="8"/>
        <v>490.682322</v>
      </c>
      <c r="G170" s="186"/>
      <c r="H170" s="186"/>
      <c r="I170" s="36"/>
    </row>
    <row r="171" spans="1:9" s="37" customFormat="1" ht="15.75" customHeight="1" x14ac:dyDescent="0.35">
      <c r="A171" s="157" t="s">
        <v>211</v>
      </c>
      <c r="B171" s="157"/>
      <c r="C171" s="157"/>
      <c r="D171" s="157"/>
      <c r="E171" s="157"/>
      <c r="F171" s="157"/>
      <c r="G171" s="157"/>
      <c r="H171" s="157"/>
      <c r="I171" s="36"/>
    </row>
    <row r="172" spans="1:9" s="37" customFormat="1" ht="15.75" customHeight="1" x14ac:dyDescent="0.35">
      <c r="A172" s="53">
        <v>1</v>
      </c>
      <c r="B172" s="53" t="s">
        <v>204</v>
      </c>
      <c r="C172" s="53" t="s">
        <v>203</v>
      </c>
      <c r="D172" s="60">
        <f>(29.41)*(10.764)</f>
        <v>316.56923999999998</v>
      </c>
      <c r="E172" s="42">
        <v>0</v>
      </c>
      <c r="F172" s="42">
        <f t="shared" ref="F172:F179" si="9">D172*(($F$140)+1)+(IF(E172&lt;101,E172,IF(E172&lt;201,E172/2,IF(E172&lt;=301,E172/3,E172/4))))</f>
        <v>490.682322</v>
      </c>
      <c r="G172" s="173" t="str">
        <f>A171</f>
        <v>4th to 7th &amp; 9th to 11th</v>
      </c>
      <c r="H172" s="174"/>
      <c r="I172" s="36"/>
    </row>
    <row r="173" spans="1:9" s="37" customFormat="1" ht="15.75" customHeight="1" x14ac:dyDescent="0.35">
      <c r="A173" s="53">
        <v>2</v>
      </c>
      <c r="B173" s="53" t="s">
        <v>204</v>
      </c>
      <c r="C173" s="53" t="s">
        <v>203</v>
      </c>
      <c r="D173" s="60">
        <f>(29.41)*(10.764)</f>
        <v>316.56923999999998</v>
      </c>
      <c r="E173" s="42">
        <v>0</v>
      </c>
      <c r="F173" s="42">
        <f t="shared" si="9"/>
        <v>490.682322</v>
      </c>
      <c r="G173" s="175"/>
      <c r="H173" s="176"/>
      <c r="I173" s="36"/>
    </row>
    <row r="174" spans="1:9" s="37" customFormat="1" ht="15.75" customHeight="1" x14ac:dyDescent="0.35">
      <c r="A174" s="53">
        <v>3</v>
      </c>
      <c r="B174" s="53" t="s">
        <v>204</v>
      </c>
      <c r="C174" s="53" t="s">
        <v>203</v>
      </c>
      <c r="D174" s="60">
        <f>(29.41)*(10.764)</f>
        <v>316.56923999999998</v>
      </c>
      <c r="E174" s="42">
        <v>0</v>
      </c>
      <c r="F174" s="42">
        <f t="shared" si="9"/>
        <v>490.682322</v>
      </c>
      <c r="G174" s="175"/>
      <c r="H174" s="176"/>
      <c r="I174" s="36"/>
    </row>
    <row r="175" spans="1:9" s="37" customFormat="1" ht="15.75" customHeight="1" x14ac:dyDescent="0.35">
      <c r="A175" s="53">
        <v>4</v>
      </c>
      <c r="B175" s="53" t="s">
        <v>204</v>
      </c>
      <c r="C175" s="53" t="s">
        <v>203</v>
      </c>
      <c r="D175" s="60">
        <f>(29.41)*(10.764)</f>
        <v>316.56923999999998</v>
      </c>
      <c r="E175" s="42">
        <v>0</v>
      </c>
      <c r="F175" s="42">
        <f t="shared" si="9"/>
        <v>490.682322</v>
      </c>
      <c r="G175" s="175"/>
      <c r="H175" s="176"/>
      <c r="I175" s="36"/>
    </row>
    <row r="176" spans="1:9" s="37" customFormat="1" ht="15.75" customHeight="1" x14ac:dyDescent="0.35">
      <c r="A176" s="53">
        <v>5</v>
      </c>
      <c r="B176" s="53" t="s">
        <v>204</v>
      </c>
      <c r="C176" s="53" t="s">
        <v>203</v>
      </c>
      <c r="D176" s="60">
        <f>(30.08)*(10.764)</f>
        <v>323.78111999999999</v>
      </c>
      <c r="E176" s="42">
        <v>0</v>
      </c>
      <c r="F176" s="42">
        <f t="shared" si="9"/>
        <v>501.86073599999997</v>
      </c>
      <c r="G176" s="175"/>
      <c r="H176" s="176"/>
      <c r="I176" s="36"/>
    </row>
    <row r="177" spans="1:14" s="58" customFormat="1" x14ac:dyDescent="0.35">
      <c r="A177" s="53">
        <v>6</v>
      </c>
      <c r="B177" s="53" t="s">
        <v>204</v>
      </c>
      <c r="C177" s="53" t="s">
        <v>203</v>
      </c>
      <c r="D177" s="60">
        <f>(29.41)*(10.764)</f>
        <v>316.56923999999998</v>
      </c>
      <c r="E177" s="53">
        <v>0</v>
      </c>
      <c r="F177" s="53">
        <f t="shared" si="9"/>
        <v>490.682322</v>
      </c>
      <c r="G177" s="175"/>
      <c r="H177" s="176"/>
      <c r="I177" s="36"/>
    </row>
    <row r="178" spans="1:14" s="58" customFormat="1" x14ac:dyDescent="0.35">
      <c r="A178" s="53">
        <v>7</v>
      </c>
      <c r="B178" s="53" t="s">
        <v>204</v>
      </c>
      <c r="C178" s="53" t="s">
        <v>203</v>
      </c>
      <c r="D178" s="60">
        <f>(29.41)*(10.764)</f>
        <v>316.56923999999998</v>
      </c>
      <c r="E178" s="53">
        <v>0</v>
      </c>
      <c r="F178" s="53">
        <f t="shared" si="9"/>
        <v>490.682322</v>
      </c>
      <c r="G178" s="175"/>
      <c r="H178" s="176"/>
      <c r="I178" s="36"/>
    </row>
    <row r="179" spans="1:14" s="58" customFormat="1" ht="15.75" customHeight="1" x14ac:dyDescent="0.35">
      <c r="A179" s="53">
        <v>8</v>
      </c>
      <c r="B179" s="53" t="s">
        <v>204</v>
      </c>
      <c r="C179" s="53" t="s">
        <v>203</v>
      </c>
      <c r="D179" s="60">
        <f>(29.41)*(10.764)</f>
        <v>316.56923999999998</v>
      </c>
      <c r="E179" s="53">
        <v>0</v>
      </c>
      <c r="F179" s="53">
        <f t="shared" si="9"/>
        <v>490.682322</v>
      </c>
      <c r="G179" s="177"/>
      <c r="H179" s="178"/>
      <c r="I179" s="36"/>
    </row>
    <row r="180" spans="1:14" s="58" customFormat="1" ht="15.75" customHeight="1" x14ac:dyDescent="0.35">
      <c r="A180" s="91" t="s">
        <v>219</v>
      </c>
      <c r="B180" s="92"/>
      <c r="C180" s="92"/>
      <c r="D180" s="92"/>
      <c r="E180" s="92"/>
      <c r="F180" s="92"/>
      <c r="G180" s="92"/>
      <c r="H180" s="93"/>
      <c r="I180" s="36"/>
    </row>
    <row r="181" spans="1:14" s="58" customFormat="1" ht="15.75" customHeight="1" x14ac:dyDescent="0.35">
      <c r="A181" s="53">
        <v>1</v>
      </c>
      <c r="B181" s="53" t="s">
        <v>207</v>
      </c>
      <c r="C181" s="173" t="s">
        <v>220</v>
      </c>
      <c r="D181" s="179"/>
      <c r="E181" s="179"/>
      <c r="F181" s="174"/>
      <c r="G181" s="173" t="str">
        <f>A180</f>
        <v>8th Floor (Part Refuge Area)</v>
      </c>
      <c r="H181" s="174"/>
      <c r="I181" s="36"/>
    </row>
    <row r="182" spans="1:14" s="58" customFormat="1" ht="15.75" customHeight="1" x14ac:dyDescent="0.35">
      <c r="A182" s="53">
        <v>2</v>
      </c>
      <c r="B182" s="53" t="s">
        <v>207</v>
      </c>
      <c r="C182" s="175"/>
      <c r="D182" s="181"/>
      <c r="E182" s="181"/>
      <c r="F182" s="176"/>
      <c r="G182" s="175"/>
      <c r="H182" s="176"/>
      <c r="I182" s="36"/>
    </row>
    <row r="183" spans="1:14" s="58" customFormat="1" ht="15.75" customHeight="1" x14ac:dyDescent="0.35">
      <c r="A183" s="53">
        <v>3</v>
      </c>
      <c r="B183" s="53" t="s">
        <v>207</v>
      </c>
      <c r="C183" s="177"/>
      <c r="D183" s="180"/>
      <c r="E183" s="180"/>
      <c r="F183" s="178"/>
      <c r="G183" s="175"/>
      <c r="H183" s="176"/>
      <c r="I183" s="36"/>
    </row>
    <row r="184" spans="1:14" s="58" customFormat="1" ht="15.75" customHeight="1" x14ac:dyDescent="0.35">
      <c r="A184" s="53">
        <v>4</v>
      </c>
      <c r="B184" s="53" t="s">
        <v>202</v>
      </c>
      <c r="C184" s="53" t="s">
        <v>203</v>
      </c>
      <c r="D184" s="60">
        <f>(29.41)*(10.764)</f>
        <v>316.56923999999998</v>
      </c>
      <c r="E184" s="53">
        <v>0</v>
      </c>
      <c r="F184" s="53">
        <f>D184*(($F$140)+1)+(IF(E184&lt;101,E184,IF(E184&lt;201,E184/2,IF(E184&lt;=301,E184/3,E184/4))))</f>
        <v>490.682322</v>
      </c>
      <c r="G184" s="175"/>
      <c r="H184" s="176"/>
      <c r="I184" s="36"/>
    </row>
    <row r="185" spans="1:14" s="58" customFormat="1" ht="15.75" customHeight="1" x14ac:dyDescent="0.35">
      <c r="A185" s="53">
        <v>5</v>
      </c>
      <c r="B185" s="53" t="s">
        <v>202</v>
      </c>
      <c r="C185" s="53" t="s">
        <v>203</v>
      </c>
      <c r="D185" s="60">
        <f>(30.08)*(10.764)</f>
        <v>323.78111999999999</v>
      </c>
      <c r="E185" s="53">
        <v>0</v>
      </c>
      <c r="F185" s="53">
        <f>D185*(($F$140)+1)+(IF(E185&lt;101,E185,IF(E185&lt;201,E185/2,IF(E185&lt;=301,E185/3,E185/4))))</f>
        <v>501.86073599999997</v>
      </c>
      <c r="G185" s="175"/>
      <c r="H185" s="176"/>
      <c r="I185" s="36"/>
    </row>
    <row r="186" spans="1:14" s="58" customFormat="1" x14ac:dyDescent="0.35">
      <c r="A186" s="53">
        <v>6</v>
      </c>
      <c r="B186" s="53" t="s">
        <v>202</v>
      </c>
      <c r="C186" s="53" t="s">
        <v>203</v>
      </c>
      <c r="D186" s="60">
        <f>(29.41)*(10.764)</f>
        <v>316.56923999999998</v>
      </c>
      <c r="E186" s="53">
        <v>0</v>
      </c>
      <c r="F186" s="53">
        <f>D186*(($F$140)+1)+(IF(E186&lt;101,E186,IF(E186&lt;201,E186/2,IF(E186&lt;=301,E186/3,E186/4))))</f>
        <v>490.682322</v>
      </c>
      <c r="G186" s="175"/>
      <c r="H186" s="176"/>
      <c r="I186" s="36"/>
    </row>
    <row r="187" spans="1:14" s="58" customFormat="1" x14ac:dyDescent="0.35">
      <c r="A187" s="53">
        <v>7</v>
      </c>
      <c r="B187" s="53" t="s">
        <v>202</v>
      </c>
      <c r="C187" s="53" t="s">
        <v>203</v>
      </c>
      <c r="D187" s="60">
        <f>(29.41)*(10.764)</f>
        <v>316.56923999999998</v>
      </c>
      <c r="E187" s="53">
        <v>0</v>
      </c>
      <c r="F187" s="53">
        <f>D187*(($F$140)+1)+(IF(E187&lt;101,E187,IF(E187&lt;201,E187/2,IF(E187&lt;=301,E187/3,E187/4))))</f>
        <v>490.682322</v>
      </c>
      <c r="G187" s="175"/>
      <c r="H187" s="176"/>
      <c r="I187" s="36"/>
    </row>
    <row r="188" spans="1:14" s="58" customFormat="1" ht="15.75" customHeight="1" x14ac:dyDescent="0.35">
      <c r="A188" s="53">
        <v>8</v>
      </c>
      <c r="B188" s="53" t="s">
        <v>202</v>
      </c>
      <c r="C188" s="53" t="s">
        <v>203</v>
      </c>
      <c r="D188" s="60">
        <f>(29.41)*(10.764)</f>
        <v>316.56923999999998</v>
      </c>
      <c r="E188" s="53">
        <v>0</v>
      </c>
      <c r="F188" s="53">
        <f>D188*(($F$140)+1)+(IF(E188&lt;101,E188,IF(E188&lt;201,E188/2,IF(E188&lt;=301,E188/3,E188/4))))</f>
        <v>490.682322</v>
      </c>
      <c r="G188" s="177"/>
      <c r="H188" s="178"/>
      <c r="I188" s="36"/>
    </row>
    <row r="189" spans="1:14" s="58" customFormat="1" x14ac:dyDescent="0.35">
      <c r="A189" s="183" t="s">
        <v>212</v>
      </c>
      <c r="B189" s="184"/>
      <c r="C189" s="184"/>
      <c r="D189" s="184"/>
      <c r="E189" s="184"/>
      <c r="F189" s="184"/>
      <c r="G189" s="184"/>
      <c r="H189" s="185"/>
      <c r="J189" s="36"/>
    </row>
    <row r="190" spans="1:14" s="37" customFormat="1" x14ac:dyDescent="0.35">
      <c r="A190" s="91" t="s">
        <v>206</v>
      </c>
      <c r="B190" s="92"/>
      <c r="C190" s="92"/>
      <c r="D190" s="92"/>
      <c r="E190" s="92"/>
      <c r="F190" s="92"/>
      <c r="G190" s="92"/>
      <c r="H190" s="93"/>
      <c r="J190" s="36"/>
    </row>
    <row r="191" spans="1:14" s="37" customFormat="1" ht="15.75" customHeight="1" x14ac:dyDescent="0.35">
      <c r="A191" s="53">
        <v>1</v>
      </c>
      <c r="B191" s="59" t="s">
        <v>204</v>
      </c>
      <c r="C191" s="53" t="s">
        <v>203</v>
      </c>
      <c r="D191" s="60">
        <f>(41.4)*(10.764)</f>
        <v>445.62959999999998</v>
      </c>
      <c r="E191" s="42">
        <v>0</v>
      </c>
      <c r="F191" s="42">
        <f t="shared" ref="F191:F197" si="10">D191*(($F$140)+1)+(IF(E191&lt;101,E191,IF(E191&lt;201,E191/2,IF(E191&lt;=301,E191/3,E191/4))))</f>
        <v>690.72587999999996</v>
      </c>
      <c r="G191" s="173" t="str">
        <f>A190</f>
        <v>1st Floor For Residential</v>
      </c>
      <c r="H191" s="174"/>
      <c r="I191" s="36">
        <f>2.75*5.2+2.3*3.1+1.3*1.25+2.9*3.65+1.4*2.45+2.15*1.25+0.74*0.15</f>
        <v>39.868499999999997</v>
      </c>
      <c r="J191" s="37">
        <f>8920000/F191</f>
        <v>12913.950755689073</v>
      </c>
      <c r="L191" s="182">
        <f>13814518/F191</f>
        <v>20000.000579100932</v>
      </c>
      <c r="M191" s="182"/>
      <c r="N191" s="36"/>
    </row>
    <row r="192" spans="1:14" s="37" customFormat="1" ht="15.75" customHeight="1" x14ac:dyDescent="0.35">
      <c r="A192" s="53">
        <f t="shared" ref="A192:A199" si="11">A191+1</f>
        <v>2</v>
      </c>
      <c r="B192" s="59" t="s">
        <v>204</v>
      </c>
      <c r="C192" s="53" t="s">
        <v>203</v>
      </c>
      <c r="D192" s="60">
        <f>(42.43)*(10.764)</f>
        <v>456.71651999999995</v>
      </c>
      <c r="E192" s="42">
        <v>0</v>
      </c>
      <c r="F192" s="42">
        <f t="shared" si="10"/>
        <v>707.91060599999992</v>
      </c>
      <c r="G192" s="175"/>
      <c r="H192" s="176"/>
      <c r="I192" s="36">
        <f>2.9*5.15+0.89*2.3+0.74*0.15+2.15*2.6+0.9*0.15+1.41*0.9+2.15*1.35+2.9*3.65+1.25*2.15</f>
        <v>40.262</v>
      </c>
      <c r="J192" s="37">
        <f>9140000/F192</f>
        <v>12911.234727284198</v>
      </c>
      <c r="L192" s="182"/>
      <c r="M192" s="182"/>
      <c r="N192" s="36"/>
    </row>
    <row r="193" spans="1:14" s="37" customFormat="1" ht="15.75" customHeight="1" x14ac:dyDescent="0.35">
      <c r="A193" s="53">
        <f t="shared" si="11"/>
        <v>3</v>
      </c>
      <c r="B193" s="59" t="s">
        <v>204</v>
      </c>
      <c r="C193" s="53" t="s">
        <v>203</v>
      </c>
      <c r="D193" s="60">
        <f>(43.61)*(10.764)</f>
        <v>469.41803999999996</v>
      </c>
      <c r="E193" s="42">
        <v>0</v>
      </c>
      <c r="F193" s="42">
        <f t="shared" si="10"/>
        <v>727.59796199999994</v>
      </c>
      <c r="G193" s="175"/>
      <c r="H193" s="176"/>
      <c r="I193" s="36"/>
      <c r="J193" s="37">
        <f>9380000/F193</f>
        <v>12891.734845183639</v>
      </c>
      <c r="L193" s="182"/>
      <c r="M193" s="182"/>
      <c r="N193" s="36"/>
    </row>
    <row r="194" spans="1:14" s="37" customFormat="1" ht="15.75" customHeight="1" x14ac:dyDescent="0.35">
      <c r="A194" s="53">
        <f t="shared" si="11"/>
        <v>4</v>
      </c>
      <c r="B194" s="59" t="s">
        <v>204</v>
      </c>
      <c r="C194" s="53" t="s">
        <v>203</v>
      </c>
      <c r="D194" s="60">
        <f>(39.72)*(10.764)</f>
        <v>427.54607999999996</v>
      </c>
      <c r="E194" s="42">
        <v>0</v>
      </c>
      <c r="F194" s="42">
        <f t="shared" si="10"/>
        <v>662.69642399999998</v>
      </c>
      <c r="G194" s="175"/>
      <c r="H194" s="176"/>
      <c r="I194" s="36"/>
      <c r="J194" s="37">
        <f>8560000/F194</f>
        <v>12916.924990076603</v>
      </c>
      <c r="L194" s="182"/>
      <c r="M194" s="182"/>
      <c r="N194" s="36"/>
    </row>
    <row r="195" spans="1:14" s="58" customFormat="1" x14ac:dyDescent="0.35">
      <c r="A195" s="53">
        <f t="shared" si="11"/>
        <v>5</v>
      </c>
      <c r="B195" s="59" t="s">
        <v>204</v>
      </c>
      <c r="C195" s="53" t="s">
        <v>203</v>
      </c>
      <c r="D195" s="60">
        <f>(41.82)*(10.764)</f>
        <v>450.15047999999996</v>
      </c>
      <c r="E195" s="53">
        <v>0</v>
      </c>
      <c r="F195" s="53">
        <f t="shared" si="10"/>
        <v>697.73324400000001</v>
      </c>
      <c r="G195" s="175"/>
      <c r="H195" s="176"/>
      <c r="I195" s="36">
        <f>2.75*5.05+0.75*2.3+2.15*1.25+2.3*1.25+2.9*3.65+2.3*2.6+1.7*0.9+0.9*0.15</f>
        <v>39.404999999999994</v>
      </c>
      <c r="J195" s="58">
        <f>9000000/F195</f>
        <v>12898.912410141662</v>
      </c>
      <c r="L195" s="182"/>
      <c r="M195" s="182"/>
      <c r="N195" s="36"/>
    </row>
    <row r="196" spans="1:14" s="58" customFormat="1" x14ac:dyDescent="0.35">
      <c r="A196" s="53">
        <f t="shared" si="11"/>
        <v>6</v>
      </c>
      <c r="B196" s="59" t="s">
        <v>204</v>
      </c>
      <c r="C196" s="53" t="s">
        <v>203</v>
      </c>
      <c r="D196" s="60">
        <f>(41.51)*(10.764)</f>
        <v>446.81363999999996</v>
      </c>
      <c r="E196" s="53">
        <v>0</v>
      </c>
      <c r="F196" s="53">
        <f t="shared" si="10"/>
        <v>692.56114200000002</v>
      </c>
      <c r="G196" s="175"/>
      <c r="H196" s="176"/>
      <c r="I196" s="36"/>
      <c r="J196" s="58">
        <f>8940000/F196</f>
        <v>12908.607569553766</v>
      </c>
      <c r="L196" s="182"/>
      <c r="M196" s="182"/>
      <c r="N196" s="36"/>
    </row>
    <row r="197" spans="1:14" s="58" customFormat="1" x14ac:dyDescent="0.35">
      <c r="A197" s="53">
        <f t="shared" si="11"/>
        <v>7</v>
      </c>
      <c r="B197" s="59" t="s">
        <v>204</v>
      </c>
      <c r="C197" s="53" t="s">
        <v>203</v>
      </c>
      <c r="D197" s="60">
        <f>(42.04)*(10.764)</f>
        <v>452.51855999999998</v>
      </c>
      <c r="E197" s="53">
        <v>0</v>
      </c>
      <c r="F197" s="53">
        <f t="shared" si="10"/>
        <v>701.40376800000001</v>
      </c>
      <c r="G197" s="175"/>
      <c r="H197" s="176"/>
      <c r="I197" s="36"/>
      <c r="J197" s="58">
        <f>9060000/F197</f>
        <v>12916.953705329966</v>
      </c>
      <c r="L197" s="182"/>
      <c r="M197" s="182"/>
      <c r="N197" s="36"/>
    </row>
    <row r="198" spans="1:14" s="58" customFormat="1" x14ac:dyDescent="0.35">
      <c r="A198" s="53">
        <f t="shared" si="11"/>
        <v>8</v>
      </c>
      <c r="B198" s="59" t="s">
        <v>207</v>
      </c>
      <c r="C198" s="163" t="s">
        <v>208</v>
      </c>
      <c r="D198" s="164"/>
      <c r="E198" s="164"/>
      <c r="F198" s="165"/>
      <c r="G198" s="175"/>
      <c r="H198" s="176"/>
      <c r="I198" s="36"/>
      <c r="L198" s="182"/>
      <c r="M198" s="182"/>
      <c r="N198" s="36"/>
    </row>
    <row r="199" spans="1:14" s="58" customFormat="1" x14ac:dyDescent="0.35">
      <c r="A199" s="53">
        <f t="shared" si="11"/>
        <v>9</v>
      </c>
      <c r="B199" s="59" t="s">
        <v>204</v>
      </c>
      <c r="C199" s="53" t="s">
        <v>203</v>
      </c>
      <c r="D199" s="60">
        <f>(29.41)*(10.764)</f>
        <v>316.56923999999998</v>
      </c>
      <c r="E199" s="53">
        <v>0</v>
      </c>
      <c r="F199" s="53">
        <f>D199*(($F$140)+1)+(IF(E199&lt;101,E199,IF(E199&lt;201,E199/2,IF(E199&lt;=301,E199/3,E199/4))))</f>
        <v>490.682322</v>
      </c>
      <c r="G199" s="177"/>
      <c r="H199" s="178"/>
      <c r="I199" s="36">
        <f>5.05*2.4+1.65*1.1+2*2.25+2.9*2.4+1.1*0.45+1.05*1.17+1.35*0.08+1.35*0.08</f>
        <v>27.334500000000002</v>
      </c>
      <c r="J199" s="58">
        <f>6340000/F199</f>
        <v>12920.783398428606</v>
      </c>
      <c r="L199" s="182"/>
      <c r="M199" s="182"/>
      <c r="N199" s="36"/>
    </row>
    <row r="200" spans="1:14" s="37" customFormat="1" x14ac:dyDescent="0.35">
      <c r="A200" s="157" t="s">
        <v>236</v>
      </c>
      <c r="B200" s="157"/>
      <c r="C200" s="157"/>
      <c r="D200" s="157"/>
      <c r="E200" s="157"/>
      <c r="F200" s="157"/>
      <c r="G200" s="157"/>
      <c r="H200" s="157"/>
      <c r="I200" s="36"/>
      <c r="L200" s="182"/>
      <c r="M200" s="182"/>
    </row>
    <row r="201" spans="1:14" s="37" customFormat="1" x14ac:dyDescent="0.35">
      <c r="A201" s="64">
        <v>1</v>
      </c>
      <c r="B201" s="59" t="s">
        <v>204</v>
      </c>
      <c r="C201" s="64" t="s">
        <v>203</v>
      </c>
      <c r="D201" s="60">
        <f>(41.4)*(10.764)</f>
        <v>445.62959999999998</v>
      </c>
      <c r="E201" s="64">
        <v>0</v>
      </c>
      <c r="F201" s="64">
        <f t="shared" ref="F201:F202" si="12">D201*(($F$140)+1)+(IF(E201&lt;101,E201,IF(E201&lt;201,E201/2,IF(E201&lt;=301,E201/3,E201/4))))</f>
        <v>690.72587999999996</v>
      </c>
      <c r="G201" s="186" t="str">
        <f>A200</f>
        <v>2nd Floor For Amenities &amp; Residential</v>
      </c>
      <c r="H201" s="186"/>
      <c r="I201" s="36"/>
      <c r="N201" s="36"/>
    </row>
    <row r="202" spans="1:14" s="37" customFormat="1" x14ac:dyDescent="0.35">
      <c r="A202" s="64">
        <f>A201+1</f>
        <v>2</v>
      </c>
      <c r="B202" s="59" t="s">
        <v>204</v>
      </c>
      <c r="C202" s="64" t="s">
        <v>203</v>
      </c>
      <c r="D202" s="60">
        <f>(42.43)*(10.764)</f>
        <v>456.71651999999995</v>
      </c>
      <c r="E202" s="64">
        <v>0</v>
      </c>
      <c r="F202" s="64">
        <f t="shared" si="12"/>
        <v>707.91060599999992</v>
      </c>
      <c r="G202" s="186"/>
      <c r="H202" s="186"/>
      <c r="I202" s="36"/>
      <c r="N202" s="36"/>
    </row>
    <row r="203" spans="1:14" s="37" customFormat="1" x14ac:dyDescent="0.35">
      <c r="A203" s="64">
        <f>A202+1</f>
        <v>3</v>
      </c>
      <c r="B203" s="59" t="s">
        <v>204</v>
      </c>
      <c r="C203" s="64" t="s">
        <v>203</v>
      </c>
      <c r="D203" s="60">
        <f>(43.61)*(10.764)</f>
        <v>469.41803999999996</v>
      </c>
      <c r="E203" s="64">
        <v>0</v>
      </c>
      <c r="F203" s="64">
        <f>D203*(($F$140)+1)+(IF(E203&lt;101,E203,IF(E203&lt;201,E203/2,IF(E203&lt;=301,E203/3,E203/4))))</f>
        <v>727.59796199999994</v>
      </c>
      <c r="G203" s="186"/>
      <c r="H203" s="186"/>
      <c r="I203" s="36"/>
      <c r="N203" s="36"/>
    </row>
    <row r="204" spans="1:14" s="37" customFormat="1" x14ac:dyDescent="0.35">
      <c r="A204" s="64">
        <f>A203+1</f>
        <v>4</v>
      </c>
      <c r="B204" s="59" t="s">
        <v>204</v>
      </c>
      <c r="C204" s="64" t="s">
        <v>203</v>
      </c>
      <c r="D204" s="60">
        <f>(39.72)*(10.764)</f>
        <v>427.54607999999996</v>
      </c>
      <c r="E204" s="64">
        <v>0</v>
      </c>
      <c r="F204" s="64">
        <f>D204*(($F$140)+1)+(IF(E204&lt;101,E204,IF(E204&lt;201,E204/2,IF(E204&lt;=301,E204/3,E204/4))))</f>
        <v>662.69642399999998</v>
      </c>
      <c r="G204" s="186"/>
      <c r="H204" s="186"/>
      <c r="I204" s="36"/>
      <c r="N204" s="36"/>
    </row>
    <row r="205" spans="1:14" s="37" customFormat="1" x14ac:dyDescent="0.35">
      <c r="A205" s="64">
        <f>A204+1</f>
        <v>5</v>
      </c>
      <c r="B205" s="59" t="s">
        <v>204</v>
      </c>
      <c r="C205" s="64" t="s">
        <v>203</v>
      </c>
      <c r="D205" s="60">
        <f>(41.82)*(10.764)</f>
        <v>450.15047999999996</v>
      </c>
      <c r="E205" s="64">
        <v>0</v>
      </c>
      <c r="F205" s="64">
        <f>D205*(($F$140)+1)+(IF(E205&lt;101,E205,IF(E205&lt;201,E205/2,IF(E205&lt;=301,E205/3,E205/4))))</f>
        <v>697.73324400000001</v>
      </c>
      <c r="G205" s="186"/>
      <c r="H205" s="186"/>
      <c r="I205" s="36"/>
      <c r="N205" s="36"/>
    </row>
    <row r="206" spans="1:14" s="58" customFormat="1" x14ac:dyDescent="0.35">
      <c r="A206" s="64">
        <f t="shared" ref="A206:A209" si="13">A205+1</f>
        <v>6</v>
      </c>
      <c r="B206" s="59" t="s">
        <v>204</v>
      </c>
      <c r="C206" s="64" t="s">
        <v>203</v>
      </c>
      <c r="D206" s="60">
        <f>(41.51)*(10.764)</f>
        <v>446.81363999999996</v>
      </c>
      <c r="E206" s="64">
        <v>0</v>
      </c>
      <c r="F206" s="64">
        <f t="shared" ref="F206:F207" si="14">D206*(($F$140)+1)+(IF(E206&lt;101,E206,IF(E206&lt;201,E206/2,IF(E206&lt;=301,E206/3,E206/4))))</f>
        <v>692.56114200000002</v>
      </c>
      <c r="G206" s="186"/>
      <c r="H206" s="186"/>
      <c r="I206" s="36"/>
      <c r="N206" s="36"/>
    </row>
    <row r="207" spans="1:14" s="58" customFormat="1" x14ac:dyDescent="0.35">
      <c r="A207" s="64">
        <f t="shared" si="13"/>
        <v>7</v>
      </c>
      <c r="B207" s="59" t="s">
        <v>204</v>
      </c>
      <c r="C207" s="64" t="s">
        <v>203</v>
      </c>
      <c r="D207" s="60">
        <f>(42.04)*(10.764)</f>
        <v>452.51855999999998</v>
      </c>
      <c r="E207" s="64">
        <v>0</v>
      </c>
      <c r="F207" s="64">
        <f t="shared" si="14"/>
        <v>701.40376800000001</v>
      </c>
      <c r="G207" s="186"/>
      <c r="H207" s="186"/>
      <c r="I207" s="36"/>
      <c r="N207" s="36"/>
    </row>
    <row r="208" spans="1:14" s="58" customFormat="1" x14ac:dyDescent="0.35">
      <c r="A208" s="64">
        <f t="shared" si="13"/>
        <v>8</v>
      </c>
      <c r="B208" s="59" t="s">
        <v>204</v>
      </c>
      <c r="C208" s="64" t="s">
        <v>203</v>
      </c>
      <c r="D208" s="60">
        <f>(29.41)*(10.764)</f>
        <v>316.56923999999998</v>
      </c>
      <c r="E208" s="64">
        <v>0</v>
      </c>
      <c r="F208" s="64">
        <f>D208*(($F$140)+1)+(IF(E208&lt;101,E208,IF(E208&lt;201,E208/2,IF(E208&lt;=301,E208/3,E208/4))))</f>
        <v>490.682322</v>
      </c>
      <c r="G208" s="186"/>
      <c r="H208" s="186"/>
      <c r="I208" s="36"/>
      <c r="N208" s="36"/>
    </row>
    <row r="209" spans="1:14" s="58" customFormat="1" x14ac:dyDescent="0.35">
      <c r="A209" s="64">
        <f t="shared" si="13"/>
        <v>9</v>
      </c>
      <c r="B209" s="59" t="s">
        <v>207</v>
      </c>
      <c r="C209" s="186" t="s">
        <v>209</v>
      </c>
      <c r="D209" s="186"/>
      <c r="E209" s="186"/>
      <c r="F209" s="186"/>
      <c r="G209" s="186"/>
      <c r="H209" s="186"/>
      <c r="I209" s="36"/>
      <c r="N209" s="36"/>
    </row>
    <row r="210" spans="1:14" s="58" customFormat="1" x14ac:dyDescent="0.35">
      <c r="A210" s="91" t="s">
        <v>205</v>
      </c>
      <c r="B210" s="92"/>
      <c r="C210" s="92"/>
      <c r="D210" s="92"/>
      <c r="E210" s="92"/>
      <c r="F210" s="92"/>
      <c r="G210" s="92"/>
      <c r="H210" s="93"/>
      <c r="J210" s="36"/>
    </row>
    <row r="211" spans="1:14" s="58" customFormat="1" ht="15.75" customHeight="1" x14ac:dyDescent="0.35">
      <c r="A211" s="53">
        <v>1</v>
      </c>
      <c r="B211" s="59" t="s">
        <v>204</v>
      </c>
      <c r="C211" s="53" t="s">
        <v>203</v>
      </c>
      <c r="D211" s="60">
        <f>(41.4)*(10.764)</f>
        <v>445.62959999999998</v>
      </c>
      <c r="E211" s="53">
        <v>0</v>
      </c>
      <c r="F211" s="53">
        <f t="shared" ref="F211:F219" si="15">D211*(($F$140)+1)+(IF(E211&lt;101,E211,IF(E211&lt;201,E211/2,IF(E211&lt;=301,E211/3,E211/4))))</f>
        <v>690.72587999999996</v>
      </c>
      <c r="G211" s="173" t="str">
        <f>A210</f>
        <v>3rd Floor For Residential</v>
      </c>
      <c r="H211" s="174"/>
      <c r="I211" s="36">
        <f>2.75*5.2+2.3*3.1+1.3*1.25+2.9*3.65+1.4*2.45+2.15*1.25+0.74*0.15</f>
        <v>39.868499999999997</v>
      </c>
      <c r="L211" s="182"/>
      <c r="M211" s="182"/>
      <c r="N211" s="36"/>
    </row>
    <row r="212" spans="1:14" s="58" customFormat="1" ht="15.75" customHeight="1" x14ac:dyDescent="0.35">
      <c r="A212" s="53">
        <f t="shared" ref="A212:A219" si="16">A211+1</f>
        <v>2</v>
      </c>
      <c r="B212" s="59" t="s">
        <v>204</v>
      </c>
      <c r="C212" s="53" t="s">
        <v>203</v>
      </c>
      <c r="D212" s="60">
        <f>(42.43)*(10.764)</f>
        <v>456.71651999999995</v>
      </c>
      <c r="E212" s="53">
        <v>0</v>
      </c>
      <c r="F212" s="53">
        <f t="shared" si="15"/>
        <v>707.91060599999992</v>
      </c>
      <c r="G212" s="175"/>
      <c r="H212" s="176"/>
      <c r="I212" s="36">
        <f>2.9*5.15+0.89*2.3+0.74*0.15+2.15*2.6+0.9*0.15+1.41*0.9+2.15*1.35+2.9*3.65+1.25*2.15</f>
        <v>40.262</v>
      </c>
      <c r="L212" s="182"/>
      <c r="M212" s="182"/>
      <c r="N212" s="36"/>
    </row>
    <row r="213" spans="1:14" s="58" customFormat="1" ht="15.75" customHeight="1" x14ac:dyDescent="0.35">
      <c r="A213" s="53">
        <f t="shared" si="16"/>
        <v>3</v>
      </c>
      <c r="B213" s="59" t="s">
        <v>204</v>
      </c>
      <c r="C213" s="53" t="s">
        <v>203</v>
      </c>
      <c r="D213" s="60">
        <f>(43.61)*(10.764)</f>
        <v>469.41803999999996</v>
      </c>
      <c r="E213" s="53">
        <v>0</v>
      </c>
      <c r="F213" s="53">
        <f t="shared" si="15"/>
        <v>727.59796199999994</v>
      </c>
      <c r="G213" s="175"/>
      <c r="H213" s="176"/>
      <c r="I213" s="36"/>
      <c r="L213" s="182"/>
      <c r="M213" s="182"/>
      <c r="N213" s="36"/>
    </row>
    <row r="214" spans="1:14" s="58" customFormat="1" ht="15.75" customHeight="1" x14ac:dyDescent="0.35">
      <c r="A214" s="53">
        <f t="shared" si="16"/>
        <v>4</v>
      </c>
      <c r="B214" s="59" t="s">
        <v>204</v>
      </c>
      <c r="C214" s="53" t="s">
        <v>203</v>
      </c>
      <c r="D214" s="60">
        <f>(39.72)*(10.764)</f>
        <v>427.54607999999996</v>
      </c>
      <c r="E214" s="53">
        <v>0</v>
      </c>
      <c r="F214" s="53">
        <f t="shared" si="15"/>
        <v>662.69642399999998</v>
      </c>
      <c r="G214" s="175"/>
      <c r="H214" s="176"/>
      <c r="I214" s="36"/>
      <c r="L214" s="182"/>
      <c r="M214" s="182"/>
      <c r="N214" s="36"/>
    </row>
    <row r="215" spans="1:14" s="58" customFormat="1" x14ac:dyDescent="0.35">
      <c r="A215" s="53">
        <f t="shared" si="16"/>
        <v>5</v>
      </c>
      <c r="B215" s="59" t="s">
        <v>204</v>
      </c>
      <c r="C215" s="53" t="s">
        <v>203</v>
      </c>
      <c r="D215" s="60">
        <f>(41.82)*(10.764)</f>
        <v>450.15047999999996</v>
      </c>
      <c r="E215" s="53">
        <v>0</v>
      </c>
      <c r="F215" s="53">
        <f t="shared" si="15"/>
        <v>697.73324400000001</v>
      </c>
      <c r="G215" s="175"/>
      <c r="H215" s="176"/>
      <c r="I215" s="36">
        <f>2.75*5.05+0.75*2.3+2.15*1.25+2.3*1.25+2.9*3.65+2.3*2.6+1.7*0.9+0.9*0.15</f>
        <v>39.404999999999994</v>
      </c>
      <c r="L215" s="182"/>
      <c r="M215" s="182"/>
      <c r="N215" s="36"/>
    </row>
    <row r="216" spans="1:14" s="58" customFormat="1" x14ac:dyDescent="0.35">
      <c r="A216" s="53">
        <f t="shared" si="16"/>
        <v>6</v>
      </c>
      <c r="B216" s="59" t="s">
        <v>204</v>
      </c>
      <c r="C216" s="53" t="s">
        <v>203</v>
      </c>
      <c r="D216" s="60">
        <f>(41.51)*(10.764)</f>
        <v>446.81363999999996</v>
      </c>
      <c r="E216" s="53">
        <v>0</v>
      </c>
      <c r="F216" s="53">
        <f t="shared" si="15"/>
        <v>692.56114200000002</v>
      </c>
      <c r="G216" s="175"/>
      <c r="H216" s="176"/>
      <c r="I216" s="36"/>
      <c r="L216" s="182"/>
      <c r="M216" s="182"/>
      <c r="N216" s="36"/>
    </row>
    <row r="217" spans="1:14" s="58" customFormat="1" x14ac:dyDescent="0.35">
      <c r="A217" s="53">
        <f t="shared" si="16"/>
        <v>7</v>
      </c>
      <c r="B217" s="59" t="s">
        <v>204</v>
      </c>
      <c r="C217" s="53" t="s">
        <v>203</v>
      </c>
      <c r="D217" s="60">
        <f>(42.04)*(10.764)</f>
        <v>452.51855999999998</v>
      </c>
      <c r="E217" s="53">
        <v>0</v>
      </c>
      <c r="F217" s="53">
        <f t="shared" si="15"/>
        <v>701.40376800000001</v>
      </c>
      <c r="G217" s="175"/>
      <c r="H217" s="176"/>
      <c r="I217" s="36"/>
      <c r="L217" s="182"/>
      <c r="M217" s="182"/>
      <c r="N217" s="36"/>
    </row>
    <row r="218" spans="1:14" s="58" customFormat="1" x14ac:dyDescent="0.35">
      <c r="A218" s="53">
        <f t="shared" si="16"/>
        <v>8</v>
      </c>
      <c r="B218" s="59" t="s">
        <v>204</v>
      </c>
      <c r="C218" s="53" t="s">
        <v>203</v>
      </c>
      <c r="D218" s="60">
        <f>(29.41)*(10.764)</f>
        <v>316.56923999999998</v>
      </c>
      <c r="E218" s="53">
        <v>0</v>
      </c>
      <c r="F218" s="53">
        <f t="shared" si="15"/>
        <v>490.682322</v>
      </c>
      <c r="G218" s="175"/>
      <c r="H218" s="176"/>
      <c r="I218" s="36"/>
      <c r="L218" s="182"/>
      <c r="M218" s="182"/>
      <c r="N218" s="36"/>
    </row>
    <row r="219" spans="1:14" s="58" customFormat="1" x14ac:dyDescent="0.35">
      <c r="A219" s="53">
        <f t="shared" si="16"/>
        <v>9</v>
      </c>
      <c r="B219" s="59" t="s">
        <v>204</v>
      </c>
      <c r="C219" s="53" t="s">
        <v>203</v>
      </c>
      <c r="D219" s="60">
        <f>(29.41)*(10.764)</f>
        <v>316.56923999999998</v>
      </c>
      <c r="E219" s="53">
        <v>0</v>
      </c>
      <c r="F219" s="53">
        <f t="shared" si="15"/>
        <v>490.682322</v>
      </c>
      <c r="G219" s="177"/>
      <c r="H219" s="178"/>
      <c r="I219" s="36">
        <f>5.05*2.4+1.65*1.1+2*2.25+2.9*2.4+1.1*0.45+1.05*1.17+1.35*0.08+1.35*0.08</f>
        <v>27.334500000000002</v>
      </c>
      <c r="L219" s="182"/>
      <c r="M219" s="182"/>
      <c r="N219" s="36"/>
    </row>
    <row r="220" spans="1:14" s="58" customFormat="1" x14ac:dyDescent="0.35">
      <c r="A220" s="91" t="s">
        <v>225</v>
      </c>
      <c r="B220" s="92"/>
      <c r="C220" s="92"/>
      <c r="D220" s="92"/>
      <c r="E220" s="92"/>
      <c r="F220" s="92"/>
      <c r="G220" s="92"/>
      <c r="H220" s="93"/>
      <c r="J220" s="36"/>
    </row>
    <row r="221" spans="1:14" s="58" customFormat="1" ht="15.75" customHeight="1" x14ac:dyDescent="0.35">
      <c r="A221" s="53">
        <v>1</v>
      </c>
      <c r="B221" s="59" t="s">
        <v>204</v>
      </c>
      <c r="C221" s="53" t="s">
        <v>203</v>
      </c>
      <c r="D221" s="60">
        <f>(41.4)*(10.764)</f>
        <v>445.62959999999998</v>
      </c>
      <c r="E221" s="53">
        <v>0</v>
      </c>
      <c r="F221" s="53">
        <f t="shared" ref="F221:F229" si="17">D221*(($F$140)+1)+(IF(E221&lt;101,E221,IF(E221&lt;201,E221/2,IF(E221&lt;=301,E221/3,E221/4))))</f>
        <v>690.72587999999996</v>
      </c>
      <c r="G221" s="173" t="str">
        <f>A220</f>
        <v>4th to 7th &amp; 9th to 11th Floor</v>
      </c>
      <c r="H221" s="174"/>
      <c r="I221" s="36">
        <f>2.75*5.2+2.3*3.1+1.3*1.25+2.9*3.65+1.4*2.45+2.15*1.25+0.74*0.15</f>
        <v>39.868499999999997</v>
      </c>
      <c r="L221" s="182"/>
      <c r="M221" s="182"/>
      <c r="N221" s="36"/>
    </row>
    <row r="222" spans="1:14" s="58" customFormat="1" ht="15.75" customHeight="1" x14ac:dyDescent="0.35">
      <c r="A222" s="53">
        <f t="shared" ref="A222:A229" si="18">A221+1</f>
        <v>2</v>
      </c>
      <c r="B222" s="59" t="s">
        <v>204</v>
      </c>
      <c r="C222" s="53" t="s">
        <v>203</v>
      </c>
      <c r="D222" s="60">
        <f>(42.43)*(10.764)</f>
        <v>456.71651999999995</v>
      </c>
      <c r="E222" s="53">
        <v>0</v>
      </c>
      <c r="F222" s="53">
        <f t="shared" si="17"/>
        <v>707.91060599999992</v>
      </c>
      <c r="G222" s="175"/>
      <c r="H222" s="176"/>
      <c r="I222" s="36">
        <f>2.9*5.15+0.89*2.3+0.74*0.15+2.15*2.6+0.9*0.15+1.41*0.9+2.15*1.35+2.9*3.65+1.25*2.15</f>
        <v>40.262</v>
      </c>
      <c r="L222" s="182"/>
      <c r="M222" s="182"/>
      <c r="N222" s="36"/>
    </row>
    <row r="223" spans="1:14" s="58" customFormat="1" ht="15.75" customHeight="1" x14ac:dyDescent="0.35">
      <c r="A223" s="53">
        <f t="shared" si="18"/>
        <v>3</v>
      </c>
      <c r="B223" s="59" t="s">
        <v>204</v>
      </c>
      <c r="C223" s="53" t="s">
        <v>203</v>
      </c>
      <c r="D223" s="60">
        <f>(43.61)*(10.764)</f>
        <v>469.41803999999996</v>
      </c>
      <c r="E223" s="53">
        <v>0</v>
      </c>
      <c r="F223" s="53">
        <f t="shared" si="17"/>
        <v>727.59796199999994</v>
      </c>
      <c r="G223" s="175"/>
      <c r="H223" s="176"/>
      <c r="I223" s="36"/>
      <c r="L223" s="182"/>
      <c r="M223" s="182"/>
      <c r="N223" s="36"/>
    </row>
    <row r="224" spans="1:14" s="58" customFormat="1" ht="15.75" customHeight="1" x14ac:dyDescent="0.35">
      <c r="A224" s="53">
        <f t="shared" si="18"/>
        <v>4</v>
      </c>
      <c r="B224" s="59" t="s">
        <v>204</v>
      </c>
      <c r="C224" s="53" t="s">
        <v>203</v>
      </c>
      <c r="D224" s="60">
        <f>(39.72)*(10.764)</f>
        <v>427.54607999999996</v>
      </c>
      <c r="E224" s="53">
        <v>0</v>
      </c>
      <c r="F224" s="53">
        <f t="shared" si="17"/>
        <v>662.69642399999998</v>
      </c>
      <c r="G224" s="175"/>
      <c r="H224" s="176"/>
      <c r="I224" s="36"/>
      <c r="L224" s="182"/>
      <c r="M224" s="182"/>
      <c r="N224" s="36"/>
    </row>
    <row r="225" spans="1:14" s="58" customFormat="1" x14ac:dyDescent="0.35">
      <c r="A225" s="53">
        <f t="shared" si="18"/>
        <v>5</v>
      </c>
      <c r="B225" s="59" t="s">
        <v>204</v>
      </c>
      <c r="C225" s="53" t="s">
        <v>203</v>
      </c>
      <c r="D225" s="60">
        <f>(41.82)*(10.764)</f>
        <v>450.15047999999996</v>
      </c>
      <c r="E225" s="53">
        <v>0</v>
      </c>
      <c r="F225" s="53">
        <f t="shared" si="17"/>
        <v>697.73324400000001</v>
      </c>
      <c r="G225" s="175"/>
      <c r="H225" s="176"/>
      <c r="I225" s="36">
        <f>2.75*5.05+0.75*2.3+2.15*1.25+2.3*1.25+2.9*3.65+2.3*2.6+1.7*0.9+0.9*0.15</f>
        <v>39.404999999999994</v>
      </c>
      <c r="L225" s="182"/>
      <c r="M225" s="182"/>
      <c r="N225" s="36"/>
    </row>
    <row r="226" spans="1:14" s="58" customFormat="1" x14ac:dyDescent="0.35">
      <c r="A226" s="53">
        <f t="shared" si="18"/>
        <v>6</v>
      </c>
      <c r="B226" s="59" t="s">
        <v>204</v>
      </c>
      <c r="C226" s="53" t="s">
        <v>203</v>
      </c>
      <c r="D226" s="60">
        <f>(41.51)*(10.764)</f>
        <v>446.81363999999996</v>
      </c>
      <c r="E226" s="53">
        <v>0</v>
      </c>
      <c r="F226" s="53">
        <f t="shared" si="17"/>
        <v>692.56114200000002</v>
      </c>
      <c r="G226" s="175"/>
      <c r="H226" s="176"/>
      <c r="I226" s="36"/>
      <c r="L226" s="182"/>
      <c r="M226" s="182"/>
      <c r="N226" s="36"/>
    </row>
    <row r="227" spans="1:14" s="58" customFormat="1" x14ac:dyDescent="0.35">
      <c r="A227" s="53">
        <f t="shared" si="18"/>
        <v>7</v>
      </c>
      <c r="B227" s="59" t="s">
        <v>204</v>
      </c>
      <c r="C227" s="53" t="s">
        <v>203</v>
      </c>
      <c r="D227" s="60">
        <f>(42.04)*(10.764)</f>
        <v>452.51855999999998</v>
      </c>
      <c r="E227" s="53">
        <v>0</v>
      </c>
      <c r="F227" s="53">
        <f t="shared" si="17"/>
        <v>701.40376800000001</v>
      </c>
      <c r="G227" s="175"/>
      <c r="H227" s="176"/>
      <c r="I227" s="36"/>
      <c r="L227" s="182"/>
      <c r="M227" s="182"/>
      <c r="N227" s="36"/>
    </row>
    <row r="228" spans="1:14" s="58" customFormat="1" x14ac:dyDescent="0.35">
      <c r="A228" s="53">
        <f t="shared" si="18"/>
        <v>8</v>
      </c>
      <c r="B228" s="59" t="s">
        <v>204</v>
      </c>
      <c r="C228" s="53" t="s">
        <v>203</v>
      </c>
      <c r="D228" s="60">
        <f>(29.41)*(10.764)</f>
        <v>316.56923999999998</v>
      </c>
      <c r="E228" s="53">
        <v>0</v>
      </c>
      <c r="F228" s="53">
        <f t="shared" si="17"/>
        <v>490.682322</v>
      </c>
      <c r="G228" s="175"/>
      <c r="H228" s="176"/>
      <c r="I228" s="36"/>
      <c r="L228" s="182"/>
      <c r="M228" s="182"/>
      <c r="N228" s="36"/>
    </row>
    <row r="229" spans="1:14" s="58" customFormat="1" x14ac:dyDescent="0.35">
      <c r="A229" s="53">
        <f t="shared" si="18"/>
        <v>9</v>
      </c>
      <c r="B229" s="59" t="s">
        <v>204</v>
      </c>
      <c r="C229" s="53" t="s">
        <v>203</v>
      </c>
      <c r="D229" s="60">
        <f>(29.41)*(10.764)</f>
        <v>316.56923999999998</v>
      </c>
      <c r="E229" s="53">
        <v>0</v>
      </c>
      <c r="F229" s="53">
        <f t="shared" si="17"/>
        <v>490.682322</v>
      </c>
      <c r="G229" s="177"/>
      <c r="H229" s="178"/>
      <c r="I229" s="36">
        <f>5.05*2.4+1.65*1.1+2*2.25+2.9*2.4+1.1*0.45+1.05*1.17+1.35*0.08+1.35*0.08</f>
        <v>27.334500000000002</v>
      </c>
      <c r="L229" s="182"/>
      <c r="M229" s="182"/>
      <c r="N229" s="36"/>
    </row>
    <row r="230" spans="1:14" s="58" customFormat="1" x14ac:dyDescent="0.35">
      <c r="A230" s="91" t="s">
        <v>219</v>
      </c>
      <c r="B230" s="92"/>
      <c r="C230" s="92"/>
      <c r="D230" s="92"/>
      <c r="E230" s="92"/>
      <c r="F230" s="92"/>
      <c r="G230" s="92"/>
      <c r="H230" s="93"/>
      <c r="J230" s="36"/>
    </row>
    <row r="231" spans="1:14" s="58" customFormat="1" ht="15.75" customHeight="1" x14ac:dyDescent="0.35">
      <c r="A231" s="53">
        <v>1</v>
      </c>
      <c r="B231" s="59" t="s">
        <v>204</v>
      </c>
      <c r="C231" s="53" t="s">
        <v>203</v>
      </c>
      <c r="D231" s="60">
        <f>(41.4)*(10.764)</f>
        <v>445.62959999999998</v>
      </c>
      <c r="E231" s="53">
        <v>0</v>
      </c>
      <c r="F231" s="53">
        <f t="shared" ref="F231:F237" si="19">D231*(($F$140)+1)+(IF(E231&lt;101,E231,IF(E231&lt;201,E231/2,IF(E231&lt;=301,E231/3,E231/4))))</f>
        <v>690.72587999999996</v>
      </c>
      <c r="G231" s="173" t="str">
        <f>A230</f>
        <v>8th Floor (Part Refuge Area)</v>
      </c>
      <c r="H231" s="174"/>
      <c r="I231" s="36">
        <f>2.75*5.2+2.3*3.1+1.3*1.25+2.9*3.65+1.4*2.45+2.15*1.25+0.74*0.15</f>
        <v>39.868499999999997</v>
      </c>
      <c r="L231" s="182"/>
      <c r="M231" s="182"/>
      <c r="N231" s="36"/>
    </row>
    <row r="232" spans="1:14" s="58" customFormat="1" ht="15.75" customHeight="1" x14ac:dyDescent="0.35">
      <c r="A232" s="53">
        <f t="shared" ref="A232:A239" si="20">A231+1</f>
        <v>2</v>
      </c>
      <c r="B232" s="59" t="s">
        <v>204</v>
      </c>
      <c r="C232" s="53" t="s">
        <v>203</v>
      </c>
      <c r="D232" s="60">
        <f>(42.43)*(10.764)</f>
        <v>456.71651999999995</v>
      </c>
      <c r="E232" s="53">
        <v>0</v>
      </c>
      <c r="F232" s="53">
        <f t="shared" si="19"/>
        <v>707.91060599999992</v>
      </c>
      <c r="G232" s="175"/>
      <c r="H232" s="176"/>
      <c r="I232" s="36">
        <f>2.9*5.15+0.89*2.3+0.74*0.15+2.15*2.6+0.9*0.15+1.41*0.9+2.15*1.35+2.9*3.65+1.25*2.15</f>
        <v>40.262</v>
      </c>
      <c r="L232" s="182"/>
      <c r="M232" s="182"/>
      <c r="N232" s="36"/>
    </row>
    <row r="233" spans="1:14" s="58" customFormat="1" ht="15.75" customHeight="1" x14ac:dyDescent="0.35">
      <c r="A233" s="53">
        <f t="shared" si="20"/>
        <v>3</v>
      </c>
      <c r="B233" s="59" t="s">
        <v>204</v>
      </c>
      <c r="C233" s="53" t="s">
        <v>203</v>
      </c>
      <c r="D233" s="60">
        <f>(43.61)*(10.764)</f>
        <v>469.41803999999996</v>
      </c>
      <c r="E233" s="53">
        <v>0</v>
      </c>
      <c r="F233" s="53">
        <f t="shared" si="19"/>
        <v>727.59796199999994</v>
      </c>
      <c r="G233" s="175"/>
      <c r="H233" s="176"/>
      <c r="I233" s="36"/>
      <c r="L233" s="182"/>
      <c r="M233" s="182"/>
      <c r="N233" s="36"/>
    </row>
    <row r="234" spans="1:14" s="58" customFormat="1" ht="15.75" customHeight="1" x14ac:dyDescent="0.35">
      <c r="A234" s="53">
        <f t="shared" si="20"/>
        <v>4</v>
      </c>
      <c r="B234" s="59" t="s">
        <v>204</v>
      </c>
      <c r="C234" s="53" t="s">
        <v>203</v>
      </c>
      <c r="D234" s="60">
        <f>(39.72)*(10.764)</f>
        <v>427.54607999999996</v>
      </c>
      <c r="E234" s="53">
        <v>0</v>
      </c>
      <c r="F234" s="53">
        <f t="shared" si="19"/>
        <v>662.69642399999998</v>
      </c>
      <c r="G234" s="175"/>
      <c r="H234" s="176"/>
      <c r="I234" s="36"/>
      <c r="L234" s="182"/>
      <c r="M234" s="182"/>
      <c r="N234" s="36"/>
    </row>
    <row r="235" spans="1:14" s="58" customFormat="1" x14ac:dyDescent="0.35">
      <c r="A235" s="53">
        <f t="shared" si="20"/>
        <v>5</v>
      </c>
      <c r="B235" s="59" t="s">
        <v>204</v>
      </c>
      <c r="C235" s="53" t="s">
        <v>203</v>
      </c>
      <c r="D235" s="60">
        <f>(41.82)*(10.764)</f>
        <v>450.15047999999996</v>
      </c>
      <c r="E235" s="53">
        <v>0</v>
      </c>
      <c r="F235" s="53">
        <f t="shared" si="19"/>
        <v>697.73324400000001</v>
      </c>
      <c r="G235" s="175"/>
      <c r="H235" s="176"/>
      <c r="I235" s="36">
        <f>2.75*5.05+0.75*2.3+2.15*1.25+2.3*1.25+2.9*3.65+2.3*2.6+1.7*0.9+0.9*0.15</f>
        <v>39.404999999999994</v>
      </c>
      <c r="L235" s="182"/>
      <c r="M235" s="182"/>
      <c r="N235" s="36"/>
    </row>
    <row r="236" spans="1:14" s="58" customFormat="1" x14ac:dyDescent="0.35">
      <c r="A236" s="53">
        <f t="shared" si="20"/>
        <v>6</v>
      </c>
      <c r="B236" s="59" t="s">
        <v>204</v>
      </c>
      <c r="C236" s="53" t="s">
        <v>203</v>
      </c>
      <c r="D236" s="60">
        <f>(41.51)*(10.764)</f>
        <v>446.81363999999996</v>
      </c>
      <c r="E236" s="53">
        <v>0</v>
      </c>
      <c r="F236" s="53">
        <f t="shared" si="19"/>
        <v>692.56114200000002</v>
      </c>
      <c r="G236" s="175"/>
      <c r="H236" s="176"/>
      <c r="I236" s="36"/>
      <c r="L236" s="182"/>
      <c r="M236" s="182"/>
      <c r="N236" s="36"/>
    </row>
    <row r="237" spans="1:14" s="58" customFormat="1" x14ac:dyDescent="0.35">
      <c r="A237" s="53">
        <f t="shared" si="20"/>
        <v>7</v>
      </c>
      <c r="B237" s="59" t="s">
        <v>204</v>
      </c>
      <c r="C237" s="53" t="s">
        <v>203</v>
      </c>
      <c r="D237" s="60">
        <f>(42.04)*(10.764)</f>
        <v>452.51855999999998</v>
      </c>
      <c r="E237" s="53">
        <v>0</v>
      </c>
      <c r="F237" s="53">
        <f t="shared" si="19"/>
        <v>701.40376800000001</v>
      </c>
      <c r="G237" s="175"/>
      <c r="H237" s="176"/>
      <c r="I237" s="36"/>
      <c r="L237" s="182"/>
      <c r="M237" s="182"/>
      <c r="N237" s="36"/>
    </row>
    <row r="238" spans="1:14" s="58" customFormat="1" x14ac:dyDescent="0.35">
      <c r="A238" s="53">
        <f t="shared" si="20"/>
        <v>8</v>
      </c>
      <c r="B238" s="59" t="s">
        <v>207</v>
      </c>
      <c r="C238" s="173" t="s">
        <v>220</v>
      </c>
      <c r="D238" s="179"/>
      <c r="E238" s="179"/>
      <c r="F238" s="174"/>
      <c r="G238" s="175"/>
      <c r="H238" s="176"/>
      <c r="I238" s="36"/>
      <c r="L238" s="182"/>
      <c r="M238" s="182"/>
      <c r="N238" s="36"/>
    </row>
    <row r="239" spans="1:14" s="58" customFormat="1" x14ac:dyDescent="0.35">
      <c r="A239" s="53">
        <f t="shared" si="20"/>
        <v>9</v>
      </c>
      <c r="B239" s="59" t="s">
        <v>207</v>
      </c>
      <c r="C239" s="177"/>
      <c r="D239" s="180"/>
      <c r="E239" s="180"/>
      <c r="F239" s="178"/>
      <c r="G239" s="177"/>
      <c r="H239" s="178"/>
      <c r="I239" s="36">
        <f>5.05*2.4+1.65*1.1+2*2.25+2.9*2.4+1.1*0.45+1.05*1.17+1.35*0.08+1.35*0.08</f>
        <v>27.334500000000002</v>
      </c>
      <c r="L239" s="182"/>
      <c r="M239" s="182"/>
      <c r="N239" s="36"/>
    </row>
    <row r="240" spans="1:14" s="58" customFormat="1" x14ac:dyDescent="0.35">
      <c r="A240" s="91" t="s">
        <v>217</v>
      </c>
      <c r="B240" s="92"/>
      <c r="C240" s="92"/>
      <c r="D240" s="92"/>
      <c r="E240" s="92"/>
      <c r="F240" s="92"/>
      <c r="G240" s="92"/>
      <c r="H240" s="93"/>
      <c r="J240" s="36"/>
    </row>
    <row r="241" spans="1:14" s="58" customFormat="1" ht="15.75" customHeight="1" x14ac:dyDescent="0.35">
      <c r="A241" s="53">
        <v>1</v>
      </c>
      <c r="B241" s="59" t="s">
        <v>204</v>
      </c>
      <c r="C241" s="53" t="s">
        <v>203</v>
      </c>
      <c r="D241" s="60">
        <f>(41.4)*(10.764)</f>
        <v>445.62959999999998</v>
      </c>
      <c r="E241" s="53">
        <v>0</v>
      </c>
      <c r="F241" s="53">
        <f>D241*(($F$140)+1)+(IF(E241&lt;101,E241,IF(E241&lt;201,E241/2,IF(E241&lt;=301,E241/3,E241/4))))</f>
        <v>690.72587999999996</v>
      </c>
      <c r="G241" s="173" t="str">
        <f>A240</f>
        <v>12th Floor</v>
      </c>
      <c r="H241" s="174"/>
      <c r="I241" s="36">
        <f>2.75*5.2+2.3*3.1+1.3*1.25+2.9*3.65+1.4*2.45+2.15*1.25+0.74*0.15</f>
        <v>39.868499999999997</v>
      </c>
      <c r="L241" s="182"/>
      <c r="M241" s="182"/>
      <c r="N241" s="36"/>
    </row>
    <row r="242" spans="1:14" s="58" customFormat="1" ht="15.75" customHeight="1" x14ac:dyDescent="0.35">
      <c r="A242" s="53">
        <f t="shared" ref="A242:A249" si="21">A241+1</f>
        <v>2</v>
      </c>
      <c r="B242" s="59" t="s">
        <v>204</v>
      </c>
      <c r="C242" s="53" t="s">
        <v>203</v>
      </c>
      <c r="D242" s="60">
        <f>(42.43)*(10.764)</f>
        <v>456.71651999999995</v>
      </c>
      <c r="E242" s="53">
        <v>0</v>
      </c>
      <c r="F242" s="53">
        <f t="shared" ref="F242:F249" si="22">D242*(($F$140)+1)+(IF(E242&lt;101,E242,IF(E242&lt;201,E242/2,IF(E242&lt;=301,E242/3,E242/4))))</f>
        <v>707.91060599999992</v>
      </c>
      <c r="G242" s="175"/>
      <c r="H242" s="176"/>
      <c r="I242" s="36">
        <f>2.9*5.15+0.89*2.3+0.74*0.15+2.15*2.6+0.9*0.15+1.41*0.9+2.15*1.35+2.9*3.65+1.25*2.15</f>
        <v>40.262</v>
      </c>
      <c r="L242" s="182"/>
      <c r="M242" s="182"/>
      <c r="N242" s="36"/>
    </row>
    <row r="243" spans="1:14" s="58" customFormat="1" ht="15.75" customHeight="1" x14ac:dyDescent="0.35">
      <c r="A243" s="53">
        <f t="shared" si="21"/>
        <v>3</v>
      </c>
      <c r="B243" s="59" t="s">
        <v>204</v>
      </c>
      <c r="C243" s="53" t="s">
        <v>203</v>
      </c>
      <c r="D243" s="60">
        <f>(43.61)*(10.764)</f>
        <v>469.41803999999996</v>
      </c>
      <c r="E243" s="53">
        <v>0</v>
      </c>
      <c r="F243" s="53">
        <f t="shared" si="22"/>
        <v>727.59796199999994</v>
      </c>
      <c r="G243" s="175"/>
      <c r="H243" s="176"/>
      <c r="I243" s="36"/>
      <c r="L243" s="182"/>
      <c r="M243" s="182"/>
      <c r="N243" s="36"/>
    </row>
    <row r="244" spans="1:14" s="58" customFormat="1" ht="15.75" customHeight="1" x14ac:dyDescent="0.35">
      <c r="A244" s="53">
        <f t="shared" si="21"/>
        <v>4</v>
      </c>
      <c r="B244" s="59" t="s">
        <v>204</v>
      </c>
      <c r="C244" s="53" t="s">
        <v>203</v>
      </c>
      <c r="D244" s="60">
        <f>(39.72)*(10.764)</f>
        <v>427.54607999999996</v>
      </c>
      <c r="E244" s="53">
        <v>0</v>
      </c>
      <c r="F244" s="53">
        <f t="shared" si="22"/>
        <v>662.69642399999998</v>
      </c>
      <c r="G244" s="175"/>
      <c r="H244" s="176"/>
      <c r="I244" s="36"/>
      <c r="L244" s="182"/>
      <c r="M244" s="182"/>
      <c r="N244" s="36"/>
    </row>
    <row r="245" spans="1:14" s="58" customFormat="1" x14ac:dyDescent="0.35">
      <c r="A245" s="53">
        <f t="shared" si="21"/>
        <v>5</v>
      </c>
      <c r="B245" s="59" t="s">
        <v>204</v>
      </c>
      <c r="C245" s="53" t="s">
        <v>203</v>
      </c>
      <c r="D245" s="60">
        <f>(41.82)*(10.764)</f>
        <v>450.15047999999996</v>
      </c>
      <c r="E245" s="53">
        <v>0</v>
      </c>
      <c r="F245" s="53">
        <f t="shared" si="22"/>
        <v>697.73324400000001</v>
      </c>
      <c r="G245" s="175"/>
      <c r="H245" s="176"/>
      <c r="I245" s="36">
        <f>2.75*5.05+0.75*2.3+2.15*1.25+2.3*1.25+2.9*3.65+2.3*2.6+1.7*0.9+0.9*0.15</f>
        <v>39.404999999999994</v>
      </c>
      <c r="L245" s="182"/>
      <c r="M245" s="182"/>
      <c r="N245" s="36"/>
    </row>
    <row r="246" spans="1:14" s="58" customFormat="1" x14ac:dyDescent="0.35">
      <c r="A246" s="53">
        <f t="shared" si="21"/>
        <v>6</v>
      </c>
      <c r="B246" s="59" t="s">
        <v>204</v>
      </c>
      <c r="C246" s="53" t="s">
        <v>203</v>
      </c>
      <c r="D246" s="60">
        <f>(41.51)*(10.764)</f>
        <v>446.81363999999996</v>
      </c>
      <c r="E246" s="53">
        <v>0</v>
      </c>
      <c r="F246" s="53">
        <f t="shared" si="22"/>
        <v>692.56114200000002</v>
      </c>
      <c r="G246" s="175"/>
      <c r="H246" s="176"/>
      <c r="I246" s="36"/>
      <c r="L246" s="182"/>
      <c r="M246" s="182"/>
      <c r="N246" s="36"/>
    </row>
    <row r="247" spans="1:14" s="58" customFormat="1" x14ac:dyDescent="0.35">
      <c r="A247" s="53">
        <f t="shared" si="21"/>
        <v>7</v>
      </c>
      <c r="B247" s="59" t="s">
        <v>204</v>
      </c>
      <c r="C247" s="53" t="s">
        <v>203</v>
      </c>
      <c r="D247" s="60">
        <f>(42.04)*(10.764)</f>
        <v>452.51855999999998</v>
      </c>
      <c r="E247" s="53">
        <v>0</v>
      </c>
      <c r="F247" s="53">
        <f t="shared" si="22"/>
        <v>701.40376800000001</v>
      </c>
      <c r="G247" s="175"/>
      <c r="H247" s="176"/>
      <c r="I247" s="36"/>
      <c r="L247" s="182"/>
      <c r="M247" s="182"/>
      <c r="N247" s="36"/>
    </row>
    <row r="248" spans="1:14" s="58" customFormat="1" x14ac:dyDescent="0.35">
      <c r="A248" s="53">
        <f t="shared" si="21"/>
        <v>8</v>
      </c>
      <c r="B248" s="59" t="s">
        <v>204</v>
      </c>
      <c r="C248" s="53" t="s">
        <v>203</v>
      </c>
      <c r="D248" s="60">
        <f>(29.41)*(10.764)</f>
        <v>316.56923999999998</v>
      </c>
      <c r="E248" s="53">
        <v>0</v>
      </c>
      <c r="F248" s="53">
        <f t="shared" si="22"/>
        <v>490.682322</v>
      </c>
      <c r="G248" s="175"/>
      <c r="H248" s="176"/>
      <c r="I248" s="36"/>
      <c r="L248" s="182"/>
      <c r="M248" s="182"/>
      <c r="N248" s="36"/>
    </row>
    <row r="249" spans="1:14" s="58" customFormat="1" x14ac:dyDescent="0.35">
      <c r="A249" s="53">
        <f t="shared" si="21"/>
        <v>9</v>
      </c>
      <c r="B249" s="59" t="s">
        <v>204</v>
      </c>
      <c r="C249" s="53" t="s">
        <v>203</v>
      </c>
      <c r="D249" s="60">
        <f>(29.41)*(10.764)</f>
        <v>316.56923999999998</v>
      </c>
      <c r="E249" s="53">
        <v>0</v>
      </c>
      <c r="F249" s="53">
        <f t="shared" si="22"/>
        <v>490.682322</v>
      </c>
      <c r="G249" s="177"/>
      <c r="H249" s="178"/>
      <c r="I249" s="36">
        <f>5.05*2.4+1.65*1.1+2*2.25+2.9*2.4+1.1*0.45+1.05*1.17+1.35*0.08+1.35*0.08</f>
        <v>27.334500000000002</v>
      </c>
      <c r="L249" s="182"/>
      <c r="M249" s="182"/>
      <c r="N249" s="36"/>
    </row>
    <row r="250" spans="1:14" s="58" customFormat="1" x14ac:dyDescent="0.35">
      <c r="A250" s="91" t="s">
        <v>218</v>
      </c>
      <c r="B250" s="92"/>
      <c r="C250" s="92"/>
      <c r="D250" s="92"/>
      <c r="E250" s="92"/>
      <c r="F250" s="92"/>
      <c r="G250" s="92"/>
      <c r="H250" s="93"/>
      <c r="J250" s="36"/>
    </row>
    <row r="251" spans="1:14" s="58" customFormat="1" ht="15.75" customHeight="1" x14ac:dyDescent="0.35">
      <c r="A251" s="53">
        <v>1</v>
      </c>
      <c r="B251" s="59" t="s">
        <v>204</v>
      </c>
      <c r="C251" s="53" t="s">
        <v>203</v>
      </c>
      <c r="D251" s="60">
        <f>(41.4)*(10.764)</f>
        <v>445.62959999999998</v>
      </c>
      <c r="E251" s="53">
        <v>0</v>
      </c>
      <c r="F251" s="53">
        <f>D251*(($F$140)+1)+(IF(E251&lt;101,E251,IF(E251&lt;201,E251/2,IF(E251&lt;=301,E251/3,E251/4))))</f>
        <v>690.72587999999996</v>
      </c>
      <c r="G251" s="173" t="str">
        <f>A250</f>
        <v>13th, 14th &amp; 16th to 23rd Floor</v>
      </c>
      <c r="H251" s="174"/>
      <c r="I251" s="36">
        <f>2.75*5.2+2.3*3.1+1.3*1.25+2.9*3.65+1.4*2.45+2.15*1.25+0.74*0.15</f>
        <v>39.868499999999997</v>
      </c>
      <c r="L251" s="182"/>
      <c r="M251" s="182"/>
      <c r="N251" s="36"/>
    </row>
    <row r="252" spans="1:14" s="58" customFormat="1" ht="15.75" customHeight="1" x14ac:dyDescent="0.35">
      <c r="A252" s="53">
        <f t="shared" ref="A252:A259" si="23">A251+1</f>
        <v>2</v>
      </c>
      <c r="B252" s="59" t="s">
        <v>204</v>
      </c>
      <c r="C252" s="53" t="s">
        <v>203</v>
      </c>
      <c r="D252" s="60">
        <f>(42.43)*(10.764)</f>
        <v>456.71651999999995</v>
      </c>
      <c r="E252" s="53">
        <v>0</v>
      </c>
      <c r="F252" s="53">
        <f t="shared" ref="F252:F259" si="24">D252*(($F$140)+1)+(IF(E252&lt;101,E252,IF(E252&lt;201,E252/2,IF(E252&lt;=301,E252/3,E252/4))))</f>
        <v>707.91060599999992</v>
      </c>
      <c r="G252" s="175"/>
      <c r="H252" s="176"/>
      <c r="I252" s="36">
        <f>2.9*5.15+0.89*2.3+0.74*0.15+2.15*2.6+0.9*0.15+1.41*0.9+2.15*1.35+2.9*3.65+1.25*2.15</f>
        <v>40.262</v>
      </c>
      <c r="L252" s="182"/>
      <c r="M252" s="182"/>
      <c r="N252" s="36"/>
    </row>
    <row r="253" spans="1:14" s="58" customFormat="1" ht="15.75" customHeight="1" x14ac:dyDescent="0.35">
      <c r="A253" s="53">
        <f t="shared" si="23"/>
        <v>3</v>
      </c>
      <c r="B253" s="59" t="s">
        <v>204</v>
      </c>
      <c r="C253" s="53" t="s">
        <v>203</v>
      </c>
      <c r="D253" s="60">
        <f>(43.61)*(10.764)</f>
        <v>469.41803999999996</v>
      </c>
      <c r="E253" s="53">
        <v>0</v>
      </c>
      <c r="F253" s="53">
        <f t="shared" si="24"/>
        <v>727.59796199999994</v>
      </c>
      <c r="G253" s="175"/>
      <c r="H253" s="176"/>
      <c r="I253" s="36"/>
      <c r="L253" s="182"/>
      <c r="M253" s="182"/>
      <c r="N253" s="36"/>
    </row>
    <row r="254" spans="1:14" s="58" customFormat="1" ht="15.75" customHeight="1" x14ac:dyDescent="0.35">
      <c r="A254" s="53">
        <f t="shared" si="23"/>
        <v>4</v>
      </c>
      <c r="B254" s="59" t="s">
        <v>204</v>
      </c>
      <c r="C254" s="53" t="s">
        <v>203</v>
      </c>
      <c r="D254" s="60">
        <f>(39.72)*(10.764)</f>
        <v>427.54607999999996</v>
      </c>
      <c r="E254" s="53">
        <v>0</v>
      </c>
      <c r="F254" s="53">
        <f t="shared" si="24"/>
        <v>662.69642399999998</v>
      </c>
      <c r="G254" s="175"/>
      <c r="H254" s="176"/>
      <c r="I254" s="36"/>
      <c r="L254" s="182"/>
      <c r="M254" s="182"/>
      <c r="N254" s="36"/>
    </row>
    <row r="255" spans="1:14" s="58" customFormat="1" x14ac:dyDescent="0.35">
      <c r="A255" s="53">
        <f t="shared" si="23"/>
        <v>5</v>
      </c>
      <c r="B255" s="59" t="s">
        <v>204</v>
      </c>
      <c r="C255" s="53" t="s">
        <v>203</v>
      </c>
      <c r="D255" s="60">
        <f>(41.82)*(10.764)</f>
        <v>450.15047999999996</v>
      </c>
      <c r="E255" s="53">
        <v>0</v>
      </c>
      <c r="F255" s="53">
        <f t="shared" si="24"/>
        <v>697.73324400000001</v>
      </c>
      <c r="G255" s="175"/>
      <c r="H255" s="176"/>
      <c r="I255" s="36">
        <f>2.75*5.05+0.75*2.3+2.15*1.25+2.3*1.25+2.9*3.65+2.3*2.6+1.7*0.9+0.9*0.15</f>
        <v>39.404999999999994</v>
      </c>
      <c r="L255" s="182"/>
      <c r="M255" s="182"/>
      <c r="N255" s="36"/>
    </row>
    <row r="256" spans="1:14" s="58" customFormat="1" x14ac:dyDescent="0.35">
      <c r="A256" s="53">
        <f t="shared" si="23"/>
        <v>6</v>
      </c>
      <c r="B256" s="59" t="s">
        <v>204</v>
      </c>
      <c r="C256" s="53" t="s">
        <v>203</v>
      </c>
      <c r="D256" s="60">
        <f>(41.51)*(10.764)</f>
        <v>446.81363999999996</v>
      </c>
      <c r="E256" s="53">
        <v>0</v>
      </c>
      <c r="F256" s="53">
        <f t="shared" si="24"/>
        <v>692.56114200000002</v>
      </c>
      <c r="G256" s="175"/>
      <c r="H256" s="176"/>
      <c r="I256" s="36"/>
      <c r="L256" s="182"/>
      <c r="M256" s="182"/>
      <c r="N256" s="36"/>
    </row>
    <row r="257" spans="1:14" s="58" customFormat="1" x14ac:dyDescent="0.35">
      <c r="A257" s="53">
        <f t="shared" si="23"/>
        <v>7</v>
      </c>
      <c r="B257" s="59" t="s">
        <v>204</v>
      </c>
      <c r="C257" s="53" t="s">
        <v>203</v>
      </c>
      <c r="D257" s="60">
        <f>(42.04)*(10.764)</f>
        <v>452.51855999999998</v>
      </c>
      <c r="E257" s="53">
        <v>0</v>
      </c>
      <c r="F257" s="53">
        <f t="shared" si="24"/>
        <v>701.40376800000001</v>
      </c>
      <c r="G257" s="175"/>
      <c r="H257" s="176"/>
      <c r="I257" s="36"/>
      <c r="L257" s="182"/>
      <c r="M257" s="182"/>
      <c r="N257" s="36"/>
    </row>
    <row r="258" spans="1:14" s="58" customFormat="1" x14ac:dyDescent="0.35">
      <c r="A258" s="53">
        <f t="shared" si="23"/>
        <v>8</v>
      </c>
      <c r="B258" s="59" t="s">
        <v>204</v>
      </c>
      <c r="C258" s="53" t="s">
        <v>203</v>
      </c>
      <c r="D258" s="60">
        <f>(29.41)*(10.764)</f>
        <v>316.56923999999998</v>
      </c>
      <c r="E258" s="53">
        <v>0</v>
      </c>
      <c r="F258" s="53">
        <f t="shared" si="24"/>
        <v>490.682322</v>
      </c>
      <c r="G258" s="175"/>
      <c r="H258" s="176"/>
      <c r="I258" s="36"/>
      <c r="L258" s="182"/>
      <c r="M258" s="182"/>
      <c r="N258" s="36"/>
    </row>
    <row r="259" spans="1:14" s="58" customFormat="1" x14ac:dyDescent="0.35">
      <c r="A259" s="53">
        <f t="shared" si="23"/>
        <v>9</v>
      </c>
      <c r="B259" s="59" t="s">
        <v>204</v>
      </c>
      <c r="C259" s="53" t="s">
        <v>203</v>
      </c>
      <c r="D259" s="60">
        <f>(29.41)*(10.764)</f>
        <v>316.56923999999998</v>
      </c>
      <c r="E259" s="53">
        <v>0</v>
      </c>
      <c r="F259" s="53">
        <f t="shared" si="24"/>
        <v>490.682322</v>
      </c>
      <c r="G259" s="177"/>
      <c r="H259" s="178"/>
      <c r="I259" s="36">
        <f>5.05*2.4+1.65*1.1+2*2.25+2.9*2.4+1.1*0.45+1.05*1.17+1.35*0.08+1.35*0.08</f>
        <v>27.334500000000002</v>
      </c>
      <c r="L259" s="182"/>
      <c r="M259" s="182"/>
      <c r="N259" s="36"/>
    </row>
    <row r="260" spans="1:14" s="58" customFormat="1" x14ac:dyDescent="0.35">
      <c r="A260" s="91" t="s">
        <v>237</v>
      </c>
      <c r="B260" s="92"/>
      <c r="C260" s="92"/>
      <c r="D260" s="92"/>
      <c r="E260" s="92"/>
      <c r="F260" s="92"/>
      <c r="G260" s="92"/>
      <c r="H260" s="93"/>
      <c r="J260" s="36"/>
    </row>
    <row r="261" spans="1:14" s="58" customFormat="1" ht="15.75" customHeight="1" x14ac:dyDescent="0.35">
      <c r="A261" s="53">
        <v>1</v>
      </c>
      <c r="B261" s="59" t="s">
        <v>204</v>
      </c>
      <c r="C261" s="53" t="s">
        <v>203</v>
      </c>
      <c r="D261" s="60">
        <f>(41.4)*(10.764)</f>
        <v>445.62959999999998</v>
      </c>
      <c r="E261" s="53">
        <v>0</v>
      </c>
      <c r="F261" s="53">
        <f>D261*(($F$140)+1)+(IF(E261&lt;101,E261,IF(E261&lt;201,E261/2,IF(E261&lt;=301,E261/3,E261/4))))</f>
        <v>690.72587999999996</v>
      </c>
      <c r="G261" s="173" t="str">
        <f>A260</f>
        <v>15th Floor (Part Refuge Area) &amp; Society Office</v>
      </c>
      <c r="H261" s="174"/>
      <c r="I261" s="36">
        <f>2.75*5.2+2.3*3.1+1.3*1.25+2.9*3.65+1.4*2.45+2.15*1.25+0.74*0.15</f>
        <v>39.868499999999997</v>
      </c>
      <c r="L261" s="182"/>
      <c r="M261" s="182"/>
      <c r="N261" s="36"/>
    </row>
    <row r="262" spans="1:14" s="58" customFormat="1" ht="15.75" customHeight="1" x14ac:dyDescent="0.35">
      <c r="A262" s="53">
        <f t="shared" ref="A262:A269" si="25">A261+1</f>
        <v>2</v>
      </c>
      <c r="B262" s="59" t="s">
        <v>204</v>
      </c>
      <c r="C262" s="53" t="s">
        <v>203</v>
      </c>
      <c r="D262" s="60">
        <f>(42.43)*(10.764)</f>
        <v>456.71651999999995</v>
      </c>
      <c r="E262" s="53">
        <v>0</v>
      </c>
      <c r="F262" s="53">
        <f t="shared" ref="F262:F265" si="26">D262*(($F$140)+1)+(IF(E262&lt;101,E262,IF(E262&lt;201,E262/2,IF(E262&lt;=301,E262/3,E262/4))))</f>
        <v>707.91060599999992</v>
      </c>
      <c r="G262" s="175"/>
      <c r="H262" s="176"/>
      <c r="I262" s="36">
        <f>2.9*5.15+0.89*2.3+0.74*0.15+2.15*2.6+0.9*0.15+1.41*0.9+2.15*1.35+2.9*3.65+1.25*2.15</f>
        <v>40.262</v>
      </c>
      <c r="L262" s="182"/>
      <c r="M262" s="182"/>
      <c r="N262" s="36"/>
    </row>
    <row r="263" spans="1:14" s="58" customFormat="1" ht="15.75" customHeight="1" x14ac:dyDescent="0.35">
      <c r="A263" s="53">
        <f t="shared" si="25"/>
        <v>3</v>
      </c>
      <c r="B263" s="59" t="s">
        <v>204</v>
      </c>
      <c r="C263" s="53" t="s">
        <v>203</v>
      </c>
      <c r="D263" s="60">
        <f>(43.61)*(10.764)</f>
        <v>469.41803999999996</v>
      </c>
      <c r="E263" s="53">
        <v>0</v>
      </c>
      <c r="F263" s="53">
        <f t="shared" si="26"/>
        <v>727.59796199999994</v>
      </c>
      <c r="G263" s="175"/>
      <c r="H263" s="176"/>
      <c r="I263" s="36"/>
      <c r="L263" s="182"/>
      <c r="M263" s="182"/>
      <c r="N263" s="36"/>
    </row>
    <row r="264" spans="1:14" s="58" customFormat="1" ht="15.75" customHeight="1" x14ac:dyDescent="0.35">
      <c r="A264" s="53">
        <f t="shared" si="25"/>
        <v>4</v>
      </c>
      <c r="B264" s="59" t="s">
        <v>204</v>
      </c>
      <c r="C264" s="53" t="s">
        <v>203</v>
      </c>
      <c r="D264" s="60">
        <f>(39.72)*(10.764)</f>
        <v>427.54607999999996</v>
      </c>
      <c r="E264" s="53">
        <v>0</v>
      </c>
      <c r="F264" s="53">
        <f t="shared" si="26"/>
        <v>662.69642399999998</v>
      </c>
      <c r="G264" s="175"/>
      <c r="H264" s="176"/>
      <c r="I264" s="36"/>
      <c r="L264" s="182"/>
      <c r="M264" s="182"/>
      <c r="N264" s="36"/>
    </row>
    <row r="265" spans="1:14" s="58" customFormat="1" x14ac:dyDescent="0.35">
      <c r="A265" s="53">
        <f t="shared" si="25"/>
        <v>5</v>
      </c>
      <c r="B265" s="59" t="s">
        <v>204</v>
      </c>
      <c r="C265" s="53" t="s">
        <v>203</v>
      </c>
      <c r="D265" s="60">
        <f>(41.82)*(10.764)</f>
        <v>450.15047999999996</v>
      </c>
      <c r="E265" s="53">
        <v>0</v>
      </c>
      <c r="F265" s="53">
        <f t="shared" si="26"/>
        <v>697.73324400000001</v>
      </c>
      <c r="G265" s="175"/>
      <c r="H265" s="176"/>
      <c r="I265" s="36">
        <f>2.75*5.05+0.75*2.3+2.15*1.25+2.3*1.25+2.9*3.65+2.3*2.6+1.7*0.9+0.9*0.15</f>
        <v>39.404999999999994</v>
      </c>
      <c r="L265" s="182"/>
      <c r="M265" s="182"/>
      <c r="N265" s="36"/>
    </row>
    <row r="266" spans="1:14" s="58" customFormat="1" ht="15.75" customHeight="1" x14ac:dyDescent="0.35">
      <c r="A266" s="53">
        <f t="shared" si="25"/>
        <v>6</v>
      </c>
      <c r="B266" s="59" t="s">
        <v>207</v>
      </c>
      <c r="C266" s="186" t="s">
        <v>238</v>
      </c>
      <c r="D266" s="186"/>
      <c r="E266" s="186"/>
      <c r="F266" s="186"/>
      <c r="G266" s="175"/>
      <c r="H266" s="176"/>
      <c r="I266" s="36"/>
      <c r="L266" s="182"/>
      <c r="M266" s="182"/>
      <c r="N266" s="36"/>
    </row>
    <row r="267" spans="1:14" s="58" customFormat="1" x14ac:dyDescent="0.35">
      <c r="A267" s="53">
        <f t="shared" si="25"/>
        <v>7</v>
      </c>
      <c r="B267" s="59" t="s">
        <v>207</v>
      </c>
      <c r="C267" s="186"/>
      <c r="D267" s="186"/>
      <c r="E267" s="186"/>
      <c r="F267" s="186"/>
      <c r="G267" s="175"/>
      <c r="H267" s="176"/>
      <c r="I267" s="36"/>
      <c r="L267" s="182"/>
      <c r="M267" s="182"/>
      <c r="N267" s="36"/>
    </row>
    <row r="268" spans="1:14" s="58" customFormat="1" x14ac:dyDescent="0.35">
      <c r="A268" s="53">
        <f t="shared" si="25"/>
        <v>8</v>
      </c>
      <c r="B268" s="59" t="s">
        <v>207</v>
      </c>
      <c r="C268" s="186" t="s">
        <v>239</v>
      </c>
      <c r="D268" s="186"/>
      <c r="E268" s="186"/>
      <c r="F268" s="186"/>
      <c r="G268" s="175"/>
      <c r="H268" s="176"/>
      <c r="I268" s="36"/>
      <c r="L268" s="182"/>
      <c r="M268" s="182"/>
      <c r="N268" s="36"/>
    </row>
    <row r="269" spans="1:14" s="58" customFormat="1" x14ac:dyDescent="0.35">
      <c r="A269" s="53">
        <f t="shared" si="25"/>
        <v>9</v>
      </c>
      <c r="B269" s="59" t="s">
        <v>207</v>
      </c>
      <c r="C269" s="186" t="s">
        <v>238</v>
      </c>
      <c r="D269" s="186"/>
      <c r="E269" s="186"/>
      <c r="F269" s="186"/>
      <c r="G269" s="177"/>
      <c r="H269" s="178"/>
      <c r="I269" s="36">
        <f>5.05*2.4+1.65*1.1+2*2.25+2.9*2.4+1.1*0.45+1.05*1.17+1.35*0.08+1.35*0.08</f>
        <v>27.334500000000002</v>
      </c>
      <c r="L269" s="182"/>
      <c r="M269" s="182"/>
      <c r="N269" s="36"/>
    </row>
    <row r="270" spans="1:14" s="35" customFormat="1" x14ac:dyDescent="0.35">
      <c r="A270" s="166" t="s">
        <v>69</v>
      </c>
      <c r="B270" s="166"/>
      <c r="C270" s="166"/>
      <c r="D270" s="166"/>
      <c r="E270" s="166"/>
      <c r="F270" s="166"/>
      <c r="G270" s="166"/>
      <c r="H270" s="166"/>
    </row>
    <row r="271" spans="1:14" s="35" customFormat="1" x14ac:dyDescent="0.35">
      <c r="A271" s="47" t="s">
        <v>155</v>
      </c>
      <c r="B271" s="160" t="s">
        <v>245</v>
      </c>
      <c r="C271" s="161"/>
      <c r="D271" s="161"/>
      <c r="E271" s="161"/>
      <c r="F271" s="161"/>
      <c r="G271" s="161"/>
      <c r="H271" s="162"/>
      <c r="I271" s="63" t="s">
        <v>244</v>
      </c>
      <c r="J271" s="62"/>
    </row>
    <row r="272" spans="1:14" s="35" customFormat="1" x14ac:dyDescent="0.35">
      <c r="A272" s="47" t="s">
        <v>155</v>
      </c>
      <c r="B272" s="160" t="str">
        <f>(IF(F139="Saleable area Loading :","We have considered Saleable area of Flats as per our Calculation.","We considered Saleable area of Flat as per Builder area Sheet."))</f>
        <v>We have considered Saleable area of Flats as per our Calculation.</v>
      </c>
      <c r="C272" s="161"/>
      <c r="D272" s="161"/>
      <c r="E272" s="161"/>
      <c r="F272" s="161"/>
      <c r="G272" s="161"/>
      <c r="H272" s="162"/>
    </row>
    <row r="273" spans="1:8" s="35" customFormat="1" x14ac:dyDescent="0.35">
      <c r="A273" s="47" t="s">
        <v>155</v>
      </c>
      <c r="B273" s="160" t="str">
        <f>(IF(F123="Saleable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73" s="161"/>
      <c r="D273" s="161"/>
      <c r="E273" s="161"/>
      <c r="F273" s="161"/>
      <c r="G273" s="161"/>
      <c r="H273" s="162"/>
    </row>
    <row r="274" spans="1:8" s="35" customFormat="1" x14ac:dyDescent="0.35">
      <c r="A274" s="47" t="s">
        <v>155</v>
      </c>
      <c r="B274" s="65" t="s">
        <v>125</v>
      </c>
      <c r="C274" s="66"/>
      <c r="D274" s="66"/>
      <c r="E274" s="66"/>
      <c r="F274" s="66"/>
      <c r="G274" s="66"/>
      <c r="H274" s="67"/>
    </row>
    <row r="275" spans="1:8" s="35" customFormat="1" x14ac:dyDescent="0.35">
      <c r="A275" s="47" t="s">
        <v>155</v>
      </c>
      <c r="B275" s="65" t="s">
        <v>221</v>
      </c>
      <c r="C275" s="66"/>
      <c r="D275" s="66"/>
      <c r="E275" s="66"/>
      <c r="F275" s="66"/>
      <c r="G275" s="66"/>
      <c r="H275" s="67"/>
    </row>
    <row r="276" spans="1:8" s="35" customFormat="1" x14ac:dyDescent="0.35">
      <c r="A276" s="47" t="s">
        <v>155</v>
      </c>
      <c r="B276" s="65" t="s">
        <v>154</v>
      </c>
      <c r="C276" s="66"/>
      <c r="D276" s="66"/>
      <c r="E276" s="66"/>
      <c r="F276" s="66"/>
      <c r="G276" s="66"/>
      <c r="H276" s="67"/>
    </row>
    <row r="277" spans="1:8" s="35" customFormat="1" x14ac:dyDescent="0.35">
      <c r="A277" s="47" t="s">
        <v>155</v>
      </c>
      <c r="B277" s="65" t="s">
        <v>126</v>
      </c>
      <c r="C277" s="66"/>
      <c r="D277" s="66"/>
      <c r="E277" s="66"/>
      <c r="F277" s="66"/>
      <c r="G277" s="66"/>
      <c r="H277" s="67"/>
    </row>
    <row r="278" spans="1:8" s="35" customFormat="1" ht="34.5" customHeight="1" x14ac:dyDescent="0.35">
      <c r="A278" s="47" t="s">
        <v>155</v>
      </c>
      <c r="B278" s="65" t="s">
        <v>156</v>
      </c>
      <c r="C278" s="66"/>
      <c r="D278" s="66"/>
      <c r="E278" s="66"/>
      <c r="F278" s="66"/>
      <c r="G278" s="66"/>
      <c r="H278" s="67"/>
    </row>
    <row r="279" spans="1:8" s="35" customFormat="1" x14ac:dyDescent="0.35">
      <c r="A279" s="47" t="s">
        <v>155</v>
      </c>
      <c r="B279" s="65" t="s">
        <v>127</v>
      </c>
      <c r="C279" s="66"/>
      <c r="D279" s="66"/>
      <c r="E279" s="66"/>
      <c r="F279" s="66"/>
      <c r="G279" s="66"/>
      <c r="H279" s="67"/>
    </row>
    <row r="280" spans="1:8" s="35" customFormat="1" x14ac:dyDescent="0.35">
      <c r="A280" s="56" t="s">
        <v>155</v>
      </c>
      <c r="B280" s="65" t="s">
        <v>226</v>
      </c>
      <c r="C280" s="66"/>
      <c r="D280" s="66"/>
      <c r="E280" s="66"/>
      <c r="F280" s="66"/>
      <c r="G280" s="66"/>
      <c r="H280" s="67"/>
    </row>
    <row r="281" spans="1:8" s="35" customFormat="1" ht="32.25" customHeight="1" x14ac:dyDescent="0.35">
      <c r="A281" s="56" t="s">
        <v>155</v>
      </c>
      <c r="B281" s="65" t="s">
        <v>246</v>
      </c>
      <c r="C281" s="66"/>
      <c r="D281" s="66"/>
      <c r="E281" s="66"/>
      <c r="F281" s="66"/>
      <c r="G281" s="66"/>
      <c r="H281" s="67"/>
    </row>
    <row r="282" spans="1:8" x14ac:dyDescent="0.35">
      <c r="A282" s="158" t="s">
        <v>62</v>
      </c>
      <c r="B282" s="158"/>
      <c r="C282" s="158"/>
      <c r="D282" s="158"/>
      <c r="E282" s="158"/>
      <c r="F282" s="158"/>
      <c r="G282" s="158"/>
      <c r="H282" s="158"/>
    </row>
    <row r="283" spans="1:8" x14ac:dyDescent="0.35">
      <c r="A283" s="83" t="s">
        <v>63</v>
      </c>
      <c r="B283" s="83"/>
      <c r="C283" s="83"/>
      <c r="D283" s="83"/>
      <c r="E283" s="83"/>
      <c r="F283" s="83"/>
      <c r="G283" s="83"/>
      <c r="H283" s="83"/>
    </row>
    <row r="284" spans="1:8" ht="15.75" customHeight="1" x14ac:dyDescent="0.35">
      <c r="A284" s="172" t="s">
        <v>64</v>
      </c>
      <c r="B284" s="172"/>
      <c r="C284" s="172"/>
      <c r="D284" s="172"/>
      <c r="E284" s="172"/>
      <c r="F284" s="172"/>
      <c r="G284" s="172"/>
      <c r="H284" s="172"/>
    </row>
    <row r="285" spans="1:8" x14ac:dyDescent="0.35">
      <c r="A285" s="83" t="s">
        <v>65</v>
      </c>
      <c r="B285" s="83"/>
      <c r="C285" s="83"/>
      <c r="D285" s="83"/>
      <c r="E285" s="83"/>
      <c r="F285" s="83"/>
      <c r="G285" s="83"/>
      <c r="H285" s="83"/>
    </row>
    <row r="286" spans="1:8" x14ac:dyDescent="0.35">
      <c r="A286" s="83" t="s">
        <v>66</v>
      </c>
      <c r="B286" s="83"/>
      <c r="C286" s="83"/>
      <c r="D286" s="83"/>
      <c r="E286" s="83"/>
      <c r="F286" s="83"/>
      <c r="G286" s="83"/>
      <c r="H286" s="83"/>
    </row>
    <row r="287" spans="1:8" x14ac:dyDescent="0.35">
      <c r="A287" s="83" t="s">
        <v>128</v>
      </c>
      <c r="B287" s="83"/>
      <c r="C287" s="83"/>
      <c r="D287" s="83"/>
      <c r="E287" s="83"/>
      <c r="F287" s="83"/>
      <c r="G287" s="83"/>
      <c r="H287" s="83"/>
    </row>
    <row r="288" spans="1:8" x14ac:dyDescent="0.35">
      <c r="A288" s="125" t="s">
        <v>129</v>
      </c>
      <c r="B288" s="125"/>
      <c r="C288" s="125"/>
      <c r="D288" s="125"/>
      <c r="E288" s="125"/>
      <c r="F288" s="125"/>
      <c r="G288" s="125"/>
      <c r="H288" s="125"/>
    </row>
    <row r="289" spans="1:8" x14ac:dyDescent="0.35">
      <c r="A289" s="156" t="s">
        <v>79</v>
      </c>
      <c r="B289" s="156"/>
      <c r="C289" s="156" t="s">
        <v>249</v>
      </c>
      <c r="D289" s="156"/>
      <c r="E289" s="156" t="s">
        <v>109</v>
      </c>
      <c r="F289" s="156"/>
      <c r="G289" s="156" t="s">
        <v>248</v>
      </c>
      <c r="H289" s="156"/>
    </row>
    <row r="290" spans="1:8" x14ac:dyDescent="0.35">
      <c r="A290" s="155" t="s">
        <v>81</v>
      </c>
      <c r="B290" s="155"/>
      <c r="C290" s="155"/>
      <c r="D290" s="155"/>
      <c r="E290" s="155"/>
      <c r="F290" s="155"/>
      <c r="G290" s="155"/>
      <c r="H290" s="155"/>
    </row>
    <row r="291" spans="1:8" x14ac:dyDescent="0.35">
      <c r="A291" s="155"/>
      <c r="B291" s="155"/>
      <c r="C291" s="155"/>
      <c r="D291" s="155"/>
      <c r="E291" s="155"/>
      <c r="F291" s="155"/>
      <c r="G291" s="155"/>
      <c r="H291" s="155"/>
    </row>
    <row r="292" spans="1:8" x14ac:dyDescent="0.35">
      <c r="A292" s="155"/>
      <c r="B292" s="155"/>
      <c r="C292" s="155"/>
      <c r="D292" s="155"/>
      <c r="E292" s="155"/>
      <c r="F292" s="155"/>
      <c r="G292" s="155"/>
      <c r="H292" s="155"/>
    </row>
    <row r="293" spans="1:8" x14ac:dyDescent="0.35">
      <c r="A293" s="38" t="s">
        <v>67</v>
      </c>
      <c r="B293" s="39"/>
      <c r="C293" s="39"/>
      <c r="D293" s="38" t="str">
        <f>E8</f>
        <v>Ashtavinayak Apartments</v>
      </c>
      <c r="F293" s="39"/>
      <c r="G293" s="39"/>
      <c r="H293" s="39"/>
    </row>
    <row r="294" spans="1:8" x14ac:dyDescent="0.35">
      <c r="A294" s="39"/>
      <c r="B294" s="39"/>
      <c r="C294" s="39"/>
      <c r="D294" s="39"/>
      <c r="E294" s="39"/>
      <c r="F294" s="39"/>
      <c r="G294" s="39"/>
      <c r="H294" s="39"/>
    </row>
    <row r="295" spans="1:8" x14ac:dyDescent="0.35">
      <c r="A295" s="39"/>
      <c r="B295" s="39"/>
      <c r="C295" s="39"/>
      <c r="D295" s="39"/>
      <c r="E295" s="39"/>
      <c r="F295" s="39"/>
      <c r="G295" s="39"/>
      <c r="H295" s="39"/>
    </row>
    <row r="296" spans="1:8" ht="15" customHeight="1" x14ac:dyDescent="0.35"/>
    <row r="337" spans="1:1" x14ac:dyDescent="0.35">
      <c r="A337" s="41" t="s">
        <v>168</v>
      </c>
    </row>
    <row r="379" spans="1:1" x14ac:dyDescent="0.35">
      <c r="A379" s="41" t="s">
        <v>68</v>
      </c>
    </row>
  </sheetData>
  <mergeCells count="400">
    <mergeCell ref="A141:H141"/>
    <mergeCell ref="C266:F267"/>
    <mergeCell ref="C268:F268"/>
    <mergeCell ref="C269:F269"/>
    <mergeCell ref="B281:H281"/>
    <mergeCell ref="A260:H260"/>
    <mergeCell ref="D60:H60"/>
    <mergeCell ref="A59:C60"/>
    <mergeCell ref="A126:H126"/>
    <mergeCell ref="A116:A117"/>
    <mergeCell ref="C118:D118"/>
    <mergeCell ref="E118:F118"/>
    <mergeCell ref="E119:F119"/>
    <mergeCell ref="G261:H269"/>
    <mergeCell ref="A230:H230"/>
    <mergeCell ref="G231:H239"/>
    <mergeCell ref="C238:F239"/>
    <mergeCell ref="A250:H250"/>
    <mergeCell ref="G251:H259"/>
    <mergeCell ref="A240:H240"/>
    <mergeCell ref="G241:H249"/>
    <mergeCell ref="G172:H179"/>
    <mergeCell ref="G221:H229"/>
    <mergeCell ref="A189:H189"/>
    <mergeCell ref="A162:H162"/>
    <mergeCell ref="G163:H170"/>
    <mergeCell ref="A144:H144"/>
    <mergeCell ref="L261:M261"/>
    <mergeCell ref="L262:M262"/>
    <mergeCell ref="L263:M263"/>
    <mergeCell ref="L264:M264"/>
    <mergeCell ref="L265:M265"/>
    <mergeCell ref="L266:M266"/>
    <mergeCell ref="L231:M231"/>
    <mergeCell ref="L232:M232"/>
    <mergeCell ref="L233:M233"/>
    <mergeCell ref="L234:M234"/>
    <mergeCell ref="L235:M235"/>
    <mergeCell ref="L236:M236"/>
    <mergeCell ref="L237:M237"/>
    <mergeCell ref="L238:M238"/>
    <mergeCell ref="L239:M239"/>
    <mergeCell ref="L242:M242"/>
    <mergeCell ref="L243:M243"/>
    <mergeCell ref="L244:M244"/>
    <mergeCell ref="L245:M245"/>
    <mergeCell ref="L246:M246"/>
    <mergeCell ref="L247:M247"/>
    <mergeCell ref="L267:M267"/>
    <mergeCell ref="L268:M268"/>
    <mergeCell ref="L269:M269"/>
    <mergeCell ref="L252:M252"/>
    <mergeCell ref="L253:M253"/>
    <mergeCell ref="L254:M254"/>
    <mergeCell ref="L255:M255"/>
    <mergeCell ref="L256:M256"/>
    <mergeCell ref="L257:M257"/>
    <mergeCell ref="L258:M258"/>
    <mergeCell ref="L259:M259"/>
    <mergeCell ref="L248:M248"/>
    <mergeCell ref="L249:M249"/>
    <mergeCell ref="L251:M251"/>
    <mergeCell ref="L222:M222"/>
    <mergeCell ref="L223:M223"/>
    <mergeCell ref="L224:M224"/>
    <mergeCell ref="L225:M225"/>
    <mergeCell ref="L226:M226"/>
    <mergeCell ref="L227:M227"/>
    <mergeCell ref="L228:M228"/>
    <mergeCell ref="L229:M229"/>
    <mergeCell ref="L241:M241"/>
    <mergeCell ref="A142:H142"/>
    <mergeCell ref="A220:H220"/>
    <mergeCell ref="G154:H161"/>
    <mergeCell ref="C154:F157"/>
    <mergeCell ref="A180:H180"/>
    <mergeCell ref="G181:H188"/>
    <mergeCell ref="C181:F183"/>
    <mergeCell ref="A171:H171"/>
    <mergeCell ref="L221:M221"/>
    <mergeCell ref="L198:M198"/>
    <mergeCell ref="L199:M199"/>
    <mergeCell ref="G191:H199"/>
    <mergeCell ref="A210:H210"/>
    <mergeCell ref="G211:H219"/>
    <mergeCell ref="L211:M211"/>
    <mergeCell ref="L212:M212"/>
    <mergeCell ref="L213:M213"/>
    <mergeCell ref="L214:M214"/>
    <mergeCell ref="L215:M215"/>
    <mergeCell ref="L216:M216"/>
    <mergeCell ref="L217:M217"/>
    <mergeCell ref="L218:M218"/>
    <mergeCell ref="L219:M219"/>
    <mergeCell ref="C198:F198"/>
    <mergeCell ref="L195:M195"/>
    <mergeCell ref="L196:M196"/>
    <mergeCell ref="L197:M197"/>
    <mergeCell ref="L200:M200"/>
    <mergeCell ref="L194:M194"/>
    <mergeCell ref="L191:M191"/>
    <mergeCell ref="L192:M192"/>
    <mergeCell ref="L193:M193"/>
    <mergeCell ref="G201:H209"/>
    <mergeCell ref="L135:M135"/>
    <mergeCell ref="G119:H119"/>
    <mergeCell ref="L136:M136"/>
    <mergeCell ref="L137:M137"/>
    <mergeCell ref="G128:H137"/>
    <mergeCell ref="L132:M132"/>
    <mergeCell ref="G116:H116"/>
    <mergeCell ref="L133:M133"/>
    <mergeCell ref="G117:H117"/>
    <mergeCell ref="L134:M134"/>
    <mergeCell ref="L131:M131"/>
    <mergeCell ref="L130:M130"/>
    <mergeCell ref="L129:M129"/>
    <mergeCell ref="L128:M128"/>
    <mergeCell ref="A125:H125"/>
    <mergeCell ref="E43:H43"/>
    <mergeCell ref="A43:D43"/>
    <mergeCell ref="A287:H287"/>
    <mergeCell ref="A284:H284"/>
    <mergeCell ref="A115:B115"/>
    <mergeCell ref="D139:D140"/>
    <mergeCell ref="E139:E140"/>
    <mergeCell ref="G139:H140"/>
    <mergeCell ref="A90:B90"/>
    <mergeCell ref="A91:B91"/>
    <mergeCell ref="A92:B92"/>
    <mergeCell ref="A82:B82"/>
    <mergeCell ref="C82:H82"/>
    <mergeCell ref="A77:B77"/>
    <mergeCell ref="F97:H97"/>
    <mergeCell ref="G112:H112"/>
    <mergeCell ref="A50:B50"/>
    <mergeCell ref="C50:E50"/>
    <mergeCell ref="G50:H50"/>
    <mergeCell ref="G52:H52"/>
    <mergeCell ref="G118:H118"/>
    <mergeCell ref="G145:H152"/>
    <mergeCell ref="C146:F147"/>
    <mergeCell ref="C149:F152"/>
    <mergeCell ref="C51:E51"/>
    <mergeCell ref="A54:B54"/>
    <mergeCell ref="C54:E54"/>
    <mergeCell ref="A51:B51"/>
    <mergeCell ref="A55:H55"/>
    <mergeCell ref="A56:C56"/>
    <mergeCell ref="A57:C57"/>
    <mergeCell ref="D57:H57"/>
    <mergeCell ref="G54:H54"/>
    <mergeCell ref="C53:H53"/>
    <mergeCell ref="A283:H283"/>
    <mergeCell ref="E115:F115"/>
    <mergeCell ref="B279:H279"/>
    <mergeCell ref="B277:H277"/>
    <mergeCell ref="B273:H273"/>
    <mergeCell ref="A121:H121"/>
    <mergeCell ref="B271:H271"/>
    <mergeCell ref="B272:H272"/>
    <mergeCell ref="C116:D116"/>
    <mergeCell ref="E116:F116"/>
    <mergeCell ref="A138:H138"/>
    <mergeCell ref="A139:A140"/>
    <mergeCell ref="B274:H274"/>
    <mergeCell ref="B275:H275"/>
    <mergeCell ref="A270:H270"/>
    <mergeCell ref="B139:B140"/>
    <mergeCell ref="A122:H122"/>
    <mergeCell ref="A120:B120"/>
    <mergeCell ref="C120:D120"/>
    <mergeCell ref="E120:F120"/>
    <mergeCell ref="G120:H120"/>
    <mergeCell ref="A143:H143"/>
    <mergeCell ref="A153:H153"/>
    <mergeCell ref="C209:F209"/>
    <mergeCell ref="A290:H292"/>
    <mergeCell ref="A289:B289"/>
    <mergeCell ref="E289:F289"/>
    <mergeCell ref="C289:D289"/>
    <mergeCell ref="G289:H289"/>
    <mergeCell ref="A110:H110"/>
    <mergeCell ref="A108:E108"/>
    <mergeCell ref="F108:H108"/>
    <mergeCell ref="A109:E109"/>
    <mergeCell ref="F109:H109"/>
    <mergeCell ref="A200:H200"/>
    <mergeCell ref="A285:H285"/>
    <mergeCell ref="A114:H114"/>
    <mergeCell ref="A288:H288"/>
    <mergeCell ref="A286:H286"/>
    <mergeCell ref="A282:H282"/>
    <mergeCell ref="C115:D115"/>
    <mergeCell ref="G115:H115"/>
    <mergeCell ref="B123:B124"/>
    <mergeCell ref="A123:A124"/>
    <mergeCell ref="C139:C140"/>
    <mergeCell ref="C119:D119"/>
    <mergeCell ref="A190:H190"/>
    <mergeCell ref="E111:F111"/>
    <mergeCell ref="A73:B73"/>
    <mergeCell ref="A75:B75"/>
    <mergeCell ref="E71:F71"/>
    <mergeCell ref="A64:C64"/>
    <mergeCell ref="D64:H64"/>
    <mergeCell ref="A67:C67"/>
    <mergeCell ref="D67:H67"/>
    <mergeCell ref="A65:C65"/>
    <mergeCell ref="D65:H65"/>
    <mergeCell ref="A66:C66"/>
    <mergeCell ref="D66:H66"/>
    <mergeCell ref="A72:B72"/>
    <mergeCell ref="G71:H7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7:B17"/>
    <mergeCell ref="A13:D13"/>
    <mergeCell ref="E13:H13"/>
    <mergeCell ref="A14:D14"/>
    <mergeCell ref="A10:D10"/>
    <mergeCell ref="E10:H10"/>
    <mergeCell ref="A23:D24"/>
    <mergeCell ref="E23:H24"/>
    <mergeCell ref="E14:H14"/>
    <mergeCell ref="A16:B16"/>
    <mergeCell ref="C16:H16"/>
    <mergeCell ref="C17:H17"/>
    <mergeCell ref="A18:B18"/>
    <mergeCell ref="C18:H18"/>
    <mergeCell ref="A15:B15"/>
    <mergeCell ref="C15:H15"/>
    <mergeCell ref="A12:D12"/>
    <mergeCell ref="E12:H12"/>
    <mergeCell ref="A11:D11"/>
    <mergeCell ref="E11:H11"/>
    <mergeCell ref="A25:D25"/>
    <mergeCell ref="E25:H25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E27:H27"/>
    <mergeCell ref="A29:D29"/>
    <mergeCell ref="E29:H29"/>
    <mergeCell ref="A26:D26"/>
    <mergeCell ref="E26:H26"/>
    <mergeCell ref="A30:D30"/>
    <mergeCell ref="E30:H30"/>
    <mergeCell ref="A27:D27"/>
    <mergeCell ref="A36:B36"/>
    <mergeCell ref="C36:E36"/>
    <mergeCell ref="A31:D31"/>
    <mergeCell ref="E31:H31"/>
    <mergeCell ref="A32:D32"/>
    <mergeCell ref="E32:H32"/>
    <mergeCell ref="A28:D28"/>
    <mergeCell ref="E28:H28"/>
    <mergeCell ref="C33:E33"/>
    <mergeCell ref="F36:H36"/>
    <mergeCell ref="F33:H33"/>
    <mergeCell ref="A34:B34"/>
    <mergeCell ref="A33:B33"/>
    <mergeCell ref="C34:E34"/>
    <mergeCell ref="A35:B35"/>
    <mergeCell ref="C35:E35"/>
    <mergeCell ref="A38:H38"/>
    <mergeCell ref="A37:B37"/>
    <mergeCell ref="C37:E37"/>
    <mergeCell ref="A42:D42"/>
    <mergeCell ref="E42:H42"/>
    <mergeCell ref="F34:H34"/>
    <mergeCell ref="F35:H35"/>
    <mergeCell ref="A41:H41"/>
    <mergeCell ref="A61:C61"/>
    <mergeCell ref="A39:B39"/>
    <mergeCell ref="C39:H39"/>
    <mergeCell ref="A40:B40"/>
    <mergeCell ref="C40:H40"/>
    <mergeCell ref="A45:D45"/>
    <mergeCell ref="F37:H37"/>
    <mergeCell ref="A47:D47"/>
    <mergeCell ref="A48:H48"/>
    <mergeCell ref="D58:H58"/>
    <mergeCell ref="A58:C58"/>
    <mergeCell ref="G51:H51"/>
    <mergeCell ref="A52:B53"/>
    <mergeCell ref="D56:H56"/>
    <mergeCell ref="C52:E52"/>
    <mergeCell ref="D59:H59"/>
    <mergeCell ref="A62:C62"/>
    <mergeCell ref="D61:H61"/>
    <mergeCell ref="E72:F81"/>
    <mergeCell ref="G72:H81"/>
    <mergeCell ref="A80:B80"/>
    <mergeCell ref="A81:B81"/>
    <mergeCell ref="D62:H62"/>
    <mergeCell ref="A44:D44"/>
    <mergeCell ref="E44:H44"/>
    <mergeCell ref="E45:H45"/>
    <mergeCell ref="E46:H46"/>
    <mergeCell ref="E47:H47"/>
    <mergeCell ref="A46:D46"/>
    <mergeCell ref="A79:B79"/>
    <mergeCell ref="A78:B78"/>
    <mergeCell ref="A71:B71"/>
    <mergeCell ref="A74:B74"/>
    <mergeCell ref="A70:B70"/>
    <mergeCell ref="A68:B68"/>
    <mergeCell ref="C68:H68"/>
    <mergeCell ref="A76:B76"/>
    <mergeCell ref="A63:C63"/>
    <mergeCell ref="D63:H63"/>
    <mergeCell ref="C70:H70"/>
    <mergeCell ref="A86:B86"/>
    <mergeCell ref="E86:F95"/>
    <mergeCell ref="A93:B93"/>
    <mergeCell ref="A94:B94"/>
    <mergeCell ref="F96:H96"/>
    <mergeCell ref="F101:H101"/>
    <mergeCell ref="A107:E107"/>
    <mergeCell ref="E113:F113"/>
    <mergeCell ref="G113:H113"/>
    <mergeCell ref="A113:B113"/>
    <mergeCell ref="C113:D113"/>
    <mergeCell ref="A95:B95"/>
    <mergeCell ref="F106:H106"/>
    <mergeCell ref="A111:B111"/>
    <mergeCell ref="F104:H104"/>
    <mergeCell ref="C111:D111"/>
    <mergeCell ref="F107:H107"/>
    <mergeCell ref="F105:H105"/>
    <mergeCell ref="G111:H111"/>
    <mergeCell ref="A106:E106"/>
    <mergeCell ref="C112:D112"/>
    <mergeCell ref="E112:F112"/>
    <mergeCell ref="A99:E99"/>
    <mergeCell ref="A96:E96"/>
    <mergeCell ref="A104:E104"/>
    <mergeCell ref="F100:H100"/>
    <mergeCell ref="A101:E101"/>
    <mergeCell ref="F103:H103"/>
    <mergeCell ref="A97:E97"/>
    <mergeCell ref="A127:H127"/>
    <mergeCell ref="E123:E124"/>
    <mergeCell ref="G123:H124"/>
    <mergeCell ref="C117:D117"/>
    <mergeCell ref="E117:F117"/>
    <mergeCell ref="C123:C124"/>
    <mergeCell ref="A119:B119"/>
    <mergeCell ref="B280:H280"/>
    <mergeCell ref="I15:N15"/>
    <mergeCell ref="B278:H278"/>
    <mergeCell ref="A49:B49"/>
    <mergeCell ref="C49:H49"/>
    <mergeCell ref="B276:H276"/>
    <mergeCell ref="G86:H95"/>
    <mergeCell ref="A87:B87"/>
    <mergeCell ref="A88:B88"/>
    <mergeCell ref="A89:B89"/>
    <mergeCell ref="F98:H98"/>
    <mergeCell ref="A98:E98"/>
    <mergeCell ref="D123:D124"/>
    <mergeCell ref="A100:E100"/>
    <mergeCell ref="A84:B84"/>
    <mergeCell ref="C84:H84"/>
    <mergeCell ref="A85:B85"/>
    <mergeCell ref="E85:F85"/>
    <mergeCell ref="G85:H85"/>
    <mergeCell ref="A102:E102"/>
    <mergeCell ref="F102:H102"/>
    <mergeCell ref="A103:E103"/>
    <mergeCell ref="A105:E105"/>
    <mergeCell ref="F99:H99"/>
  </mergeCells>
  <hyperlinks>
    <hyperlink ref="C40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scale="95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7" max="7" man="1"/>
    <brk id="292" max="16383" man="1"/>
    <brk id="336" max="16383" man="1"/>
    <brk id="37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91" t="s">
        <v>110</v>
      </c>
      <c r="C3" s="191"/>
      <c r="D3" s="191"/>
      <c r="E3" s="191"/>
      <c r="F3" s="191"/>
      <c r="G3" s="191"/>
      <c r="H3" s="191"/>
    </row>
    <row r="4" spans="1:9" x14ac:dyDescent="0.35">
      <c r="A4" s="2"/>
      <c r="B4" s="3" t="s">
        <v>111</v>
      </c>
      <c r="C4" s="3" t="s">
        <v>112</v>
      </c>
      <c r="D4" s="3" t="s">
        <v>70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3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2025-08-28T05:01:05Z</cp:lastPrinted>
  <dcterms:created xsi:type="dcterms:W3CDTF">2019-07-16T09:29:46Z</dcterms:created>
  <dcterms:modified xsi:type="dcterms:W3CDTF">2025-08-28T05:03:26Z</dcterms:modified>
</cp:coreProperties>
</file>