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51\Downloads\18993 - 25 Downtown Wing 1 (Emerald Palm), Wing 2 (Pearl) &amp; Wing 3 (Sapphire Terrace)\"/>
    </mc:Choice>
  </mc:AlternateContent>
  <bookViews>
    <workbookView xWindow="0" yWindow="0" windowWidth="20490" windowHeight="6855" tabRatio="725"/>
  </bookViews>
  <sheets>
    <sheet name="Report" sheetId="1" r:id="rId1"/>
    <sheet name="valuation" sheetId="5" r:id="rId2"/>
    <sheet name="Research" sheetId="4" r:id="rId3"/>
    <sheet name="Remarks" sheetId="6" r:id="rId4"/>
    <sheet name="Wing 3 (Area)" sheetId="8" r:id="rId5"/>
    <sheet name="Area Calculation" sheetId="7" r:id="rId6"/>
  </sheets>
  <definedNames>
    <definedName name="_xlnm.Print_Area" localSheetId="0">Report!$A$1:$H$387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4" i="1" l="1"/>
  <c r="E134" i="1"/>
  <c r="C134" i="1"/>
  <c r="D152" i="1"/>
  <c r="F152" i="1" s="1"/>
  <c r="H152" i="1" s="1"/>
  <c r="E203" i="1"/>
  <c r="E202" i="1"/>
  <c r="D203" i="1"/>
  <c r="D202" i="1"/>
  <c r="L85" i="8"/>
  <c r="I85" i="8"/>
  <c r="E85" i="8"/>
  <c r="L84" i="8"/>
  <c r="I84" i="8"/>
  <c r="E84" i="8"/>
  <c r="L83" i="8"/>
  <c r="I83" i="8"/>
  <c r="E83" i="8"/>
  <c r="L82" i="8"/>
  <c r="I82" i="8"/>
  <c r="E82" i="8"/>
  <c r="L81" i="8"/>
  <c r="I81" i="8"/>
  <c r="E81" i="8"/>
  <c r="L80" i="8"/>
  <c r="I80" i="8"/>
  <c r="E80" i="8"/>
  <c r="L79" i="8"/>
  <c r="I79" i="8"/>
  <c r="E79" i="8"/>
  <c r="L78" i="8"/>
  <c r="I78" i="8"/>
  <c r="E78" i="8"/>
  <c r="L77" i="8"/>
  <c r="I77" i="8"/>
  <c r="E77" i="8"/>
  <c r="L76" i="8"/>
  <c r="I76" i="8"/>
  <c r="E76" i="8"/>
  <c r="L75" i="8"/>
  <c r="I75" i="8"/>
  <c r="E75" i="8"/>
  <c r="L74" i="8"/>
  <c r="I74" i="8"/>
  <c r="E74" i="8"/>
  <c r="L73" i="8"/>
  <c r="I73" i="8"/>
  <c r="E73" i="8"/>
  <c r="L72" i="8"/>
  <c r="I72" i="8"/>
  <c r="E72" i="8"/>
  <c r="L71" i="8"/>
  <c r="I71" i="8"/>
  <c r="E71" i="8"/>
  <c r="L70" i="8"/>
  <c r="I70" i="8"/>
  <c r="E70" i="8"/>
  <c r="L69" i="8"/>
  <c r="I69" i="8"/>
  <c r="E69" i="8"/>
  <c r="L68" i="8"/>
  <c r="I68" i="8"/>
  <c r="E68" i="8"/>
  <c r="L67" i="8"/>
  <c r="I67" i="8"/>
  <c r="E67" i="8"/>
  <c r="L66" i="8"/>
  <c r="I66" i="8"/>
  <c r="E66" i="8"/>
  <c r="L65" i="8"/>
  <c r="I65" i="8"/>
  <c r="E65" i="8"/>
  <c r="L64" i="8"/>
  <c r="I64" i="8"/>
  <c r="E64" i="8"/>
  <c r="L63" i="8"/>
  <c r="I63" i="8"/>
  <c r="E63" i="8"/>
  <c r="L62" i="8"/>
  <c r="I62" i="8"/>
  <c r="E62" i="8"/>
  <c r="L61" i="8"/>
  <c r="I61" i="8"/>
  <c r="E61" i="8"/>
  <c r="L60" i="8"/>
  <c r="I60" i="8"/>
  <c r="E60" i="8"/>
  <c r="L59" i="8"/>
  <c r="I59" i="8"/>
  <c r="E59" i="8"/>
  <c r="L58" i="8"/>
  <c r="I58" i="8"/>
  <c r="E58" i="8"/>
  <c r="L57" i="8"/>
  <c r="I57" i="8"/>
  <c r="E57" i="8"/>
  <c r="L56" i="8"/>
  <c r="I56" i="8"/>
  <c r="E56" i="8"/>
  <c r="L55" i="8"/>
  <c r="I55" i="8"/>
  <c r="E55" i="8"/>
  <c r="L54" i="8"/>
  <c r="I54" i="8"/>
  <c r="E54" i="8"/>
  <c r="L53" i="8"/>
  <c r="I53" i="8"/>
  <c r="E53" i="8"/>
  <c r="L52" i="8"/>
  <c r="I52" i="8"/>
  <c r="E52" i="8"/>
  <c r="L51" i="8"/>
  <c r="I51" i="8"/>
  <c r="I86" i="8" s="1"/>
  <c r="H86" i="8" s="1"/>
  <c r="E51" i="8"/>
  <c r="L50" i="8"/>
  <c r="L86" i="8" s="1"/>
  <c r="K86" i="8" s="1"/>
  <c r="I50" i="8"/>
  <c r="E50" i="8"/>
  <c r="E86" i="8" s="1"/>
  <c r="L41" i="8"/>
  <c r="I41" i="8"/>
  <c r="E41" i="8"/>
  <c r="L40" i="8"/>
  <c r="I40" i="8"/>
  <c r="E40" i="8"/>
  <c r="L39" i="8"/>
  <c r="I39" i="8"/>
  <c r="E39" i="8"/>
  <c r="L38" i="8"/>
  <c r="I38" i="8"/>
  <c r="E38" i="8"/>
  <c r="L37" i="8"/>
  <c r="I37" i="8"/>
  <c r="E37" i="8"/>
  <c r="L36" i="8"/>
  <c r="I36" i="8"/>
  <c r="E36" i="8"/>
  <c r="L35" i="8"/>
  <c r="I35" i="8"/>
  <c r="E35" i="8"/>
  <c r="L34" i="8"/>
  <c r="I34" i="8"/>
  <c r="E34" i="8"/>
  <c r="L33" i="8"/>
  <c r="I33" i="8"/>
  <c r="E33" i="8"/>
  <c r="L32" i="8"/>
  <c r="I32" i="8"/>
  <c r="E32" i="8"/>
  <c r="L31" i="8"/>
  <c r="I31" i="8"/>
  <c r="E31" i="8"/>
  <c r="L30" i="8"/>
  <c r="I30" i="8"/>
  <c r="E30" i="8"/>
  <c r="L29" i="8"/>
  <c r="I29" i="8"/>
  <c r="E29" i="8"/>
  <c r="L28" i="8"/>
  <c r="I28" i="8"/>
  <c r="E28" i="8"/>
  <c r="L27" i="8"/>
  <c r="I27" i="8"/>
  <c r="E27" i="8"/>
  <c r="L26" i="8"/>
  <c r="I26" i="8"/>
  <c r="E26" i="8"/>
  <c r="L25" i="8"/>
  <c r="I25" i="8"/>
  <c r="E25" i="8"/>
  <c r="L24" i="8"/>
  <c r="I24" i="8"/>
  <c r="E24" i="8"/>
  <c r="L23" i="8"/>
  <c r="I23" i="8"/>
  <c r="E23" i="8"/>
  <c r="L22" i="8"/>
  <c r="I22" i="8"/>
  <c r="E22" i="8"/>
  <c r="L21" i="8"/>
  <c r="I21" i="8"/>
  <c r="E21" i="8"/>
  <c r="L20" i="8"/>
  <c r="I20" i="8"/>
  <c r="E20" i="8"/>
  <c r="L19" i="8"/>
  <c r="I19" i="8"/>
  <c r="E19" i="8"/>
  <c r="L18" i="8"/>
  <c r="I18" i="8"/>
  <c r="E18" i="8"/>
  <c r="L17" i="8"/>
  <c r="I17" i="8"/>
  <c r="E17" i="8"/>
  <c r="L16" i="8"/>
  <c r="I16" i="8"/>
  <c r="E16" i="8"/>
  <c r="L15" i="8"/>
  <c r="I15" i="8"/>
  <c r="E15" i="8"/>
  <c r="L14" i="8"/>
  <c r="I14" i="8"/>
  <c r="E14" i="8"/>
  <c r="L13" i="8"/>
  <c r="I13" i="8"/>
  <c r="E13" i="8"/>
  <c r="L12" i="8"/>
  <c r="I12" i="8"/>
  <c r="E12" i="8"/>
  <c r="L11" i="8"/>
  <c r="I11" i="8"/>
  <c r="E11" i="8"/>
  <c r="L10" i="8"/>
  <c r="I10" i="8"/>
  <c r="E10" i="8"/>
  <c r="L9" i="8"/>
  <c r="I9" i="8"/>
  <c r="E9" i="8"/>
  <c r="L8" i="8"/>
  <c r="I8" i="8"/>
  <c r="E8" i="8"/>
  <c r="L7" i="8"/>
  <c r="I7" i="8"/>
  <c r="E7" i="8"/>
  <c r="L6" i="8"/>
  <c r="L42" i="8" s="1"/>
  <c r="K42" i="8" s="1"/>
  <c r="I6" i="8"/>
  <c r="E6" i="8"/>
  <c r="L85" i="7"/>
  <c r="I85" i="7"/>
  <c r="E85" i="7"/>
  <c r="L84" i="7"/>
  <c r="I84" i="7"/>
  <c r="E84" i="7"/>
  <c r="L83" i="7"/>
  <c r="I83" i="7"/>
  <c r="E83" i="7"/>
  <c r="L82" i="7"/>
  <c r="I82" i="7"/>
  <c r="E82" i="7"/>
  <c r="L81" i="7"/>
  <c r="I81" i="7"/>
  <c r="E81" i="7"/>
  <c r="L80" i="7"/>
  <c r="I80" i="7"/>
  <c r="E80" i="7"/>
  <c r="L79" i="7"/>
  <c r="I79" i="7"/>
  <c r="E79" i="7"/>
  <c r="L78" i="7"/>
  <c r="I78" i="7"/>
  <c r="E78" i="7"/>
  <c r="L77" i="7"/>
  <c r="I77" i="7"/>
  <c r="E77" i="7"/>
  <c r="L76" i="7"/>
  <c r="I76" i="7"/>
  <c r="E76" i="7"/>
  <c r="L75" i="7"/>
  <c r="I75" i="7"/>
  <c r="E75" i="7"/>
  <c r="L74" i="7"/>
  <c r="I74" i="7"/>
  <c r="E74" i="7"/>
  <c r="L73" i="7"/>
  <c r="I73" i="7"/>
  <c r="E73" i="7"/>
  <c r="L72" i="7"/>
  <c r="I72" i="7"/>
  <c r="E72" i="7"/>
  <c r="L71" i="7"/>
  <c r="I71" i="7"/>
  <c r="E71" i="7"/>
  <c r="L70" i="7"/>
  <c r="I70" i="7"/>
  <c r="E70" i="7"/>
  <c r="L69" i="7"/>
  <c r="I69" i="7"/>
  <c r="E69" i="7"/>
  <c r="L68" i="7"/>
  <c r="I68" i="7"/>
  <c r="E68" i="7"/>
  <c r="L67" i="7"/>
  <c r="I67" i="7"/>
  <c r="E67" i="7"/>
  <c r="L66" i="7"/>
  <c r="I66" i="7"/>
  <c r="E66" i="7"/>
  <c r="L65" i="7"/>
  <c r="I65" i="7"/>
  <c r="E65" i="7"/>
  <c r="L64" i="7"/>
  <c r="I64" i="7"/>
  <c r="E64" i="7"/>
  <c r="L63" i="7"/>
  <c r="I63" i="7"/>
  <c r="E63" i="7"/>
  <c r="L62" i="7"/>
  <c r="I62" i="7"/>
  <c r="E62" i="7"/>
  <c r="L61" i="7"/>
  <c r="I61" i="7"/>
  <c r="E61" i="7"/>
  <c r="L60" i="7"/>
  <c r="I60" i="7"/>
  <c r="E60" i="7"/>
  <c r="L59" i="7"/>
  <c r="I59" i="7"/>
  <c r="E59" i="7"/>
  <c r="L58" i="7"/>
  <c r="I58" i="7"/>
  <c r="E58" i="7"/>
  <c r="L57" i="7"/>
  <c r="I57" i="7"/>
  <c r="E57" i="7"/>
  <c r="L56" i="7"/>
  <c r="I56" i="7"/>
  <c r="E56" i="7"/>
  <c r="L55" i="7"/>
  <c r="I55" i="7"/>
  <c r="E55" i="7"/>
  <c r="L54" i="7"/>
  <c r="I54" i="7"/>
  <c r="E54" i="7"/>
  <c r="L53" i="7"/>
  <c r="I53" i="7"/>
  <c r="E53" i="7"/>
  <c r="L52" i="7"/>
  <c r="I52" i="7"/>
  <c r="E52" i="7"/>
  <c r="L51" i="7"/>
  <c r="I51" i="7"/>
  <c r="I86" i="7" s="1"/>
  <c r="H86" i="7" s="1"/>
  <c r="E51" i="7"/>
  <c r="L50" i="7"/>
  <c r="L86" i="7" s="1"/>
  <c r="K86" i="7" s="1"/>
  <c r="I50" i="7"/>
  <c r="E50" i="7"/>
  <c r="E86" i="7" s="1"/>
  <c r="A202" i="1"/>
  <c r="A203" i="1" s="1"/>
  <c r="L195" i="1"/>
  <c r="M195" i="1" s="1"/>
  <c r="K195" i="1"/>
  <c r="N195" i="1" s="1"/>
  <c r="D64" i="1"/>
  <c r="F203" i="1" l="1"/>
  <c r="H203" i="1" s="1"/>
  <c r="F202" i="1"/>
  <c r="I42" i="8"/>
  <c r="H42" i="8" s="1"/>
  <c r="E42" i="8"/>
  <c r="E88" i="8"/>
  <c r="D86" i="8"/>
  <c r="D88" i="8" s="1"/>
  <c r="E88" i="7"/>
  <c r="D86" i="7"/>
  <c r="D88" i="7" s="1"/>
  <c r="C51" i="1"/>
  <c r="L178" i="1"/>
  <c r="K178" i="1"/>
  <c r="N178" i="1" s="1"/>
  <c r="L174" i="1"/>
  <c r="L173" i="1"/>
  <c r="J189" i="1"/>
  <c r="J191" i="1"/>
  <c r="J192" i="1"/>
  <c r="J194" i="1"/>
  <c r="H202" i="1" l="1"/>
  <c r="G141" i="1" s="1"/>
  <c r="G142" i="1" s="1"/>
  <c r="G143" i="1" s="1"/>
  <c r="C141" i="1"/>
  <c r="C142" i="1" s="1"/>
  <c r="C143" i="1" s="1"/>
  <c r="E141" i="1"/>
  <c r="E142" i="1" s="1"/>
  <c r="E143" i="1" s="1"/>
  <c r="E44" i="8"/>
  <c r="D42" i="8"/>
  <c r="D44" i="8" s="1"/>
  <c r="M178" i="1"/>
  <c r="I173" i="1"/>
  <c r="J173" i="1"/>
  <c r="D173" i="1"/>
  <c r="D153" i="1" l="1"/>
  <c r="A154" i="1"/>
  <c r="F153" i="1" l="1"/>
  <c r="H153" i="1" s="1"/>
  <c r="J325" i="1"/>
  <c r="J327" i="1"/>
  <c r="I186" i="1"/>
  <c r="E193" i="1"/>
  <c r="D193" i="1"/>
  <c r="E188" i="1"/>
  <c r="D188" i="1"/>
  <c r="E187" i="1"/>
  <c r="D187" i="1"/>
  <c r="E190" i="1"/>
  <c r="D190" i="1"/>
  <c r="A191" i="1"/>
  <c r="A194" i="1" s="1"/>
  <c r="E176" i="1"/>
  <c r="D176" i="1"/>
  <c r="E174" i="1"/>
  <c r="D174" i="1"/>
  <c r="E173" i="1"/>
  <c r="D154" i="1"/>
  <c r="C139" i="1" l="1"/>
  <c r="F176" i="1"/>
  <c r="C136" i="1"/>
  <c r="F190" i="1"/>
  <c r="H190" i="1" s="1"/>
  <c r="J190" i="1" s="1"/>
  <c r="C140" i="1"/>
  <c r="F193" i="1"/>
  <c r="H193" i="1" s="1"/>
  <c r="J193" i="1" s="1"/>
  <c r="I172" i="1"/>
  <c r="A177" i="1"/>
  <c r="F174" i="1"/>
  <c r="H174" i="1" s="1"/>
  <c r="K174" i="1" s="1"/>
  <c r="A174" i="1"/>
  <c r="F154" i="1"/>
  <c r="I54" i="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s="1"/>
  <c r="F11" i="5"/>
  <c r="G11" i="5" s="1"/>
  <c r="F10" i="5"/>
  <c r="G10" i="5" s="1"/>
  <c r="F9" i="5"/>
  <c r="G9" i="5" s="1"/>
  <c r="F8" i="5"/>
  <c r="G8" i="5" s="1"/>
  <c r="F7" i="5"/>
  <c r="G7" i="5" s="1"/>
  <c r="F6" i="5"/>
  <c r="G6" i="5" s="1"/>
  <c r="F5" i="5"/>
  <c r="G5" i="5" s="1"/>
  <c r="G12" i="5" s="1"/>
  <c r="D259" i="1"/>
  <c r="B231" i="1"/>
  <c r="B230" i="1"/>
  <c r="F227" i="1"/>
  <c r="H227" i="1" s="1"/>
  <c r="F226" i="1"/>
  <c r="H226" i="1" s="1"/>
  <c r="F225" i="1"/>
  <c r="H225" i="1" s="1"/>
  <c r="F224" i="1"/>
  <c r="H224" i="1" s="1"/>
  <c r="F223" i="1"/>
  <c r="H223" i="1" s="1"/>
  <c r="F221" i="1"/>
  <c r="H221" i="1" s="1"/>
  <c r="F220" i="1"/>
  <c r="H220" i="1" s="1"/>
  <c r="F219" i="1"/>
  <c r="H219" i="1" s="1"/>
  <c r="F218" i="1"/>
  <c r="H218" i="1" s="1"/>
  <c r="F217" i="1"/>
  <c r="H217" i="1" s="1"/>
  <c r="F215" i="1"/>
  <c r="H215" i="1" s="1"/>
  <c r="F214" i="1"/>
  <c r="H214" i="1" s="1"/>
  <c r="F213" i="1"/>
  <c r="H213" i="1" s="1"/>
  <c r="F212" i="1"/>
  <c r="H212" i="1" s="1"/>
  <c r="F211" i="1"/>
  <c r="H211" i="1" s="1"/>
  <c r="F209" i="1"/>
  <c r="H209" i="1" s="1"/>
  <c r="F208" i="1"/>
  <c r="H208" i="1" s="1"/>
  <c r="F207" i="1"/>
  <c r="H207" i="1" s="1"/>
  <c r="F206" i="1"/>
  <c r="H206" i="1" s="1"/>
  <c r="F205" i="1"/>
  <c r="H205" i="1" s="1"/>
  <c r="A205" i="1"/>
  <c r="A206" i="1" s="1"/>
  <c r="A207" i="1" s="1"/>
  <c r="A208" i="1" s="1"/>
  <c r="A209" i="1" s="1"/>
  <c r="F188" i="1"/>
  <c r="H188" i="1" s="1"/>
  <c r="J188" i="1" s="1"/>
  <c r="A188" i="1"/>
  <c r="F187" i="1"/>
  <c r="F159" i="1"/>
  <c r="H159" i="1" s="1"/>
  <c r="F158" i="1"/>
  <c r="H158" i="1" s="1"/>
  <c r="F157" i="1"/>
  <c r="H157" i="1" s="1"/>
  <c r="A157" i="1"/>
  <c r="A158" i="1" s="1"/>
  <c r="A159" i="1" s="1"/>
  <c r="F156" i="1"/>
  <c r="H156" i="1" s="1"/>
  <c r="F131" i="1"/>
  <c r="C105" i="1"/>
  <c r="B106" i="1" s="1"/>
  <c r="J114" i="1" s="1"/>
  <c r="C91" i="1"/>
  <c r="C77" i="1"/>
  <c r="B78" i="1" s="1"/>
  <c r="D71" i="1"/>
  <c r="G58" i="1"/>
  <c r="K56" i="1"/>
  <c r="G51" i="1"/>
  <c r="E44" i="1"/>
  <c r="E45" i="1" s="1"/>
  <c r="S33" i="1"/>
  <c r="E31" i="1"/>
  <c r="E28" i="1"/>
  <c r="E26" i="1"/>
  <c r="C16" i="1"/>
  <c r="I15" i="1"/>
  <c r="Z13" i="1"/>
  <c r="E8" i="1"/>
  <c r="E3" i="1"/>
  <c r="A217" i="1"/>
  <c r="H92" i="1"/>
  <c r="A223" i="1"/>
  <c r="A211" i="1"/>
  <c r="H106" i="1"/>
  <c r="E140" i="1" l="1"/>
  <c r="B242" i="1"/>
  <c r="H154" i="1"/>
  <c r="E136" i="1"/>
  <c r="H187" i="1"/>
  <c r="F173" i="1"/>
  <c r="H176" i="1"/>
  <c r="J85" i="1"/>
  <c r="J86" i="1"/>
  <c r="I52" i="1"/>
  <c r="I42" i="7"/>
  <c r="H42" i="7" s="1"/>
  <c r="L42" i="7"/>
  <c r="K42" i="7" s="1"/>
  <c r="J91" i="1"/>
  <c r="J93" i="1" s="1"/>
  <c r="D100" i="1"/>
  <c r="D99" i="1"/>
  <c r="D104" i="1"/>
  <c r="D98" i="1"/>
  <c r="J94" i="1"/>
  <c r="D103" i="1"/>
  <c r="J96" i="1"/>
  <c r="D97" i="1"/>
  <c r="D102" i="1"/>
  <c r="J95" i="1"/>
  <c r="C95" i="1" s="1"/>
  <c r="D101" i="1"/>
  <c r="D115" i="1"/>
  <c r="J109" i="1"/>
  <c r="C109" i="1" s="1"/>
  <c r="J105" i="1"/>
  <c r="J107" i="1" s="1"/>
  <c r="J108" i="1"/>
  <c r="D113" i="1"/>
  <c r="D118" i="1"/>
  <c r="D112" i="1"/>
  <c r="D117" i="1"/>
  <c r="D111" i="1"/>
  <c r="D114" i="1"/>
  <c r="J110" i="1"/>
  <c r="D116" i="1"/>
  <c r="E44" i="7"/>
  <c r="D42" i="7"/>
  <c r="D44" i="7" s="1"/>
  <c r="L56" i="1"/>
  <c r="B92" i="1"/>
  <c r="J87" i="1"/>
  <c r="J116" i="1"/>
  <c r="J88" i="1"/>
  <c r="J111" i="1"/>
  <c r="J112" i="1" s="1"/>
  <c r="J117" i="1" s="1"/>
  <c r="J118" i="1" s="1"/>
  <c r="J115" i="1"/>
  <c r="J113" i="1"/>
  <c r="A218" i="1"/>
  <c r="H78" i="1"/>
  <c r="A224" i="1"/>
  <c r="A212" i="1"/>
  <c r="D109" i="1" l="1"/>
  <c r="J81" i="1"/>
  <c r="C81" i="1" s="1"/>
  <c r="D81" i="1" s="1"/>
  <c r="J77" i="1"/>
  <c r="J79" i="1" s="1"/>
  <c r="D86" i="1"/>
  <c r="D85" i="1"/>
  <c r="D90" i="1"/>
  <c r="D84" i="1"/>
  <c r="D83" i="1"/>
  <c r="D89" i="1"/>
  <c r="J82" i="1"/>
  <c r="D88" i="1"/>
  <c r="D87" i="1"/>
  <c r="J83" i="1"/>
  <c r="J84" i="1" s="1"/>
  <c r="J89" i="1" s="1"/>
  <c r="J90" i="1" s="1"/>
  <c r="J80" i="1"/>
  <c r="H173" i="1"/>
  <c r="E139" i="1"/>
  <c r="G140" i="1"/>
  <c r="J187" i="1"/>
  <c r="G136" i="1"/>
  <c r="E81" i="1"/>
  <c r="D82" i="1"/>
  <c r="E109" i="1"/>
  <c r="D110" i="1"/>
  <c r="G109" i="1"/>
  <c r="J106" i="1"/>
  <c r="D95" i="1"/>
  <c r="J100" i="1"/>
  <c r="J97" i="1"/>
  <c r="J98" i="1" s="1"/>
  <c r="J103" i="1" s="1"/>
  <c r="J104" i="1" s="1"/>
  <c r="J102" i="1"/>
  <c r="J99" i="1"/>
  <c r="J101" i="1"/>
  <c r="A213" i="1"/>
  <c r="A219" i="1"/>
  <c r="A225" i="1"/>
  <c r="I106" i="1" l="1"/>
  <c r="I107" i="1" s="1"/>
  <c r="I105" i="1" s="1"/>
  <c r="C107" i="1" s="1"/>
  <c r="N173" i="1"/>
  <c r="K173" i="1"/>
  <c r="G81" i="1"/>
  <c r="G139" i="1"/>
  <c r="I78" i="1"/>
  <c r="I79" i="1" s="1"/>
  <c r="J78" i="1"/>
  <c r="E95" i="1"/>
  <c r="D96" i="1"/>
  <c r="I92" i="1" s="1"/>
  <c r="J92" i="1"/>
  <c r="G95" i="1"/>
  <c r="D75" i="1" s="1"/>
  <c r="D76" i="1" s="1"/>
  <c r="A226" i="1"/>
  <c r="A214" i="1"/>
  <c r="A220" i="1"/>
  <c r="F76" i="1" l="1"/>
  <c r="I77" i="1"/>
  <c r="C79" i="1" s="1"/>
  <c r="I93" i="1"/>
  <c r="I91" i="1" s="1"/>
  <c r="C93" i="1" s="1"/>
  <c r="A221" i="1"/>
  <c r="A215" i="1"/>
  <c r="A227"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7" authorId="1" shapeId="0">
      <text>
        <r>
          <rPr>
            <b/>
            <sz val="9"/>
            <color indexed="81"/>
            <rFont val="Tahoma"/>
            <family val="2"/>
          </rPr>
          <t>SACHIN:</t>
        </r>
        <r>
          <rPr>
            <sz val="9"/>
            <color indexed="81"/>
            <rFont val="Tahoma"/>
            <family val="2"/>
          </rPr>
          <t xml:space="preserve">
Floor with height</t>
        </r>
      </text>
    </comment>
    <comment ref="C59" authorId="1" shapeId="0">
      <text>
        <r>
          <rPr>
            <b/>
            <sz val="9"/>
            <color indexed="81"/>
            <rFont val="Tahoma"/>
            <family val="2"/>
          </rPr>
          <t>SACHIN:</t>
        </r>
        <r>
          <rPr>
            <sz val="9"/>
            <color indexed="81"/>
            <rFont val="Tahoma"/>
            <family val="2"/>
          </rPr>
          <t xml:space="preserve">
Survey Nos.</t>
        </r>
      </text>
    </comment>
    <comment ref="C61" authorId="1" shapeId="0">
      <text>
        <r>
          <rPr>
            <b/>
            <sz val="9"/>
            <color indexed="81"/>
            <rFont val="Tahoma"/>
            <family val="2"/>
          </rPr>
          <t>SACHIN:</t>
        </r>
        <r>
          <rPr>
            <sz val="9"/>
            <color indexed="81"/>
            <rFont val="Tahoma"/>
            <family val="2"/>
          </rPr>
          <t xml:space="preserve">
Height from AMSL</t>
        </r>
      </text>
    </comment>
    <comment ref="D64"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4"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<sst xmlns="http://schemas.openxmlformats.org/spreadsheetml/2006/main" count="911" uniqueCount="469">
  <si>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</si>
  <si>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</si>
  <si>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</si>
  <si>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</si>
  <si>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</si>
  <si>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</si>
  <si>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</si>
  <si>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</si>
  <si>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</si>
  <si>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</si>
  <si>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</si>
  <si>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</si>
  <si>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</si>
  <si>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</si>
  <si>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</si>
  <si>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</si>
  <si>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</si>
  <si>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</si>
  <si>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</si>
  <si>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</si>
  <si>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</si>
  <si>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</si>
  <si>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</si>
  <si>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</si>
  <si>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</si>
  <si>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</si>
  <si>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</si>
  <si>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</si>
  <si>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</si>
  <si>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</si>
  <si>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</si>
  <si>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</si>
  <si>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</si>
  <si>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</si>
  <si>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</si>
  <si>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</si>
  <si>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</si>
  <si>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</si>
  <si>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</si>
  <si>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</si>
  <si>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</si>
  <si>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</si>
  <si>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</si>
  <si>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</si>
  <si>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</si>
  <si>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</si>
  <si>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</si>
  <si>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</si>
  <si>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</si>
  <si>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</si>
  <si>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</si>
  <si>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</si>
  <si>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</si>
  <si>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</si>
  <si>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</si>
  <si>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</si>
  <si>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</si>
  <si>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</si>
  <si>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</si>
  <si>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</si>
  <si>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</si>
  <si>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</si>
  <si>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</si>
  <si>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</si>
  <si>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</si>
  <si>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</si>
  <si>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</si>
  <si>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</si>
  <si>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</si>
  <si>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</si>
  <si>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</si>
  <si>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</si>
  <si>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</si>
  <si>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</si>
  <si>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</si>
  <si>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</si>
  <si>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</si>
  <si>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</si>
  <si>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</si>
  <si>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</si>
  <si>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</si>
  <si>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</si>
  <si>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</si>
  <si>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</si>
  <si>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</si>
  <si>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</si>
  <si>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</si>
  <si>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</si>
  <si>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</si>
  <si>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</si>
  <si>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</si>
  <si>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</si>
  <si>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</si>
  <si>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</si>
  <si>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</si>
  <si>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</si>
  <si>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</si>
  <si>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</si>
  <si>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</si>
  <si>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</si>
  <si>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</si>
  <si>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</si>
  <si>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</si>
  <si>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</si>
  <si>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</si>
  <si>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</si>
  <si>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</si>
  <si>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</si>
  <si>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</si>
  <si>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</si>
  <si>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</si>
  <si>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</si>
  <si>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</si>
  <si>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</si>
  <si>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</si>
  <si>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</si>
  <si>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</si>
  <si>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</si>
  <si>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</si>
  <si>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</si>
  <si>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</si>
  <si>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</si>
  <si>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</si>
  <si>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</si>
  <si>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</si>
  <si>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</si>
  <si>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</si>
  <si>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</si>
  <si>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</si>
  <si>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</si>
  <si>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</si>
  <si>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</si>
  <si>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</si>
  <si>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</si>
  <si>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</si>
  <si>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</si>
  <si>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</si>
  <si>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</si>
  <si>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</si>
  <si>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</si>
  <si>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</si>
  <si>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</si>
  <si>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</si>
  <si>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</si>
  <si>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</si>
  <si>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</si>
  <si>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</si>
  <si>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</si>
  <si>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</si>
  <si>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</si>
  <si>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</si>
  <si>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</si>
  <si>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</si>
  <si>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</si>
  <si>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</si>
  <si>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</si>
  <si>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</si>
  <si>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</si>
  <si>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</si>
  <si>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</si>
  <si>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</si>
  <si>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</si>
  <si>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</si>
  <si>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</si>
  <si>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</si>
  <si>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</si>
  <si>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</si>
  <si>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</si>
  <si>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</si>
  <si>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</si>
  <si>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</si>
  <si>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</si>
  <si>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</si>
  <si>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</si>
  <si>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</si>
  <si>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</si>
  <si>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</si>
  <si>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</si>
  <si>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</si>
  <si>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</si>
  <si>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</si>
  <si>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</si>
  <si>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</si>
  <si>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</si>
  <si>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</si>
  <si>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</si>
  <si>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</si>
  <si>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</si>
  <si>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</si>
  <si>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</si>
  <si>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</si>
  <si>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</si>
  <si>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</si>
  <si>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</si>
  <si>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</si>
  <si>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</si>
  <si>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</si>
  <si>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</si>
  <si>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</si>
  <si>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</si>
  <si>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</si>
  <si>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</si>
  <si>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</si>
  <si>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</si>
  <si>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</si>
  <si>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</si>
  <si>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</si>
  <si>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</si>
  <si>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</si>
  <si>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</si>
  <si>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</si>
  <si>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</si>
  <si>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</si>
  <si>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</si>
  <si>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</si>
  <si>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</si>
  <si>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</si>
  <si>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</si>
  <si>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</si>
  <si>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</si>
  <si>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</si>
  <si>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</si>
  <si>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</si>
  <si>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</si>
  <si>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</si>
  <si>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</si>
  <si>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</si>
  <si>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</si>
  <si>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</si>
  <si>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</si>
  <si>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</si>
  <si>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</si>
  <si>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</si>
  <si>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</si>
  <si>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</si>
  <si>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</si>
  <si>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</si>
  <si>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</si>
  <si>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</si>
  <si>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</si>
  <si>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</si>
  <si>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</si>
  <si>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</si>
  <si>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</si>
  <si>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</si>
  <si>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</si>
  <si>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</si>
  <si>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</si>
  <si>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</si>
  <si>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</si>
  <si>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</si>
  <si>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</si>
  <si>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</si>
  <si>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</si>
  <si>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</si>
  <si>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</si>
  <si>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</si>
  <si>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</si>
  <si>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</si>
  <si>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</si>
  <si>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</si>
  <si>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</si>
  <si>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</si>
  <si>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</si>
  <si>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</si>
  <si>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</si>
  <si>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</si>
  <si>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</si>
  <si>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</si>
  <si>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</si>
  <si>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</si>
  <si>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</si>
  <si>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</si>
  <si>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</si>
  <si>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</si>
  <si>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</si>
  <si>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</si>
  <si>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</si>
  <si>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</si>
  <si>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</si>
  <si>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</si>
  <si>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</si>
  <si>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</si>
  <si>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</si>
  <si>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</si>
  <si>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</si>
  <si>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</si>
  <si>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</si>
  <si>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</si>
  <si>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</si>
  <si>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</si>
  <si>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</si>
  <si>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</si>
  <si>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</si>
  <si>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</si>
  <si>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</si>
  <si>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</si>
  <si>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</si>
  <si>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</si>
  <si>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</si>
  <si>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</si>
  <si>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</si>
  <si>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</si>
  <si>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</si>
  <si>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</si>
  <si>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</si>
  <si>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</si>
  <si>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</si>
  <si>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</si>
  <si>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</si>
  <si>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</si>
  <si>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</si>
  <si>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</si>
  <si>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</si>
  <si>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</si>
  <si>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</si>
  <si>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</si>
  <si>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</si>
  <si>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</si>
  <si>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</si>
  <si>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</si>
  <si>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</si>
  <si>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</si>
  <si>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</si>
  <si>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</si>
  <si>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</si>
  <si>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</si>
  <si>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</si>
  <si>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</si>
  <si>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</si>
  <si>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</si>
  <si>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</si>
  <si>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</si>
  <si>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</si>
  <si>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</si>
  <si>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</si>
  <si>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</si>
  <si>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</si>
  <si>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</si>
  <si>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</si>
  <si>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</si>
  <si>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</si>
  <si>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</si>
  <si>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</si>
  <si>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</si>
  <si>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</si>
  <si>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</si>
  <si>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</si>
  <si>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</si>
  <si>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</si>
  <si>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</si>
  <si>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</si>
  <si>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</si>
  <si>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</si>
  <si>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</si>
  <si>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</si>
  <si>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</si>
  <si>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Twenty Five Downtown Realty Limited</t>
  </si>
  <si>
    <t>Preeti Lamba 7506677587</t>
  </si>
  <si>
    <t>As per rera title</t>
  </si>
  <si>
    <t>Tardeo</t>
  </si>
  <si>
    <t>383(Pt), 1/383, 389, 390, 397 &amp; 413(Pt),  Redevelopement of " Tulsiwadi Navnirman (SRA) Co-operavtive Housing Society Ltd, Rehab Building A-1, 2, 4, 5 &amp; 6  "</t>
  </si>
  <si>
    <t>Tulsiwadi Navnirman (SRA) Co-operavtive Housing Society Ltd, Rehab Building A-1, 2, 4, 5 &amp; 6</t>
  </si>
  <si>
    <t>Mumbai Central West</t>
  </si>
  <si>
    <t>Essar House</t>
  </si>
  <si>
    <t>18.978285,72.819050</t>
  </si>
  <si>
    <t>https://maps.app.goo.gl/x4XPMXDEouRkiaiW6</t>
  </si>
  <si>
    <t>P-20082/2023/(383(pt) And Othr)/D Ward/TARDEO/CFO /1/New</t>
  </si>
  <si>
    <t>Kids Play Area, Jogging Track, Banquet Hall, Multipurpose Court, Indoor Games Room, Fitness Centre, Swimming Pool etc.</t>
  </si>
  <si>
    <t>as per builder site</t>
  </si>
  <si>
    <t>https://www.25downtowns.com/?utm_source=google&amp;utm_medium=cpc&amp;utm_campaign=Hubtown%2025downtown%20SOBO&amp;utm_term=25%20downtown&amp;utm_Physical_Location=9062280&amp;utm_Targetid=kwd-758549780125&amp;utm_Target=&amp;utm_Pl</t>
  </si>
  <si>
    <t>Wing 1  = 1B + G + 1st to 56th Floor (Height - 198.50Mtr)
Wing 2  = 1B + G + 1st to 42nd Floor ( Height - 148.10Mtr)</t>
  </si>
  <si>
    <t>Wing 1 ( Emerald Palm)</t>
  </si>
  <si>
    <t>Basement Floor For Pump Room, UG tank &amp; Parking</t>
  </si>
  <si>
    <t>21-180/2006-IA.III</t>
  </si>
  <si>
    <t xml:space="preserve">CTS No.383(PT), 1/389, 390, 397 &amp; 417(PT)
Plot Area - 74537 Sqmt
BUA - 298146.48 Sqmt
Sale BUA - 172851.41 Sqmt
</t>
  </si>
  <si>
    <t>Wing 2 ( Pearl Cove)</t>
  </si>
  <si>
    <t>2nd to 7th Floor For Podium Parking</t>
  </si>
  <si>
    <t xml:space="preserve">9th Floor For Fitness Center, Reading Room &amp; Yogalaya </t>
  </si>
  <si>
    <t>8th Podium Floor For Fitness Center, Reading Room &amp; Yogalaya (Refuge Area)</t>
  </si>
  <si>
    <t>10th, 25th &amp; 40th Floor For Service Floor</t>
  </si>
  <si>
    <t>11th to 15th, 17th to 22nd, 24th, 26th to 30th, 32nd to 37th, 39th, 41st to 45th, 47th to 52nd, 54th to 56th For Residential</t>
  </si>
  <si>
    <t>4BHK</t>
  </si>
  <si>
    <t>5BHK</t>
  </si>
  <si>
    <t>Deck Area</t>
  </si>
  <si>
    <t>Carpet area + Utility Area</t>
  </si>
  <si>
    <t>16th, 23rd, 31st, 38th, 46th &amp; 53rd Floor (Part Refuge Area)</t>
  </si>
  <si>
    <t>-</t>
  </si>
  <si>
    <t>Refuge Area</t>
  </si>
  <si>
    <t>Ground Floor For Commercial, Entrance Lobby (Double Height)</t>
  </si>
  <si>
    <t>Shop (Duplex with 1st Floor)</t>
  </si>
  <si>
    <t>1st Floor For Commercial</t>
  </si>
  <si>
    <t>(Duplex with GF)</t>
  </si>
  <si>
    <t>16th, 23th, 31st &amp; 38th Floor (Part Refuge Area)</t>
  </si>
  <si>
    <t>42nd Floor (Part Terrace Area)</t>
  </si>
  <si>
    <t>Terrace Area</t>
  </si>
  <si>
    <t>11th to 15th, 17th to 22nd, 24th, 26th to 30th, 32nd to 37th, 39th &amp; 41st Floor For Residential</t>
  </si>
  <si>
    <t>Wing 1</t>
  </si>
  <si>
    <t>Wing 2</t>
  </si>
  <si>
    <t>0.70KM from Mumbai Central Railway Station</t>
  </si>
  <si>
    <t xml:space="preserve">CS No.8/838
</t>
  </si>
  <si>
    <t>Sector II (BMC)</t>
  </si>
  <si>
    <t xml:space="preserve">CS No.2/383 / 36.60M Wide DP 2034 Road
</t>
  </si>
  <si>
    <t>CS No.389 / 24.40M Wide DP Road</t>
  </si>
  <si>
    <t xml:space="preserve">Residential Building </t>
  </si>
  <si>
    <t>We considered Gross carpet area = Net carpet + Deck Area + Utility Area.</t>
  </si>
  <si>
    <t>Karan Misal</t>
  </si>
  <si>
    <t>Sector I</t>
  </si>
  <si>
    <r>
      <t xml:space="preserve">Proposed Amenities :                                                                                                                                                                                                                         </t>
    </r>
    <r>
      <rPr>
        <b/>
        <sz val="12"/>
        <color theme="1"/>
        <rFont val="Times New Roman"/>
        <family val="1"/>
      </rPr>
      <t xml:space="preserve">                                               </t>
    </r>
  </si>
  <si>
    <t>Slums</t>
  </si>
  <si>
    <t>Bhanjibhai Rathod Lane</t>
  </si>
  <si>
    <t>Sant Meghmaya Road</t>
  </si>
  <si>
    <t>Work not yet Started.</t>
  </si>
  <si>
    <t>approved plan &amp; fire NOC taken  from MCGM site</t>
  </si>
  <si>
    <t>Arya Nagar</t>
  </si>
  <si>
    <t>Bhanjibhai Rathod Ln</t>
  </si>
  <si>
    <t>8th Podium Floor For Fitness Center, Reading Room &amp; Yogalaya (Part Refuge Area)</t>
  </si>
  <si>
    <t>We have taken the approved plans &amp; fire NOC from MCGM site on 03/10/2024.</t>
  </si>
  <si>
    <t>Total Permissible Builtup area of the project (Sq.Mt)</t>
  </si>
  <si>
    <t>Basement Floor For Parking</t>
  </si>
  <si>
    <r>
      <t xml:space="preserve">This C.C. is granted up to plinth level for </t>
    </r>
    <r>
      <rPr>
        <b/>
        <sz val="12"/>
        <color indexed="8"/>
        <rFont val="Times New Roman"/>
        <family val="1"/>
      </rPr>
      <t>Wing 1</t>
    </r>
    <r>
      <rPr>
        <sz val="12"/>
        <color indexed="8"/>
        <rFont val="Times New Roman"/>
        <family val="1"/>
      </rPr>
      <t xml:space="preserve"> (Marked as A, B,C,D,E,&amp; F) as per the IOD plan dated 08.04.2024.</t>
    </r>
  </si>
  <si>
    <r>
      <t xml:space="preserve">This C.C. is granted up to plinth for </t>
    </r>
    <r>
      <rPr>
        <b/>
        <sz val="12"/>
        <color indexed="8"/>
        <rFont val="Times New Roman"/>
        <family val="1"/>
      </rPr>
      <t>Wing 2 &amp; 3</t>
    </r>
    <r>
      <rPr>
        <sz val="12"/>
        <color indexed="8"/>
        <rFont val="Times New Roman"/>
        <family val="1"/>
      </rPr>
      <t xml:space="preserve"> (Marked as A, F, G &amp; H) as per the IOD plan dated 08.04.2024.</t>
    </r>
  </si>
  <si>
    <t>Pooja Kawale</t>
  </si>
  <si>
    <t>Mr. Ashwin</t>
  </si>
  <si>
    <t>Construction work is in process at the time of visit. Internal visit was not allowed.</t>
  </si>
  <si>
    <t>25 Downtown</t>
  </si>
  <si>
    <t>P-20082/2023/D Ward/TARDEO /CC/1/Amend</t>
  </si>
  <si>
    <t>P-20082/2023/D Ward/TARDEO /CC/1/New</t>
  </si>
  <si>
    <t>P-20082/2023/(Proposed development of Cluster Development Scheme of Municipal property known as Tulsiwadi under D.C.P.Regn. 33 (9) at C.S. No. 383(pt.) And Other)/DWard/TARDEO/ IOD/1/New</t>
  </si>
  <si>
    <t>45000 to 60000</t>
  </si>
  <si>
    <t>self by market ref 30/08/2025</t>
  </si>
  <si>
    <t>JUHU/WEST/B/052616/128302</t>
  </si>
  <si>
    <t>Site Elevation = 4.099M
Permissible Top Elevation = 209.95M</t>
  </si>
  <si>
    <t>CC, Sale Plans, TOR</t>
  </si>
  <si>
    <t>Please check for Environment Clearance Certificate (TOR Received).</t>
  </si>
  <si>
    <t>We have taken the Airport NOC from AAOI site on 30/08/2025.</t>
  </si>
  <si>
    <t>rate changes from 60k to 45000 by viraj on 05/09/2025</t>
  </si>
  <si>
    <t>Recommended Rates of the Property have been revised on 05/09/2025.</t>
  </si>
  <si>
    <t>Wing 1 (Emerald Palm) 
Wing 2 (Pearl Cove)
Wing 3 (Sapphire Terrace)</t>
  </si>
  <si>
    <t>Wing 1 (Emerald Palm) = P51900076617
Wing 2 ( Pear Cove) = P51900077131
Wing 3 (Sapphire Terrace) =P51900077543</t>
  </si>
  <si>
    <t>Wing 1  = 1B + Gr/St + 1st Floor + P2 to P7 + 8th to 56th Floor
Wing 2  = 1B + Gr/St + 1st Floor + P2 to P7 + 8th to 42nd Floor
Wing 3 = 1B + Gr/St + 1st Floor + P2 to P7 + 8th to 11th Floor</t>
  </si>
  <si>
    <t>Wing 1  = 1B + Gr/St + 1st Floor + P2 to P7 + 8th to 56th Floor</t>
  </si>
  <si>
    <t>Wing 2  = 1B + Gr/St + 1st Floor + P2 to P7 + 8th to 56th Floor</t>
  </si>
  <si>
    <t>Wing 3  = 1B + Gr/St + 1st Floor + P2 to P7 + 8th to 56th Floor</t>
  </si>
  <si>
    <t>Wing 3 (Sapphire Terrace)</t>
  </si>
  <si>
    <t>10th Floor For Service Floor</t>
  </si>
  <si>
    <t>11th Floor for Residential</t>
  </si>
  <si>
    <t>4.5BHK</t>
  </si>
  <si>
    <t>11th Floor</t>
  </si>
  <si>
    <t>1 &amp; 2</t>
  </si>
  <si>
    <t>Foyer</t>
  </si>
  <si>
    <t>Prayer</t>
  </si>
  <si>
    <t>Dining</t>
  </si>
  <si>
    <t>toilet1</t>
  </si>
  <si>
    <t>Dry toilet</t>
  </si>
  <si>
    <t>Store Room</t>
  </si>
  <si>
    <t>Utility</t>
  </si>
  <si>
    <t>Deck</t>
  </si>
  <si>
    <t>Validity of CC is expired on 19/06/2025. Please provide revised CC for Wing 2 &amp; 3.</t>
  </si>
  <si>
    <t>Wing( 1 + 2 + 3)</t>
  </si>
  <si>
    <t>Wing 1 + 2 + 3</t>
  </si>
  <si>
    <t>Wing 3</t>
  </si>
  <si>
    <t>Flats - 139, Shops - 03</t>
  </si>
  <si>
    <t>03 Wings</t>
  </si>
  <si>
    <t>Approved area of building (Sq.Mt)
Wing 1, 2 &amp; 3</t>
  </si>
  <si>
    <t>As per RERA - Wing 1 = 31/12/2033
                         Wing 2 &amp; 3 = 31/12/2034</t>
  </si>
  <si>
    <t>8th Floor For Fitness Center &amp; Yoga Room (Part Refuge Area)</t>
  </si>
  <si>
    <t>We have added Wing 3 on 09/09/2025.</t>
  </si>
  <si>
    <t xml:space="preserve">Next time take update fees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</si>
</sst>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8"/>
      <name val="Calibri"/>
      <family val="2"/>
    </font>
    <font>
      <b/>
      <sz val="11"/>
      <color theme="1"/>
      <name val="Times New Roman"/>
      <family val="1"/>
    </font>
    <font>
      <sz val="12"/>
      <color rgb="FFFFFF00"/>
      <name val="Times New Roman"/>
      <family val="1"/>
    </font>
    <font>
      <b/>
      <sz val="14"/>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39">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9"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8" xfId="1" applyFont="1" applyBorder="1"/>
    <xf numFmtId="0" fontId="17" fillId="0" borderId="8" xfId="0" applyFont="1" applyBorder="1" applyProtection="1">
      <protection hidden="1"/>
    </xf>
    <xf numFmtId="1" fontId="0" fillId="0" borderId="8" xfId="0" applyNumberFormat="1" applyBorder="1"/>
    <xf numFmtId="1" fontId="0" fillId="0" borderId="8" xfId="0" applyNumberFormat="1" applyBorder="1" applyAlignment="1">
      <alignment horizontal="right"/>
    </xf>
    <xf numFmtId="1" fontId="0" fillId="0" borderId="10"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4" fillId="2" borderId="20" xfId="0" applyFont="1" applyFill="1" applyBorder="1"/>
    <xf numFmtId="0" fontId="25" fillId="0" borderId="21" xfId="0" applyFont="1" applyBorder="1"/>
    <xf numFmtId="0" fontId="25" fillId="0" borderId="1" xfId="0" applyFont="1" applyBorder="1"/>
    <xf numFmtId="0" fontId="25"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19" xfId="0" applyBorder="1"/>
    <xf numFmtId="0" fontId="0" fillId="0" borderId="6"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6" xfId="0" applyBorder="1" applyAlignment="1">
      <alignment horizontal="left" vertical="top"/>
    </xf>
    <xf numFmtId="0" fontId="12" fillId="0" borderId="1" xfId="1" applyFont="1" applyBorder="1"/>
    <xf numFmtId="0" fontId="7" fillId="0" borderId="1" xfId="1" applyFont="1" applyBorder="1"/>
    <xf numFmtId="0" fontId="0" fillId="0" borderId="6" xfId="0" applyBorder="1" applyAlignment="1">
      <alignment vertical="top"/>
    </xf>
    <xf numFmtId="0" fontId="0" fillId="0" borderId="19" xfId="0" applyBorder="1" applyAlignment="1">
      <alignment horizontal="center" vertical="top"/>
    </xf>
    <xf numFmtId="0" fontId="15" fillId="2" borderId="0" xfId="1" applyFont="1" applyFill="1"/>
    <xf numFmtId="14" fontId="12" fillId="0" borderId="0" xfId="1" applyNumberFormat="1" applyFont="1"/>
    <xf numFmtId="0" fontId="26" fillId="0" borderId="0" xfId="10"/>
    <xf numFmtId="1" fontId="10" fillId="0" borderId="3" xfId="1" applyNumberFormat="1" applyFont="1" applyBorder="1" applyAlignment="1" applyProtection="1">
      <alignment horizontal="center" vertical="top" wrapText="1"/>
      <protection locked="0"/>
    </xf>
    <xf numFmtId="0" fontId="33" fillId="0" borderId="0" xfId="1" applyFont="1"/>
    <xf numFmtId="9" fontId="10" fillId="0" borderId="12" xfId="8" applyFont="1" applyFill="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9" fontId="10" fillId="0" borderId="1" xfId="8" applyFont="1" applyFill="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7" fillId="0" borderId="0" xfId="1" applyNumberFormat="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0" fontId="24" fillId="2" borderId="11" xfId="0" applyFont="1" applyFill="1" applyBorder="1"/>
    <xf numFmtId="0" fontId="25" fillId="0" borderId="7" xfId="0" applyFont="1" applyBorder="1"/>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2" fontId="0" fillId="0" borderId="1" xfId="0" applyNumberFormat="1" applyBorder="1" applyAlignment="1">
      <alignment horizontal="center" vertical="center"/>
    </xf>
    <xf numFmtId="2" fontId="0" fillId="4" borderId="1" xfId="0" applyNumberFormat="1" applyFill="1" applyBorder="1" applyAlignment="1">
      <alignment horizontal="center" vertical="center"/>
    </xf>
    <xf numFmtId="2" fontId="0" fillId="0" borderId="0" xfId="0" applyNumberFormat="1" applyAlignment="1">
      <alignment horizontal="center" vertical="center"/>
    </xf>
    <xf numFmtId="2" fontId="0" fillId="3" borderId="1" xfId="0" applyNumberFormat="1" applyFill="1" applyBorder="1" applyAlignment="1">
      <alignment horizontal="center" vertical="center"/>
    </xf>
    <xf numFmtId="1" fontId="10" fillId="0" borderId="6" xfId="0" applyNumberFormat="1" applyFont="1" applyBorder="1" applyAlignment="1" applyProtection="1">
      <alignment vertical="top" wrapText="1"/>
      <protection locked="0"/>
    </xf>
    <xf numFmtId="1" fontId="10" fillId="0" borderId="17" xfId="0" applyNumberFormat="1" applyFont="1" applyBorder="1" applyAlignment="1" applyProtection="1">
      <alignment vertical="top" wrapText="1"/>
      <protection locked="0"/>
    </xf>
    <xf numFmtId="1" fontId="10" fillId="0" borderId="7" xfId="0" applyNumberFormat="1" applyFont="1" applyBorder="1" applyAlignment="1" applyProtection="1">
      <alignment vertical="top" wrapText="1"/>
      <protection locked="0"/>
    </xf>
    <xf numFmtId="0" fontId="7" fillId="0" borderId="1" xfId="1" applyFont="1" applyBorder="1" applyAlignment="1" applyProtection="1">
      <alignment horizontal="center" vertical="top" wrapText="1"/>
      <protection locked="0"/>
    </xf>
    <xf numFmtId="9" fontId="7" fillId="0" borderId="1" xfId="8" applyFont="1" applyFill="1" applyBorder="1" applyAlignment="1" applyProtection="1">
      <alignment horizontal="center" vertical="center" wrapText="1"/>
      <protection locked="0"/>
    </xf>
    <xf numFmtId="0" fontId="13" fillId="0" borderId="25"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26"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1" fontId="8" fillId="0" borderId="1" xfId="1" applyNumberFormat="1" applyFont="1" applyBorder="1" applyAlignment="1" applyProtection="1">
      <alignment horizontal="center" vertical="center" wrapText="1"/>
      <protection locked="0"/>
    </xf>
    <xf numFmtId="1" fontId="8" fillId="5" borderId="1" xfId="1" applyNumberFormat="1"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6"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9" fontId="12" fillId="0" borderId="1" xfId="8" applyFont="1" applyFill="1" applyBorder="1" applyAlignment="1" applyProtection="1">
      <alignment horizontal="center" vertical="center" wrapText="1"/>
      <protection locked="0"/>
    </xf>
    <xf numFmtId="1" fontId="8" fillId="0" borderId="6" xfId="0" applyNumberFormat="1" applyFont="1" applyBorder="1" applyAlignment="1" applyProtection="1">
      <alignment vertical="top" wrapText="1"/>
      <protection locked="0"/>
    </xf>
    <xf numFmtId="1" fontId="8" fillId="0" borderId="17" xfId="0" applyNumberFormat="1" applyFont="1" applyBorder="1" applyAlignment="1" applyProtection="1">
      <alignment vertical="top" wrapText="1"/>
      <protection locked="0"/>
    </xf>
    <xf numFmtId="1" fontId="8" fillId="0" borderId="7" xfId="0" applyNumberFormat="1" applyFont="1" applyBorder="1" applyAlignment="1" applyProtection="1">
      <alignment vertical="top" wrapText="1"/>
      <protection locked="0"/>
    </xf>
    <xf numFmtId="0" fontId="7" fillId="0" borderId="0" xfId="1" applyFont="1" applyAlignment="1">
      <alignment horizontal="center" vertical="center"/>
    </xf>
    <xf numFmtId="1" fontId="10" fillId="0" borderId="1" xfId="0" applyNumberFormat="1" applyFont="1" applyBorder="1" applyAlignment="1" applyProtection="1">
      <alignment vertical="top" wrapText="1"/>
      <protection locked="0"/>
    </xf>
    <xf numFmtId="1" fontId="13"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vertical="top" wrapText="1"/>
      <protection locked="0"/>
    </xf>
    <xf numFmtId="0" fontId="6" fillId="0" borderId="1" xfId="1" applyFont="1" applyBorder="1" applyAlignment="1" applyProtection="1">
      <alignment horizontal="left" vertical="top"/>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2" xfId="1"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1" fontId="10" fillId="0" borderId="3" xfId="1" applyNumberFormat="1" applyFont="1" applyBorder="1" applyAlignment="1" applyProtection="1">
      <alignment horizontal="center" vertical="top" wrapText="1"/>
      <protection locked="0"/>
    </xf>
    <xf numFmtId="1" fontId="10" fillId="0" borderId="12"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1" fontId="8" fillId="0" borderId="23" xfId="0" applyNumberFormat="1" applyFont="1" applyBorder="1" applyAlignment="1" applyProtection="1">
      <alignment horizontal="center" vertical="top" wrapText="1"/>
      <protection locked="0"/>
    </xf>
    <xf numFmtId="1" fontId="8" fillId="0" borderId="24" xfId="0" applyNumberFormat="1" applyFont="1" applyBorder="1" applyAlignment="1" applyProtection="1">
      <alignment horizontal="center" vertical="top" wrapText="1"/>
      <protection locked="0"/>
    </xf>
    <xf numFmtId="0" fontId="7" fillId="0" borderId="1" xfId="1" applyFont="1" applyBorder="1" applyAlignment="1" applyProtection="1">
      <alignment vertical="top" wrapText="1"/>
      <protection locked="0"/>
    </xf>
    <xf numFmtId="167" fontId="12" fillId="0" borderId="1" xfId="9" applyNumberFormat="1" applyFont="1" applyFill="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2" xfId="1" applyNumberFormat="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0" fontId="8" fillId="0" borderId="12" xfId="1" applyFont="1" applyBorder="1" applyAlignment="1" applyProtection="1">
      <alignment horizontal="center" vertical="top"/>
      <protection locked="0"/>
    </xf>
    <xf numFmtId="1" fontId="8" fillId="0" borderId="22" xfId="0" applyNumberFormat="1" applyFont="1" applyBorder="1" applyAlignment="1" applyProtection="1">
      <alignment horizontal="center" vertical="center" wrapText="1"/>
      <protection locked="0"/>
    </xf>
    <xf numFmtId="1" fontId="8" fillId="0" borderId="23"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protection locked="0"/>
    </xf>
    <xf numFmtId="1" fontId="10" fillId="0" borderId="23" xfId="0" applyNumberFormat="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2" fillId="0" borderId="6" xfId="1" applyFont="1" applyBorder="1" applyAlignment="1" applyProtection="1">
      <alignment horizontal="center" vertical="top"/>
      <protection locked="0"/>
    </xf>
    <xf numFmtId="0" fontId="12" fillId="0" borderId="17" xfId="1" applyFont="1" applyBorder="1" applyAlignment="1" applyProtection="1">
      <alignment horizontal="center" vertical="top"/>
      <protection locked="0"/>
    </xf>
    <xf numFmtId="0" fontId="12" fillId="0" borderId="7"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14" fontId="6" fillId="0" borderId="6" xfId="1" applyNumberFormat="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10" fillId="0" borderId="6" xfId="1" applyFont="1" applyBorder="1" applyAlignment="1" applyProtection="1">
      <alignment horizontal="left" vertical="top"/>
      <protection locked="0"/>
    </xf>
    <xf numFmtId="0" fontId="10" fillId="0" borderId="17" xfId="1" applyFont="1" applyBorder="1" applyAlignment="1" applyProtection="1">
      <alignment horizontal="left" vertical="top"/>
      <protection locked="0"/>
    </xf>
    <xf numFmtId="0" fontId="10" fillId="0" borderId="7" xfId="1" applyFont="1" applyBorder="1" applyAlignment="1" applyProtection="1">
      <alignment horizontal="left" vertical="top"/>
      <protection locked="0"/>
    </xf>
    <xf numFmtId="0" fontId="12" fillId="0" borderId="19"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14"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6" xfId="1" applyFont="1" applyBorder="1" applyAlignment="1" applyProtection="1">
      <alignment horizontal="center" vertical="top" wrapText="1"/>
      <protection locked="0"/>
    </xf>
    <xf numFmtId="0" fontId="13" fillId="0" borderId="6" xfId="1" applyFont="1" applyBorder="1" applyAlignment="1" applyProtection="1">
      <alignment horizontal="center" vertical="top"/>
      <protection locked="0"/>
    </xf>
    <xf numFmtId="0" fontId="13" fillId="0" borderId="17" xfId="1" applyFont="1" applyBorder="1" applyAlignment="1" applyProtection="1">
      <alignment horizontal="center" vertical="top"/>
      <protection locked="0"/>
    </xf>
    <xf numFmtId="0" fontId="13" fillId="0" borderId="7"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7"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67" fontId="7" fillId="0" borderId="1" xfId="9" applyNumberFormat="1" applyFont="1" applyFill="1" applyBorder="1" applyAlignment="1" applyProtection="1">
      <alignment horizontal="left" vertical="top"/>
      <protection locked="0"/>
    </xf>
    <xf numFmtId="1" fontId="10" fillId="0" borderId="23" xfId="0" applyNumberFormat="1"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6" fillId="0" borderId="1" xfId="1" applyFont="1" applyBorder="1" applyAlignment="1" applyProtection="1">
      <alignment vertical="top"/>
      <protection locked="0"/>
    </xf>
    <xf numFmtId="1" fontId="10" fillId="0" borderId="1" xfId="1" applyNumberFormat="1" applyFont="1" applyBorder="1" applyAlignment="1" applyProtection="1">
      <alignment horizontal="center" vertical="top" wrapText="1"/>
      <protection locked="0"/>
    </xf>
    <xf numFmtId="1" fontId="8" fillId="0" borderId="6"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0" fontId="7" fillId="0" borderId="19" xfId="1" applyFont="1" applyBorder="1" applyAlignment="1">
      <alignment horizontal="center"/>
    </xf>
    <xf numFmtId="0" fontId="7" fillId="0" borderId="0" xfId="1" applyFont="1" applyAlignment="1">
      <alignment horizontal="center"/>
    </xf>
    <xf numFmtId="0" fontId="8" fillId="0" borderId="6" xfId="1" applyFont="1" applyBorder="1" applyAlignment="1" applyProtection="1">
      <alignment horizontal="left" vertical="top" wrapText="1"/>
      <protection locked="0"/>
    </xf>
    <xf numFmtId="0" fontId="8" fillId="0" borderId="7"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14" fontId="8" fillId="0" borderId="6" xfId="1" applyNumberFormat="1" applyFont="1" applyBorder="1" applyAlignment="1" applyProtection="1">
      <alignment horizontal="left" vertical="top"/>
      <protection locked="0"/>
    </xf>
    <xf numFmtId="14" fontId="8" fillId="0" borderId="7" xfId="1" applyNumberFormat="1"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1" fontId="31" fillId="0" borderId="3" xfId="1" applyNumberFormat="1" applyFont="1" applyBorder="1" applyAlignment="1" applyProtection="1">
      <alignment horizontal="center" vertical="top" wrapText="1"/>
      <protection locked="0"/>
    </xf>
    <xf numFmtId="1" fontId="31" fillId="0" borderId="12" xfId="1" applyNumberFormat="1" applyFont="1" applyBorder="1" applyAlignment="1" applyProtection="1">
      <alignment horizontal="center" vertical="top" wrapText="1"/>
      <protection locked="0"/>
    </xf>
    <xf numFmtId="0" fontId="6" fillId="0" borderId="3" xfId="1" applyFont="1" applyBorder="1" applyAlignment="1" applyProtection="1">
      <alignment horizontal="left" vertical="top"/>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1" fontId="8" fillId="5" borderId="6" xfId="1" applyNumberFormat="1" applyFont="1" applyFill="1" applyBorder="1" applyAlignment="1" applyProtection="1">
      <alignment horizontal="center" vertical="center" wrapText="1"/>
      <protection locked="0"/>
    </xf>
    <xf numFmtId="1" fontId="8" fillId="5" borderId="17" xfId="1" applyNumberFormat="1" applyFont="1" applyFill="1" applyBorder="1" applyAlignment="1" applyProtection="1">
      <alignment horizontal="center" vertical="center" wrapText="1"/>
      <protection locked="0"/>
    </xf>
    <xf numFmtId="1" fontId="8" fillId="5" borderId="7" xfId="1" applyNumberFormat="1" applyFont="1" applyFill="1" applyBorder="1" applyAlignment="1" applyProtection="1">
      <alignment horizontal="center" vertical="center" wrapText="1"/>
      <protection locked="0"/>
    </xf>
    <xf numFmtId="1" fontId="32" fillId="0" borderId="0" xfId="1" applyNumberFormat="1" applyFont="1" applyAlignment="1">
      <alignment horizontal="center" vertical="center"/>
    </xf>
    <xf numFmtId="1" fontId="7" fillId="0" borderId="0" xfId="1" applyNumberFormat="1" applyFont="1" applyAlignment="1">
      <alignment horizontal="center" vertical="center"/>
    </xf>
    <xf numFmtId="0" fontId="9" fillId="0" borderId="1" xfId="5" applyFont="1" applyBorder="1" applyAlignment="1">
      <alignment horizontal="left"/>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0" fillId="2" borderId="1" xfId="0" applyFill="1" applyBorder="1" applyAlignment="1">
      <alignment horizontal="center" vertical="center" wrapText="1"/>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28.png"/><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21.jpe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11</xdr:row>
      <xdr:rowOff>19050</xdr:rowOff>
    </xdr:from>
    <xdr:to>
      <xdr:col>15</xdr:col>
      <xdr:colOff>229289</xdr:colOff>
      <xdr:row>13</xdr:row>
      <xdr:rowOff>104964</xdr:rowOff>
    </xdr:to>
    <xdr:pic>
      <xdr:nvPicPr>
        <xdr:cNvPr id="2" name="Picture 1">
          <a:extLst>
            <a:ext uri="{FF2B5EF4-FFF2-40B4-BE49-F238E27FC236}">
              <a16:creationId xmlns:a16="http://schemas.microsoft.com/office/drawing/2014/main" xmlns="" id="{00E89609-0F4A-4EF8-B387-CB4501F453D9}"/>
            </a:ext>
          </a:extLst>
        </xdr:cNvPr>
        <xdr:cNvPicPr>
          <a:picLocks noChangeAspect="1"/>
        </xdr:cNvPicPr>
      </xdr:nvPicPr>
      <xdr:blipFill>
        <a:blip xmlns:r="http://schemas.openxmlformats.org/officeDocument/2006/relationships" r:embed="rId1"/>
        <a:stretch>
          <a:fillRect/>
        </a:stretch>
      </xdr:blipFill>
      <xdr:spPr>
        <a:xfrm>
          <a:off x="7648575" y="2600325"/>
          <a:ext cx="4934639" cy="1343214"/>
        </a:xfrm>
        <a:prstGeom prst="rect">
          <a:avLst/>
        </a:prstGeom>
        <a:ln>
          <a:solidFill>
            <a:schemeClr val="tx1"/>
          </a:solidFill>
        </a:ln>
      </xdr:spPr>
    </xdr:pic>
    <xdr:clientData/>
  </xdr:twoCellAnchor>
  <xdr:twoCellAnchor editAs="oneCell">
    <xdr:from>
      <xdr:col>12</xdr:col>
      <xdr:colOff>400050</xdr:colOff>
      <xdr:row>14</xdr:row>
      <xdr:rowOff>161925</xdr:rowOff>
    </xdr:from>
    <xdr:to>
      <xdr:col>15</xdr:col>
      <xdr:colOff>661650</xdr:colOff>
      <xdr:row>19</xdr:row>
      <xdr:rowOff>84721</xdr:rowOff>
    </xdr:to>
    <xdr:pic>
      <xdr:nvPicPr>
        <xdr:cNvPr id="3" name="Picture 2">
          <a:extLst>
            <a:ext uri="{FF2B5EF4-FFF2-40B4-BE49-F238E27FC236}">
              <a16:creationId xmlns:a16="http://schemas.microsoft.com/office/drawing/2014/main" xmlns="" id="{7D7B340C-3AD6-48E0-9F6B-1ACB63446F4D}"/>
            </a:ext>
          </a:extLst>
        </xdr:cNvPr>
        <xdr:cNvPicPr>
          <a:picLocks noChangeAspect="1"/>
        </xdr:cNvPicPr>
      </xdr:nvPicPr>
      <xdr:blipFill>
        <a:blip xmlns:r="http://schemas.openxmlformats.org/officeDocument/2006/relationships" r:embed="rId2"/>
        <a:stretch>
          <a:fillRect/>
        </a:stretch>
      </xdr:blipFill>
      <xdr:spPr>
        <a:xfrm>
          <a:off x="10315575" y="4200525"/>
          <a:ext cx="2700000" cy="2589796"/>
        </a:xfrm>
        <a:prstGeom prst="rect">
          <a:avLst/>
        </a:prstGeom>
        <a:ln>
          <a:solidFill>
            <a:schemeClr val="tx1"/>
          </a:solidFill>
        </a:ln>
      </xdr:spPr>
    </xdr:pic>
    <xdr:clientData/>
  </xdr:twoCellAnchor>
  <xdr:twoCellAnchor editAs="oneCell">
    <xdr:from>
      <xdr:col>0</xdr:col>
      <xdr:colOff>718325</xdr:colOff>
      <xdr:row>345</xdr:row>
      <xdr:rowOff>180975</xdr:rowOff>
    </xdr:from>
    <xdr:to>
      <xdr:col>7</xdr:col>
      <xdr:colOff>50575</xdr:colOff>
      <xdr:row>363</xdr:row>
      <xdr:rowOff>525</xdr:rowOff>
    </xdr:to>
    <xdr:pic>
      <xdr:nvPicPr>
        <xdr:cNvPr id="4" name="Picture 3">
          <a:extLst>
            <a:ext uri="{FF2B5EF4-FFF2-40B4-BE49-F238E27FC236}">
              <a16:creationId xmlns:a16="http://schemas.microsoft.com/office/drawing/2014/main" xmlns="" id="{50DFCC07-302A-4889-B55F-24DEAB563ED5}"/>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718325" y="72523350"/>
          <a:ext cx="4913900" cy="3420000"/>
        </a:xfrm>
        <a:prstGeom prst="rect">
          <a:avLst/>
        </a:prstGeom>
        <a:ln>
          <a:solidFill>
            <a:schemeClr val="tx1"/>
          </a:solidFill>
        </a:ln>
      </xdr:spPr>
    </xdr:pic>
    <xdr:clientData/>
  </xdr:twoCellAnchor>
  <xdr:twoCellAnchor>
    <xdr:from>
      <xdr:col>0</xdr:col>
      <xdr:colOff>295275</xdr:colOff>
      <xdr:row>364</xdr:row>
      <xdr:rowOff>154190</xdr:rowOff>
    </xdr:from>
    <xdr:to>
      <xdr:col>7</xdr:col>
      <xdr:colOff>473625</xdr:colOff>
      <xdr:row>381</xdr:row>
      <xdr:rowOff>69277</xdr:rowOff>
    </xdr:to>
    <xdr:grpSp>
      <xdr:nvGrpSpPr>
        <xdr:cNvPr id="5" name="Group 4">
          <a:extLst>
            <a:ext uri="{FF2B5EF4-FFF2-40B4-BE49-F238E27FC236}">
              <a16:creationId xmlns:a16="http://schemas.microsoft.com/office/drawing/2014/main" xmlns="" id="{FB251114-106F-4ADC-88F1-5AA38FC2B0C5}"/>
            </a:ext>
          </a:extLst>
        </xdr:cNvPr>
        <xdr:cNvGrpSpPr/>
      </xdr:nvGrpSpPr>
      <xdr:grpSpPr>
        <a:xfrm>
          <a:off x="295275" y="76678040"/>
          <a:ext cx="5760000" cy="3315512"/>
          <a:chOff x="3009263" y="4025481"/>
          <a:chExt cx="5760000" cy="3315512"/>
        </a:xfrm>
      </xdr:grpSpPr>
      <xdr:pic>
        <xdr:nvPicPr>
          <xdr:cNvPr id="6" name="Picture 5">
            <a:extLst>
              <a:ext uri="{FF2B5EF4-FFF2-40B4-BE49-F238E27FC236}">
                <a16:creationId xmlns:a16="http://schemas.microsoft.com/office/drawing/2014/main" xmlns="" id="{4FFE4343-E255-43A6-9589-C9481A0CF11D}"/>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3009263" y="4025481"/>
            <a:ext cx="5760000" cy="3315512"/>
          </a:xfrm>
          <a:prstGeom prst="rect">
            <a:avLst/>
          </a:prstGeom>
          <a:ln>
            <a:solidFill>
              <a:schemeClr val="tx1"/>
            </a:solidFill>
          </a:ln>
        </xdr:spPr>
      </xdr:pic>
      <xdr:sp macro="" textlink="">
        <xdr:nvSpPr>
          <xdr:cNvPr id="7" name="Rectangle 6">
            <a:extLst>
              <a:ext uri="{FF2B5EF4-FFF2-40B4-BE49-F238E27FC236}">
                <a16:creationId xmlns:a16="http://schemas.microsoft.com/office/drawing/2014/main" xmlns="" id="{67056565-4C7B-4B30-AB43-C54A6A71A40C}"/>
              </a:ext>
            </a:extLst>
          </xdr:cNvPr>
          <xdr:cNvSpPr/>
        </xdr:nvSpPr>
        <xdr:spPr>
          <a:xfrm rot="426757">
            <a:off x="5599545" y="5340470"/>
            <a:ext cx="457248" cy="1510979"/>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8</xdr:col>
      <xdr:colOff>257175</xdr:colOff>
      <xdr:row>49</xdr:row>
      <xdr:rowOff>514350</xdr:rowOff>
    </xdr:from>
    <xdr:to>
      <xdr:col>13</xdr:col>
      <xdr:colOff>366150</xdr:colOff>
      <xdr:row>52</xdr:row>
      <xdr:rowOff>248339</xdr:rowOff>
    </xdr:to>
    <xdr:pic>
      <xdr:nvPicPr>
        <xdr:cNvPr id="8" name="Picture 7">
          <a:extLst>
            <a:ext uri="{FF2B5EF4-FFF2-40B4-BE49-F238E27FC236}">
              <a16:creationId xmlns:a16="http://schemas.microsoft.com/office/drawing/2014/main" xmlns="" id="{A1302E0F-DB46-4BA4-B5BA-B39AF4929D76}"/>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6572250" y="13134975"/>
          <a:ext cx="4500000" cy="2562914"/>
        </a:xfrm>
        <a:prstGeom prst="rect">
          <a:avLst/>
        </a:prstGeom>
        <a:ln>
          <a:solidFill>
            <a:schemeClr val="tx1"/>
          </a:solidFill>
        </a:ln>
      </xdr:spPr>
    </xdr:pic>
    <xdr:clientData/>
  </xdr:twoCellAnchor>
  <xdr:twoCellAnchor editAs="oneCell">
    <xdr:from>
      <xdr:col>8</xdr:col>
      <xdr:colOff>266700</xdr:colOff>
      <xdr:row>39</xdr:row>
      <xdr:rowOff>76200</xdr:rowOff>
    </xdr:from>
    <xdr:to>
      <xdr:col>13</xdr:col>
      <xdr:colOff>15675</xdr:colOff>
      <xdr:row>49</xdr:row>
      <xdr:rowOff>428266</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6581775" y="10696575"/>
          <a:ext cx="4140000" cy="2580916"/>
        </a:xfrm>
        <a:prstGeom prst="rect">
          <a:avLst/>
        </a:prstGeom>
        <a:ln>
          <a:solidFill>
            <a:schemeClr val="tx1"/>
          </a:solidFill>
        </a:ln>
      </xdr:spPr>
    </xdr:pic>
    <xdr:clientData/>
  </xdr:twoCellAnchor>
  <xdr:twoCellAnchor editAs="oneCell">
    <xdr:from>
      <xdr:col>8</xdr:col>
      <xdr:colOff>257175</xdr:colOff>
      <xdr:row>54</xdr:row>
      <xdr:rowOff>571500</xdr:rowOff>
    </xdr:from>
    <xdr:to>
      <xdr:col>11</xdr:col>
      <xdr:colOff>640650</xdr:colOff>
      <xdr:row>65</xdr:row>
      <xdr:rowOff>200687</xdr:rowOff>
    </xdr:to>
    <xdr:pic>
      <xdr:nvPicPr>
        <xdr:cNvPr id="10" name="Picture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572250" y="16011525"/>
          <a:ext cx="3060000" cy="2762912"/>
        </a:xfrm>
        <a:prstGeom prst="rect">
          <a:avLst/>
        </a:prstGeom>
        <a:ln>
          <a:solidFill>
            <a:schemeClr val="tx1"/>
          </a:solidFill>
        </a:ln>
      </xdr:spPr>
    </xdr:pic>
    <xdr:clientData/>
  </xdr:twoCellAnchor>
  <xdr:twoCellAnchor editAs="oneCell">
    <xdr:from>
      <xdr:col>11</xdr:col>
      <xdr:colOff>666750</xdr:colOff>
      <xdr:row>54</xdr:row>
      <xdr:rowOff>590550</xdr:rowOff>
    </xdr:from>
    <xdr:to>
      <xdr:col>14</xdr:col>
      <xdr:colOff>114050</xdr:colOff>
      <xdr:row>56</xdr:row>
      <xdr:rowOff>247558</xdr:rowOff>
    </xdr:to>
    <xdr:pic>
      <xdr:nvPicPr>
        <xdr:cNvPr id="11" name="Picture 10">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8"/>
        <a:stretch>
          <a:fillRect/>
        </a:stretch>
      </xdr:blipFill>
      <xdr:spPr>
        <a:xfrm>
          <a:off x="9658350" y="16030575"/>
          <a:ext cx="2000000" cy="733333"/>
        </a:xfrm>
        <a:prstGeom prst="rect">
          <a:avLst/>
        </a:prstGeom>
        <a:ln>
          <a:solidFill>
            <a:schemeClr val="tx1"/>
          </a:solidFill>
        </a:ln>
      </xdr:spPr>
    </xdr:pic>
    <xdr:clientData/>
  </xdr:twoCellAnchor>
  <xdr:twoCellAnchor editAs="oneCell">
    <xdr:from>
      <xdr:col>10</xdr:col>
      <xdr:colOff>136525</xdr:colOff>
      <xdr:row>63</xdr:row>
      <xdr:rowOff>285750</xdr:rowOff>
    </xdr:from>
    <xdr:to>
      <xdr:col>14</xdr:col>
      <xdr:colOff>273575</xdr:colOff>
      <xdr:row>72</xdr:row>
      <xdr:rowOff>5174</xdr:rowOff>
    </xdr:to>
    <xdr:pic>
      <xdr:nvPicPr>
        <xdr:cNvPr id="12" name="Picture 11">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8778875" y="19958050"/>
          <a:ext cx="3591450" cy="2361024"/>
        </a:xfrm>
        <a:prstGeom prst="rect">
          <a:avLst/>
        </a:prstGeom>
        <a:ln>
          <a:solidFill>
            <a:schemeClr val="tx1"/>
          </a:solidFill>
        </a:ln>
      </xdr:spPr>
    </xdr:pic>
    <xdr:clientData/>
  </xdr:twoCellAnchor>
  <xdr:twoCellAnchor editAs="oneCell">
    <xdr:from>
      <xdr:col>12</xdr:col>
      <xdr:colOff>161925</xdr:colOff>
      <xdr:row>64</xdr:row>
      <xdr:rowOff>114300</xdr:rowOff>
    </xdr:from>
    <xdr:to>
      <xdr:col>16</xdr:col>
      <xdr:colOff>362475</xdr:colOff>
      <xdr:row>70</xdr:row>
      <xdr:rowOff>3846</xdr:rowOff>
    </xdr:to>
    <xdr:pic>
      <xdr:nvPicPr>
        <xdr:cNvPr id="13" name="Picture 12">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0077450" y="18897600"/>
          <a:ext cx="3420000" cy="1731046"/>
        </a:xfrm>
        <a:prstGeom prst="rect">
          <a:avLst/>
        </a:prstGeom>
        <a:ln>
          <a:solidFill>
            <a:schemeClr val="tx1"/>
          </a:solidFill>
        </a:ln>
      </xdr:spPr>
    </xdr:pic>
    <xdr:clientData/>
  </xdr:twoCellAnchor>
  <xdr:twoCellAnchor>
    <xdr:from>
      <xdr:col>1</xdr:col>
      <xdr:colOff>414061</xdr:colOff>
      <xdr:row>302</xdr:row>
      <xdr:rowOff>147915</xdr:rowOff>
    </xdr:from>
    <xdr:to>
      <xdr:col>6</xdr:col>
      <xdr:colOff>133350</xdr:colOff>
      <xdr:row>336</xdr:row>
      <xdr:rowOff>123826</xdr:rowOff>
    </xdr:to>
    <xdr:grpSp>
      <xdr:nvGrpSpPr>
        <xdr:cNvPr id="14" name="Group 13">
          <a:extLst>
            <a:ext uri="{FF2B5EF4-FFF2-40B4-BE49-F238E27FC236}">
              <a16:creationId xmlns:a16="http://schemas.microsoft.com/office/drawing/2014/main" xmlns="" id="{00000000-0008-0000-0000-00000E000000}"/>
            </a:ext>
          </a:extLst>
        </xdr:cNvPr>
        <xdr:cNvGrpSpPr/>
      </xdr:nvGrpSpPr>
      <xdr:grpSpPr>
        <a:xfrm rot="5400000">
          <a:off x="-309563" y="65755839"/>
          <a:ext cx="6776761" cy="3805514"/>
          <a:chOff x="197753" y="1306171"/>
          <a:chExt cx="5760000" cy="2417278"/>
        </a:xfrm>
      </xdr:grpSpPr>
      <xdr:pic>
        <xdr:nvPicPr>
          <xdr:cNvPr id="15" name="Picture 14">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97753" y="1306171"/>
            <a:ext cx="5760000" cy="2417278"/>
          </a:xfrm>
          <a:prstGeom prst="rect">
            <a:avLst/>
          </a:prstGeom>
          <a:ln>
            <a:solidFill>
              <a:schemeClr val="tx1"/>
            </a:solidFill>
          </a:ln>
        </xdr:spPr>
      </xdr:pic>
      <xdr:sp macro="" textlink="">
        <xdr:nvSpPr>
          <xdr:cNvPr id="16" name="Freeform 15">
            <a:extLst>
              <a:ext uri="{FF2B5EF4-FFF2-40B4-BE49-F238E27FC236}">
                <a16:creationId xmlns:a16="http://schemas.microsoft.com/office/drawing/2014/main" xmlns="" id="{00000000-0008-0000-0000-000010000000}"/>
              </a:ext>
            </a:extLst>
          </xdr:cNvPr>
          <xdr:cNvSpPr/>
        </xdr:nvSpPr>
        <xdr:spPr>
          <a:xfrm>
            <a:off x="3417094" y="2726531"/>
            <a:ext cx="381000" cy="357188"/>
          </a:xfrm>
          <a:custGeom>
            <a:avLst/>
            <a:gdLst>
              <a:gd name="connsiteX0" fmla="*/ 97631 w 381000"/>
              <a:gd name="connsiteY0" fmla="*/ 4763 h 357188"/>
              <a:gd name="connsiteX1" fmla="*/ 223837 w 381000"/>
              <a:gd name="connsiteY1" fmla="*/ 0 h 357188"/>
              <a:gd name="connsiteX2" fmla="*/ 223837 w 381000"/>
              <a:gd name="connsiteY2" fmla="*/ 214313 h 357188"/>
              <a:gd name="connsiteX3" fmla="*/ 371475 w 381000"/>
              <a:gd name="connsiteY3" fmla="*/ 216694 h 357188"/>
              <a:gd name="connsiteX4" fmla="*/ 381000 w 381000"/>
              <a:gd name="connsiteY4" fmla="*/ 357188 h 357188"/>
              <a:gd name="connsiteX5" fmla="*/ 9525 w 381000"/>
              <a:gd name="connsiteY5" fmla="*/ 354807 h 357188"/>
              <a:gd name="connsiteX6" fmla="*/ 0 w 381000"/>
              <a:gd name="connsiteY6" fmla="*/ 200025 h 357188"/>
              <a:gd name="connsiteX7" fmla="*/ 97631 w 381000"/>
              <a:gd name="connsiteY7" fmla="*/ 195263 h 357188"/>
              <a:gd name="connsiteX8" fmla="*/ 97631 w 381000"/>
              <a:gd name="connsiteY8" fmla="*/ 4763 h 3571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81000" h="357188">
                <a:moveTo>
                  <a:pt x="97631" y="4763"/>
                </a:moveTo>
                <a:lnTo>
                  <a:pt x="223837" y="0"/>
                </a:lnTo>
                <a:lnTo>
                  <a:pt x="223837" y="214313"/>
                </a:lnTo>
                <a:lnTo>
                  <a:pt x="371475" y="216694"/>
                </a:lnTo>
                <a:lnTo>
                  <a:pt x="381000" y="357188"/>
                </a:lnTo>
                <a:lnTo>
                  <a:pt x="9525" y="354807"/>
                </a:lnTo>
                <a:lnTo>
                  <a:pt x="0" y="200025"/>
                </a:lnTo>
                <a:lnTo>
                  <a:pt x="97631" y="195263"/>
                </a:lnTo>
                <a:lnTo>
                  <a:pt x="97631" y="4763"/>
                </a:lnTo>
                <a:close/>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7" name="TextBox 4">
            <a:extLst>
              <a:ext uri="{FF2B5EF4-FFF2-40B4-BE49-F238E27FC236}">
                <a16:creationId xmlns:a16="http://schemas.microsoft.com/office/drawing/2014/main" xmlns="" id="{00000000-0008-0000-0000-000011000000}"/>
              </a:ext>
            </a:extLst>
          </xdr:cNvPr>
          <xdr:cNvSpPr txBox="1"/>
        </xdr:nvSpPr>
        <xdr:spPr>
          <a:xfrm rot="16200000">
            <a:off x="3459215" y="3014459"/>
            <a:ext cx="418202" cy="32946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Wing 1</a:t>
            </a:r>
            <a:endParaRPr lang="en-IN" sz="1000" b="1"/>
          </a:p>
        </xdr:txBody>
      </xdr:sp>
      <xdr:sp macro="" textlink="">
        <xdr:nvSpPr>
          <xdr:cNvPr id="18" name="Freeform 17">
            <a:extLst>
              <a:ext uri="{FF2B5EF4-FFF2-40B4-BE49-F238E27FC236}">
                <a16:creationId xmlns:a16="http://schemas.microsoft.com/office/drawing/2014/main" xmlns="" id="{00000000-0008-0000-0000-000012000000}"/>
              </a:ext>
            </a:extLst>
          </xdr:cNvPr>
          <xdr:cNvSpPr/>
        </xdr:nvSpPr>
        <xdr:spPr>
          <a:xfrm>
            <a:off x="2912269" y="2740819"/>
            <a:ext cx="459581" cy="335756"/>
          </a:xfrm>
          <a:custGeom>
            <a:avLst/>
            <a:gdLst>
              <a:gd name="connsiteX0" fmla="*/ 173831 w 459581"/>
              <a:gd name="connsiteY0" fmla="*/ 0 h 335756"/>
              <a:gd name="connsiteX1" fmla="*/ 173831 w 459581"/>
              <a:gd name="connsiteY1" fmla="*/ 0 h 335756"/>
              <a:gd name="connsiteX2" fmla="*/ 290512 w 459581"/>
              <a:gd name="connsiteY2" fmla="*/ 2381 h 335756"/>
              <a:gd name="connsiteX3" fmla="*/ 292894 w 459581"/>
              <a:gd name="connsiteY3" fmla="*/ 190500 h 335756"/>
              <a:gd name="connsiteX4" fmla="*/ 459581 w 459581"/>
              <a:gd name="connsiteY4" fmla="*/ 190500 h 335756"/>
              <a:gd name="connsiteX5" fmla="*/ 454819 w 459581"/>
              <a:gd name="connsiteY5" fmla="*/ 330994 h 335756"/>
              <a:gd name="connsiteX6" fmla="*/ 4762 w 459581"/>
              <a:gd name="connsiteY6" fmla="*/ 335756 h 335756"/>
              <a:gd name="connsiteX7" fmla="*/ 0 w 459581"/>
              <a:gd name="connsiteY7" fmla="*/ 178594 h 335756"/>
              <a:gd name="connsiteX8" fmla="*/ 171450 w 459581"/>
              <a:gd name="connsiteY8" fmla="*/ 192881 h 335756"/>
              <a:gd name="connsiteX9" fmla="*/ 173831 w 459581"/>
              <a:gd name="connsiteY9" fmla="*/ 0 h 3357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459581" h="335756">
                <a:moveTo>
                  <a:pt x="173831" y="0"/>
                </a:moveTo>
                <a:lnTo>
                  <a:pt x="173831" y="0"/>
                </a:lnTo>
                <a:cubicBezTo>
                  <a:pt x="263518" y="2802"/>
                  <a:pt x="224619" y="2381"/>
                  <a:pt x="290512" y="2381"/>
                </a:cubicBezTo>
                <a:lnTo>
                  <a:pt x="292894" y="190500"/>
                </a:lnTo>
                <a:lnTo>
                  <a:pt x="459581" y="190500"/>
                </a:lnTo>
                <a:lnTo>
                  <a:pt x="454819" y="330994"/>
                </a:lnTo>
                <a:lnTo>
                  <a:pt x="4762" y="335756"/>
                </a:lnTo>
                <a:lnTo>
                  <a:pt x="0" y="178594"/>
                </a:lnTo>
                <a:lnTo>
                  <a:pt x="171450" y="192881"/>
                </a:lnTo>
                <a:cubicBezTo>
                  <a:pt x="172244" y="128587"/>
                  <a:pt x="173037" y="64294"/>
                  <a:pt x="173831" y="0"/>
                </a:cubicBezTo>
                <a:close/>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9" name="TextBox 21">
            <a:extLst>
              <a:ext uri="{FF2B5EF4-FFF2-40B4-BE49-F238E27FC236}">
                <a16:creationId xmlns:a16="http://schemas.microsoft.com/office/drawing/2014/main" xmlns="" id="{00000000-0008-0000-0000-000013000000}"/>
              </a:ext>
            </a:extLst>
          </xdr:cNvPr>
          <xdr:cNvSpPr txBox="1"/>
        </xdr:nvSpPr>
        <xdr:spPr>
          <a:xfrm rot="16200000">
            <a:off x="2991061" y="3030649"/>
            <a:ext cx="418202" cy="32946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Wing 2</a:t>
            </a:r>
            <a:endParaRPr lang="en-IN" sz="1000" b="1"/>
          </a:p>
        </xdr:txBody>
      </xdr:sp>
      <xdr:sp macro="" textlink="">
        <xdr:nvSpPr>
          <xdr:cNvPr id="20" name="TextBox 23">
            <a:extLst>
              <a:ext uri="{FF2B5EF4-FFF2-40B4-BE49-F238E27FC236}">
                <a16:creationId xmlns:a16="http://schemas.microsoft.com/office/drawing/2014/main" xmlns="" id="{00000000-0008-0000-0000-000014000000}"/>
              </a:ext>
            </a:extLst>
          </xdr:cNvPr>
          <xdr:cNvSpPr txBox="1"/>
        </xdr:nvSpPr>
        <xdr:spPr>
          <a:xfrm rot="16200000">
            <a:off x="2553149" y="3014459"/>
            <a:ext cx="418202" cy="32946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Wing 3</a:t>
            </a:r>
            <a:endParaRPr lang="en-IN" sz="1000" b="1"/>
          </a:p>
        </xdr:txBody>
      </xdr:sp>
      <xdr:sp macro="" textlink="">
        <xdr:nvSpPr>
          <xdr:cNvPr id="21" name="TextBox 24">
            <a:extLst>
              <a:ext uri="{FF2B5EF4-FFF2-40B4-BE49-F238E27FC236}">
                <a16:creationId xmlns:a16="http://schemas.microsoft.com/office/drawing/2014/main" xmlns="" id="{00000000-0008-0000-0000-000015000000}"/>
              </a:ext>
            </a:extLst>
          </xdr:cNvPr>
          <xdr:cNvSpPr txBox="1"/>
        </xdr:nvSpPr>
        <xdr:spPr>
          <a:xfrm rot="16200000">
            <a:off x="2149370" y="3022471"/>
            <a:ext cx="418202" cy="32946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Wing 4</a:t>
            </a:r>
            <a:endParaRPr lang="en-IN" sz="1000" b="1"/>
          </a:p>
        </xdr:txBody>
      </xdr:sp>
      <xdr:sp macro="" textlink="">
        <xdr:nvSpPr>
          <xdr:cNvPr id="22" name="TextBox 25">
            <a:extLst>
              <a:ext uri="{FF2B5EF4-FFF2-40B4-BE49-F238E27FC236}">
                <a16:creationId xmlns:a16="http://schemas.microsoft.com/office/drawing/2014/main" xmlns="" id="{00000000-0008-0000-0000-000016000000}"/>
              </a:ext>
            </a:extLst>
          </xdr:cNvPr>
          <xdr:cNvSpPr txBox="1"/>
        </xdr:nvSpPr>
        <xdr:spPr>
          <a:xfrm rot="16200000">
            <a:off x="1713626" y="3049240"/>
            <a:ext cx="418202" cy="32946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Wing 5</a:t>
            </a:r>
            <a:endParaRPr lang="en-IN" sz="1000" b="1"/>
          </a:p>
        </xdr:txBody>
      </xdr:sp>
      <xdr:sp macro="" textlink="">
        <xdr:nvSpPr>
          <xdr:cNvPr id="23" name="Rectangle 22">
            <a:extLst>
              <a:ext uri="{FF2B5EF4-FFF2-40B4-BE49-F238E27FC236}">
                <a16:creationId xmlns:a16="http://schemas.microsoft.com/office/drawing/2014/main" xmlns="" id="{00000000-0008-0000-0000-000017000000}"/>
              </a:ext>
            </a:extLst>
          </xdr:cNvPr>
          <xdr:cNvSpPr/>
        </xdr:nvSpPr>
        <xdr:spPr>
          <a:xfrm>
            <a:off x="1784871" y="2726531"/>
            <a:ext cx="1136923" cy="350044"/>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8</xdr:col>
      <xdr:colOff>114300</xdr:colOff>
      <xdr:row>15</xdr:row>
      <xdr:rowOff>95250</xdr:rowOff>
    </xdr:from>
    <xdr:to>
      <xdr:col>13</xdr:col>
      <xdr:colOff>85180</xdr:colOff>
      <xdr:row>15</xdr:row>
      <xdr:rowOff>838107</xdr:rowOff>
    </xdr:to>
    <xdr:pic>
      <xdr:nvPicPr>
        <xdr:cNvPr id="24" name="Picture 23">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12"/>
        <a:stretch>
          <a:fillRect/>
        </a:stretch>
      </xdr:blipFill>
      <xdr:spPr>
        <a:xfrm>
          <a:off x="6429375" y="4610100"/>
          <a:ext cx="4361905" cy="742857"/>
        </a:xfrm>
        <a:prstGeom prst="rect">
          <a:avLst/>
        </a:prstGeom>
        <a:ln>
          <a:solidFill>
            <a:schemeClr val="tx1"/>
          </a:solidFill>
        </a:ln>
      </xdr:spPr>
    </xdr:pic>
    <xdr:clientData/>
  </xdr:twoCellAnchor>
  <xdr:twoCellAnchor>
    <xdr:from>
      <xdr:col>0</xdr:col>
      <xdr:colOff>82550</xdr:colOff>
      <xdr:row>259</xdr:row>
      <xdr:rowOff>158750</xdr:rowOff>
    </xdr:from>
    <xdr:to>
      <xdr:col>7</xdr:col>
      <xdr:colOff>694091</xdr:colOff>
      <xdr:row>288</xdr:row>
      <xdr:rowOff>69837</xdr:rowOff>
    </xdr:to>
    <xdr:grpSp>
      <xdr:nvGrpSpPr>
        <xdr:cNvPr id="25" name="Group 24">
          <a:extLst>
            <a:ext uri="{FF2B5EF4-FFF2-40B4-BE49-F238E27FC236}">
              <a16:creationId xmlns:a16="http://schemas.microsoft.com/office/drawing/2014/main" xmlns="" id="{00000000-0008-0000-0000-000019000000}"/>
            </a:ext>
          </a:extLst>
        </xdr:cNvPr>
        <xdr:cNvGrpSpPr/>
      </xdr:nvGrpSpPr>
      <xdr:grpSpPr>
        <a:xfrm>
          <a:off x="82550" y="55689500"/>
          <a:ext cx="6193191" cy="5702287"/>
          <a:chOff x="82550" y="47421800"/>
          <a:chExt cx="6466241" cy="5613387"/>
        </a:xfrm>
      </xdr:grpSpPr>
      <xdr:pic>
        <xdr:nvPicPr>
          <xdr:cNvPr id="30" name="Picture 29">
            <a:extLst>
              <a:ext uri="{FF2B5EF4-FFF2-40B4-BE49-F238E27FC236}">
                <a16:creationId xmlns:a16="http://schemas.microsoft.com/office/drawing/2014/main" xmlns="" id="{00000000-0008-0000-0000-00001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82550" y="47421800"/>
            <a:ext cx="2049863" cy="2736000"/>
          </a:xfrm>
          <a:prstGeom prst="rect">
            <a:avLst/>
          </a:prstGeom>
          <a:ln>
            <a:solidFill>
              <a:schemeClr val="tx1"/>
            </a:solidFill>
          </a:ln>
        </xdr:spPr>
      </xdr:pic>
      <xdr:pic>
        <xdr:nvPicPr>
          <xdr:cNvPr id="31" name="Picture 30">
            <a:extLst>
              <a:ext uri="{FF2B5EF4-FFF2-40B4-BE49-F238E27FC236}">
                <a16:creationId xmlns:a16="http://schemas.microsoft.com/office/drawing/2014/main" xmlns="" id="{00000000-0008-0000-0000-00001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290739" y="47421800"/>
            <a:ext cx="2049863" cy="2736000"/>
          </a:xfrm>
          <a:prstGeom prst="rect">
            <a:avLst/>
          </a:prstGeom>
          <a:ln>
            <a:solidFill>
              <a:schemeClr val="tx1"/>
            </a:solidFill>
          </a:ln>
        </xdr:spPr>
      </xdr:pic>
      <xdr:pic>
        <xdr:nvPicPr>
          <xdr:cNvPr id="37" name="Picture 36">
            <a:extLst>
              <a:ext uri="{FF2B5EF4-FFF2-40B4-BE49-F238E27FC236}">
                <a16:creationId xmlns:a16="http://schemas.microsoft.com/office/drawing/2014/main" xmlns="" id="{00000000-0008-0000-0000-000025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498928" y="47421800"/>
            <a:ext cx="2049863" cy="2736000"/>
          </a:xfrm>
          <a:prstGeom prst="rect">
            <a:avLst/>
          </a:prstGeom>
          <a:ln>
            <a:solidFill>
              <a:schemeClr val="tx1"/>
            </a:solidFill>
          </a:ln>
        </xdr:spPr>
      </xdr:pic>
      <xdr:pic>
        <xdr:nvPicPr>
          <xdr:cNvPr id="38" name="Picture 37">
            <a:extLst>
              <a:ext uri="{FF2B5EF4-FFF2-40B4-BE49-F238E27FC236}">
                <a16:creationId xmlns:a16="http://schemas.microsoft.com/office/drawing/2014/main" xmlns="" id="{00000000-0008-0000-0000-000026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82550" y="50299187"/>
            <a:ext cx="2049863" cy="2736000"/>
          </a:xfrm>
          <a:prstGeom prst="rect">
            <a:avLst/>
          </a:prstGeom>
          <a:ln>
            <a:solidFill>
              <a:schemeClr val="tx1"/>
            </a:solidFill>
          </a:ln>
        </xdr:spPr>
      </xdr:pic>
      <xdr:pic>
        <xdr:nvPicPr>
          <xdr:cNvPr id="39" name="Picture 38">
            <a:extLst>
              <a:ext uri="{FF2B5EF4-FFF2-40B4-BE49-F238E27FC236}">
                <a16:creationId xmlns:a16="http://schemas.microsoft.com/office/drawing/2014/main" xmlns="" id="{00000000-0008-0000-0000-000027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290739" y="50299187"/>
            <a:ext cx="2049863" cy="2736000"/>
          </a:xfrm>
          <a:prstGeom prst="rect">
            <a:avLst/>
          </a:prstGeom>
          <a:ln>
            <a:solidFill>
              <a:schemeClr val="tx1"/>
            </a:solidFill>
          </a:ln>
        </xdr:spPr>
      </xdr:pic>
      <xdr:pic>
        <xdr:nvPicPr>
          <xdr:cNvPr id="40" name="Picture 39">
            <a:extLst>
              <a:ext uri="{FF2B5EF4-FFF2-40B4-BE49-F238E27FC236}">
                <a16:creationId xmlns:a16="http://schemas.microsoft.com/office/drawing/2014/main" xmlns="" id="{00000000-0008-0000-0000-000028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498928" y="50299187"/>
            <a:ext cx="2049863"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33618</xdr:colOff>
      <xdr:row>14</xdr:row>
      <xdr:rowOff>160628</xdr:rowOff>
    </xdr:from>
    <xdr:to>
      <xdr:col>2</xdr:col>
      <xdr:colOff>1115692</xdr:colOff>
      <xdr:row>22</xdr:row>
      <xdr:rowOff>76628</xdr:rowOff>
    </xdr:to>
    <xdr:pic>
      <xdr:nvPicPr>
        <xdr:cNvPr id="3" name="Picture 2">
          <a:extLst>
            <a:ext uri="{FF2B5EF4-FFF2-40B4-BE49-F238E27FC236}">
              <a16:creationId xmlns:a16="http://schemas.microsoft.com/office/drawing/2014/main" xmlns="" id="{FCDFE18D-0BAE-E821-5A07-B50A7A52EC43}"/>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16324" y="2838834"/>
          <a:ext cx="2561250" cy="1440000"/>
        </a:xfrm>
        <a:prstGeom prst="rect">
          <a:avLst/>
        </a:prstGeom>
        <a:ln>
          <a:solidFill>
            <a:schemeClr val="tx1"/>
          </a:solidFill>
        </a:ln>
      </xdr:spPr>
    </xdr:pic>
    <xdr:clientData/>
  </xdr:twoCellAnchor>
  <xdr:twoCellAnchor editAs="oneCell">
    <xdr:from>
      <xdr:col>1</xdr:col>
      <xdr:colOff>33618</xdr:colOff>
      <xdr:row>24</xdr:row>
      <xdr:rowOff>67920</xdr:rowOff>
    </xdr:from>
    <xdr:to>
      <xdr:col>2</xdr:col>
      <xdr:colOff>1115692</xdr:colOff>
      <xdr:row>31</xdr:row>
      <xdr:rowOff>174420</xdr:rowOff>
    </xdr:to>
    <xdr:pic>
      <xdr:nvPicPr>
        <xdr:cNvPr id="4" name="Picture 3">
          <a:extLst>
            <a:ext uri="{FF2B5EF4-FFF2-40B4-BE49-F238E27FC236}">
              <a16:creationId xmlns:a16="http://schemas.microsoft.com/office/drawing/2014/main" xmlns="" id="{FA1A4320-91D2-8438-E783-09BCD027DBAA}"/>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16324" y="4651126"/>
          <a:ext cx="2561250" cy="1440000"/>
        </a:xfrm>
        <a:prstGeom prst="rect">
          <a:avLst/>
        </a:prstGeom>
        <a:ln>
          <a:solidFill>
            <a:schemeClr val="tx1"/>
          </a:solidFill>
        </a:ln>
      </xdr:spPr>
    </xdr:pic>
    <xdr:clientData/>
  </xdr:twoCellAnchor>
  <xdr:twoCellAnchor editAs="oneCell">
    <xdr:from>
      <xdr:col>2</xdr:col>
      <xdr:colOff>1350646</xdr:colOff>
      <xdr:row>14</xdr:row>
      <xdr:rowOff>134471</xdr:rowOff>
    </xdr:from>
    <xdr:to>
      <xdr:col>4</xdr:col>
      <xdr:colOff>684602</xdr:colOff>
      <xdr:row>22</xdr:row>
      <xdr:rowOff>50471</xdr:rowOff>
    </xdr:to>
    <xdr:pic>
      <xdr:nvPicPr>
        <xdr:cNvPr id="5" name="Picture 4">
          <a:extLst>
            <a:ext uri="{FF2B5EF4-FFF2-40B4-BE49-F238E27FC236}">
              <a16:creationId xmlns:a16="http://schemas.microsoft.com/office/drawing/2014/main" xmlns="" id="{0B6F2312-DF6D-48AB-B9B3-9A53AE40C4F1}"/>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412528" y="2812677"/>
          <a:ext cx="2561250" cy="1440000"/>
        </a:xfrm>
        <a:prstGeom prst="rect">
          <a:avLst/>
        </a:prstGeom>
        <a:ln>
          <a:solidFill>
            <a:schemeClr val="tx1"/>
          </a:solidFill>
        </a:ln>
      </xdr:spPr>
    </xdr:pic>
    <xdr:clientData/>
  </xdr:twoCellAnchor>
  <xdr:twoCellAnchor editAs="oneCell">
    <xdr:from>
      <xdr:col>2</xdr:col>
      <xdr:colOff>1350646</xdr:colOff>
      <xdr:row>24</xdr:row>
      <xdr:rowOff>67920</xdr:rowOff>
    </xdr:from>
    <xdr:to>
      <xdr:col>4</xdr:col>
      <xdr:colOff>684602</xdr:colOff>
      <xdr:row>31</xdr:row>
      <xdr:rowOff>174420</xdr:rowOff>
    </xdr:to>
    <xdr:pic>
      <xdr:nvPicPr>
        <xdr:cNvPr id="6" name="Picture 5">
          <a:extLst>
            <a:ext uri="{FF2B5EF4-FFF2-40B4-BE49-F238E27FC236}">
              <a16:creationId xmlns:a16="http://schemas.microsoft.com/office/drawing/2014/main" xmlns="" id="{3F37ECC5-86E0-E128-81AD-A0F551134D3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412528" y="4651126"/>
          <a:ext cx="2561250" cy="1440000"/>
        </a:xfrm>
        <a:prstGeom prst="rect">
          <a:avLst/>
        </a:prstGeom>
        <a:ln>
          <a:solidFill>
            <a:schemeClr val="tx1"/>
          </a:solidFill>
        </a:ln>
      </xdr:spPr>
    </xdr:pic>
    <xdr:clientData/>
  </xdr:twoCellAnchor>
  <xdr:twoCellAnchor editAs="oneCell">
    <xdr:from>
      <xdr:col>2</xdr:col>
      <xdr:colOff>1350646</xdr:colOff>
      <xdr:row>32</xdr:row>
      <xdr:rowOff>176987</xdr:rowOff>
    </xdr:from>
    <xdr:to>
      <xdr:col>4</xdr:col>
      <xdr:colOff>684602</xdr:colOff>
      <xdr:row>40</xdr:row>
      <xdr:rowOff>92987</xdr:rowOff>
    </xdr:to>
    <xdr:pic>
      <xdr:nvPicPr>
        <xdr:cNvPr id="7" name="Picture 6">
          <a:extLst>
            <a:ext uri="{FF2B5EF4-FFF2-40B4-BE49-F238E27FC236}">
              <a16:creationId xmlns:a16="http://schemas.microsoft.com/office/drawing/2014/main" xmlns="" id="{CB052FC9-3F7C-E4A4-05E4-545B178ABAE2}"/>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412528" y="6284193"/>
          <a:ext cx="2561250" cy="1440000"/>
        </a:xfrm>
        <a:prstGeom prst="rect">
          <a:avLst/>
        </a:prstGeom>
        <a:ln>
          <a:solidFill>
            <a:schemeClr val="tx1"/>
          </a:solidFill>
        </a:ln>
      </xdr:spPr>
    </xdr:pic>
    <xdr:clientData/>
  </xdr:twoCellAnchor>
  <xdr:twoCellAnchor editAs="oneCell">
    <xdr:from>
      <xdr:col>1</xdr:col>
      <xdr:colOff>33618</xdr:colOff>
      <xdr:row>33</xdr:row>
      <xdr:rowOff>15879</xdr:rowOff>
    </xdr:from>
    <xdr:to>
      <xdr:col>2</xdr:col>
      <xdr:colOff>1115692</xdr:colOff>
      <xdr:row>40</xdr:row>
      <xdr:rowOff>122379</xdr:rowOff>
    </xdr:to>
    <xdr:pic>
      <xdr:nvPicPr>
        <xdr:cNvPr id="8" name="Picture 7">
          <a:extLst>
            <a:ext uri="{FF2B5EF4-FFF2-40B4-BE49-F238E27FC236}">
              <a16:creationId xmlns:a16="http://schemas.microsoft.com/office/drawing/2014/main" xmlns="" id="{64A65D37-BF65-1035-94EB-3DDB249B1FC4}"/>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16324" y="6313585"/>
          <a:ext cx="2561250" cy="1440000"/>
        </a:xfrm>
        <a:prstGeom prst="rect">
          <a:avLst/>
        </a:prstGeom>
        <a:ln>
          <a:solidFill>
            <a:schemeClr val="tx1"/>
          </a:solidFill>
        </a:ln>
      </xdr:spPr>
    </xdr:pic>
    <xdr:clientData/>
  </xdr:twoCellAnchor>
  <xdr:twoCellAnchor editAs="oneCell">
    <xdr:from>
      <xdr:col>2</xdr:col>
      <xdr:colOff>70021</xdr:colOff>
      <xdr:row>41</xdr:row>
      <xdr:rowOff>154338</xdr:rowOff>
    </xdr:from>
    <xdr:to>
      <xdr:col>3</xdr:col>
      <xdr:colOff>165977</xdr:colOff>
      <xdr:row>49</xdr:row>
      <xdr:rowOff>70338</xdr:rowOff>
    </xdr:to>
    <xdr:pic>
      <xdr:nvPicPr>
        <xdr:cNvPr id="9" name="Picture 8">
          <a:extLst>
            <a:ext uri="{FF2B5EF4-FFF2-40B4-BE49-F238E27FC236}">
              <a16:creationId xmlns:a16="http://schemas.microsoft.com/office/drawing/2014/main" xmlns="" id="{9467CBCF-A14F-63FA-B81F-C754064CB5B2}"/>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131903" y="7976044"/>
          <a:ext cx="2561250" cy="144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25downtowns.com/?utm_source=google&amp;utm_medium=cpc&amp;utm_campaign=Hubtown%2025downtown%20SOBO&amp;utm_term=25%20downtown&amp;utm_Physical_Location=9062280&amp;utm_Targetid=kwd-758549780125&amp;utm_Target=&amp;utm_Pl" TargetMode="External"/><Relationship Id="rId1" Type="http://schemas.openxmlformats.org/officeDocument/2006/relationships/hyperlink" Target="https://maps.app.goo.gl/x4XPMXDEouRkiaiW6"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45"/>
  <sheetViews>
    <sheetView tabSelected="1" view="pageBreakPreview" zoomScaleNormal="100" zoomScaleSheetLayoutView="100" zoomScalePageLayoutView="85" workbookViewId="0">
      <selection activeCell="I4" sqref="I4"/>
    </sheetView>
  </sheetViews>
  <sheetFormatPr defaultColWidth="9.140625" defaultRowHeight="15.75" x14ac:dyDescent="0.25"/>
  <cols>
    <col min="1" max="1" width="11.42578125" style="38" customWidth="1"/>
    <col min="2" max="2" width="12" style="38" customWidth="1"/>
    <col min="3" max="3" width="12.7109375" style="38" customWidth="1"/>
    <col min="4" max="4" width="13.7109375" style="38" customWidth="1"/>
    <col min="5" max="5" width="11.7109375" style="38" customWidth="1"/>
    <col min="6" max="6" width="11.140625" style="38" customWidth="1"/>
    <col min="7" max="8" width="11" style="38" customWidth="1"/>
    <col min="9" max="9" width="17.42578125" style="19" customWidth="1"/>
    <col min="10" max="10" width="11.42578125" style="19" customWidth="1"/>
    <col min="11" max="11" width="11.28515625" style="19" bestFit="1" customWidth="1"/>
    <col min="12" max="12" width="13.85546875" style="19" bestFit="1" customWidth="1"/>
    <col min="13" max="13" width="11.85546875" style="19" customWidth="1"/>
    <col min="14" max="14" width="12.5703125" style="19" customWidth="1"/>
    <col min="15" max="15" width="12.140625" style="19" customWidth="1"/>
    <col min="16" max="16" width="11.7109375" style="19" customWidth="1"/>
    <col min="17" max="18" width="9.140625" style="19"/>
    <col min="19" max="19" width="10.85546875" style="19" bestFit="1" customWidth="1"/>
    <col min="20" max="20" width="10.7109375" style="19" customWidth="1"/>
    <col min="21" max="247" width="9.140625" style="19"/>
    <col min="248" max="248" width="8.7109375" style="19" customWidth="1"/>
    <col min="249" max="249" width="9.85546875" style="19" customWidth="1"/>
    <col min="250" max="250" width="14.42578125" style="19" customWidth="1"/>
    <col min="251" max="251" width="7.28515625" style="19" customWidth="1"/>
    <col min="252" max="252" width="5.5703125" style="19" customWidth="1"/>
    <col min="253" max="253" width="9" style="19" customWidth="1"/>
    <col min="254" max="255" width="9.85546875" style="19" customWidth="1"/>
    <col min="256" max="256" width="11.140625" style="19" customWidth="1"/>
    <col min="257" max="257" width="2.85546875" style="19" customWidth="1"/>
    <col min="258" max="258" width="3.5703125" style="19" customWidth="1"/>
    <col min="259" max="503" width="9.140625" style="19"/>
    <col min="504" max="504" width="8.7109375" style="19" customWidth="1"/>
    <col min="505" max="505" width="9.85546875" style="19" customWidth="1"/>
    <col min="506" max="506" width="14.42578125" style="19" customWidth="1"/>
    <col min="507" max="507" width="7.28515625" style="19" customWidth="1"/>
    <col min="508" max="508" width="5.5703125" style="19" customWidth="1"/>
    <col min="509" max="509" width="9" style="19" customWidth="1"/>
    <col min="510" max="511" width="9.85546875" style="19" customWidth="1"/>
    <col min="512" max="512" width="11.140625" style="19" customWidth="1"/>
    <col min="513" max="513" width="2.85546875" style="19" customWidth="1"/>
    <col min="514" max="514" width="3.5703125" style="19" customWidth="1"/>
    <col min="515" max="759" width="9.140625" style="19"/>
    <col min="760" max="760" width="8.7109375" style="19" customWidth="1"/>
    <col min="761" max="761" width="9.85546875" style="19" customWidth="1"/>
    <col min="762" max="762" width="14.42578125" style="19" customWidth="1"/>
    <col min="763" max="763" width="7.28515625" style="19" customWidth="1"/>
    <col min="764" max="764" width="5.5703125" style="19" customWidth="1"/>
    <col min="765" max="765" width="9" style="19" customWidth="1"/>
    <col min="766" max="767" width="9.85546875" style="19" customWidth="1"/>
    <col min="768" max="768" width="11.140625" style="19" customWidth="1"/>
    <col min="769" max="769" width="2.85546875" style="19" customWidth="1"/>
    <col min="770" max="770" width="3.5703125" style="19" customWidth="1"/>
    <col min="771" max="1015" width="9.140625" style="19"/>
    <col min="1016" max="1016" width="8.7109375" style="19" customWidth="1"/>
    <col min="1017" max="1017" width="9.85546875" style="19" customWidth="1"/>
    <col min="1018" max="1018" width="14.42578125" style="19" customWidth="1"/>
    <col min="1019" max="1019" width="7.28515625" style="19" customWidth="1"/>
    <col min="1020" max="1020" width="5.5703125" style="19" customWidth="1"/>
    <col min="1021" max="1021" width="9" style="19" customWidth="1"/>
    <col min="1022" max="1023" width="9.85546875" style="19" customWidth="1"/>
    <col min="1024" max="1024" width="11.140625" style="19" customWidth="1"/>
    <col min="1025" max="1025" width="2.85546875" style="19" customWidth="1"/>
    <col min="1026" max="1026" width="3.5703125" style="19" customWidth="1"/>
    <col min="1027" max="1271" width="9.140625" style="19"/>
    <col min="1272" max="1272" width="8.7109375" style="19" customWidth="1"/>
    <col min="1273" max="1273" width="9.85546875" style="19" customWidth="1"/>
    <col min="1274" max="1274" width="14.42578125" style="19" customWidth="1"/>
    <col min="1275" max="1275" width="7.28515625" style="19" customWidth="1"/>
    <col min="1276" max="1276" width="5.5703125" style="19" customWidth="1"/>
    <col min="1277" max="1277" width="9" style="19" customWidth="1"/>
    <col min="1278" max="1279" width="9.85546875" style="19" customWidth="1"/>
    <col min="1280" max="1280" width="11.140625" style="19" customWidth="1"/>
    <col min="1281" max="1281" width="2.85546875" style="19" customWidth="1"/>
    <col min="1282" max="1282" width="3.5703125" style="19" customWidth="1"/>
    <col min="1283" max="1527" width="9.140625" style="19"/>
    <col min="1528" max="1528" width="8.7109375" style="19" customWidth="1"/>
    <col min="1529" max="1529" width="9.85546875" style="19" customWidth="1"/>
    <col min="1530" max="1530" width="14.42578125" style="19" customWidth="1"/>
    <col min="1531" max="1531" width="7.28515625" style="19" customWidth="1"/>
    <col min="1532" max="1532" width="5.5703125" style="19" customWidth="1"/>
    <col min="1533" max="1533" width="9" style="19" customWidth="1"/>
    <col min="1534" max="1535" width="9.85546875" style="19" customWidth="1"/>
    <col min="1536" max="1536" width="11.140625" style="19" customWidth="1"/>
    <col min="1537" max="1537" width="2.85546875" style="19" customWidth="1"/>
    <col min="1538" max="1538" width="3.5703125" style="19" customWidth="1"/>
    <col min="1539" max="1783" width="9.140625" style="19"/>
    <col min="1784" max="1784" width="8.7109375" style="19" customWidth="1"/>
    <col min="1785" max="1785" width="9.85546875" style="19" customWidth="1"/>
    <col min="1786" max="1786" width="14.42578125" style="19" customWidth="1"/>
    <col min="1787" max="1787" width="7.28515625" style="19" customWidth="1"/>
    <col min="1788" max="1788" width="5.5703125" style="19" customWidth="1"/>
    <col min="1789" max="1789" width="9" style="19" customWidth="1"/>
    <col min="1790" max="1791" width="9.85546875" style="19" customWidth="1"/>
    <col min="1792" max="1792" width="11.140625" style="19" customWidth="1"/>
    <col min="1793" max="1793" width="2.85546875" style="19" customWidth="1"/>
    <col min="1794" max="1794" width="3.5703125" style="19" customWidth="1"/>
    <col min="1795" max="2039" width="9.140625" style="19"/>
    <col min="2040" max="2040" width="8.7109375" style="19" customWidth="1"/>
    <col min="2041" max="2041" width="9.85546875" style="19" customWidth="1"/>
    <col min="2042" max="2042" width="14.42578125" style="19" customWidth="1"/>
    <col min="2043" max="2043" width="7.28515625" style="19" customWidth="1"/>
    <col min="2044" max="2044" width="5.5703125" style="19" customWidth="1"/>
    <col min="2045" max="2045" width="9" style="19" customWidth="1"/>
    <col min="2046" max="2047" width="9.85546875" style="19" customWidth="1"/>
    <col min="2048" max="2048" width="11.140625" style="19" customWidth="1"/>
    <col min="2049" max="2049" width="2.85546875" style="19" customWidth="1"/>
    <col min="2050" max="2050" width="3.5703125" style="19" customWidth="1"/>
    <col min="2051" max="2295" width="9.140625" style="19"/>
    <col min="2296" max="2296" width="8.7109375" style="19" customWidth="1"/>
    <col min="2297" max="2297" width="9.85546875" style="19" customWidth="1"/>
    <col min="2298" max="2298" width="14.42578125" style="19" customWidth="1"/>
    <col min="2299" max="2299" width="7.28515625" style="19" customWidth="1"/>
    <col min="2300" max="2300" width="5.5703125" style="19" customWidth="1"/>
    <col min="2301" max="2301" width="9" style="19" customWidth="1"/>
    <col min="2302" max="2303" width="9.85546875" style="19" customWidth="1"/>
    <col min="2304" max="2304" width="11.140625" style="19" customWidth="1"/>
    <col min="2305" max="2305" width="2.85546875" style="19" customWidth="1"/>
    <col min="2306" max="2306" width="3.5703125" style="19" customWidth="1"/>
    <col min="2307" max="2551" width="9.140625" style="19"/>
    <col min="2552" max="2552" width="8.7109375" style="19" customWidth="1"/>
    <col min="2553" max="2553" width="9.85546875" style="19" customWidth="1"/>
    <col min="2554" max="2554" width="14.42578125" style="19" customWidth="1"/>
    <col min="2555" max="2555" width="7.28515625" style="19" customWidth="1"/>
    <col min="2556" max="2556" width="5.5703125" style="19" customWidth="1"/>
    <col min="2557" max="2557" width="9" style="19" customWidth="1"/>
    <col min="2558" max="2559" width="9.85546875" style="19" customWidth="1"/>
    <col min="2560" max="2560" width="11.140625" style="19" customWidth="1"/>
    <col min="2561" max="2561" width="2.85546875" style="19" customWidth="1"/>
    <col min="2562" max="2562" width="3.5703125" style="19" customWidth="1"/>
    <col min="2563" max="2807" width="9.140625" style="19"/>
    <col min="2808" max="2808" width="8.7109375" style="19" customWidth="1"/>
    <col min="2809" max="2809" width="9.85546875" style="19" customWidth="1"/>
    <col min="2810" max="2810" width="14.42578125" style="19" customWidth="1"/>
    <col min="2811" max="2811" width="7.28515625" style="19" customWidth="1"/>
    <col min="2812" max="2812" width="5.5703125" style="19" customWidth="1"/>
    <col min="2813" max="2813" width="9" style="19" customWidth="1"/>
    <col min="2814" max="2815" width="9.85546875" style="19" customWidth="1"/>
    <col min="2816" max="2816" width="11.140625" style="19" customWidth="1"/>
    <col min="2817" max="2817" width="2.85546875" style="19" customWidth="1"/>
    <col min="2818" max="2818" width="3.5703125" style="19" customWidth="1"/>
    <col min="2819" max="3063" width="9.140625" style="19"/>
    <col min="3064" max="3064" width="8.7109375" style="19" customWidth="1"/>
    <col min="3065" max="3065" width="9.85546875" style="19" customWidth="1"/>
    <col min="3066" max="3066" width="14.42578125" style="19" customWidth="1"/>
    <col min="3067" max="3067" width="7.28515625" style="19" customWidth="1"/>
    <col min="3068" max="3068" width="5.5703125" style="19" customWidth="1"/>
    <col min="3069" max="3069" width="9" style="19" customWidth="1"/>
    <col min="3070" max="3071" width="9.85546875" style="19" customWidth="1"/>
    <col min="3072" max="3072" width="11.140625" style="19" customWidth="1"/>
    <col min="3073" max="3073" width="2.85546875" style="19" customWidth="1"/>
    <col min="3074" max="3074" width="3.5703125" style="19" customWidth="1"/>
    <col min="3075" max="3319" width="9.140625" style="19"/>
    <col min="3320" max="3320" width="8.7109375" style="19" customWidth="1"/>
    <col min="3321" max="3321" width="9.85546875" style="19" customWidth="1"/>
    <col min="3322" max="3322" width="14.42578125" style="19" customWidth="1"/>
    <col min="3323" max="3323" width="7.28515625" style="19" customWidth="1"/>
    <col min="3324" max="3324" width="5.5703125" style="19" customWidth="1"/>
    <col min="3325" max="3325" width="9" style="19" customWidth="1"/>
    <col min="3326" max="3327" width="9.85546875" style="19" customWidth="1"/>
    <col min="3328" max="3328" width="11.140625" style="19" customWidth="1"/>
    <col min="3329" max="3329" width="2.85546875" style="19" customWidth="1"/>
    <col min="3330" max="3330" width="3.5703125" style="19" customWidth="1"/>
    <col min="3331" max="3575" width="9.140625" style="19"/>
    <col min="3576" max="3576" width="8.7109375" style="19" customWidth="1"/>
    <col min="3577" max="3577" width="9.85546875" style="19" customWidth="1"/>
    <col min="3578" max="3578" width="14.42578125" style="19" customWidth="1"/>
    <col min="3579" max="3579" width="7.28515625" style="19" customWidth="1"/>
    <col min="3580" max="3580" width="5.5703125" style="19" customWidth="1"/>
    <col min="3581" max="3581" width="9" style="19" customWidth="1"/>
    <col min="3582" max="3583" width="9.85546875" style="19" customWidth="1"/>
    <col min="3584" max="3584" width="11.140625" style="19" customWidth="1"/>
    <col min="3585" max="3585" width="2.85546875" style="19" customWidth="1"/>
    <col min="3586" max="3586" width="3.5703125" style="19" customWidth="1"/>
    <col min="3587" max="3831" width="9.140625" style="19"/>
    <col min="3832" max="3832" width="8.7109375" style="19" customWidth="1"/>
    <col min="3833" max="3833" width="9.85546875" style="19" customWidth="1"/>
    <col min="3834" max="3834" width="14.42578125" style="19" customWidth="1"/>
    <col min="3835" max="3835" width="7.28515625" style="19" customWidth="1"/>
    <col min="3836" max="3836" width="5.5703125" style="19" customWidth="1"/>
    <col min="3837" max="3837" width="9" style="19" customWidth="1"/>
    <col min="3838" max="3839" width="9.85546875" style="19" customWidth="1"/>
    <col min="3840" max="3840" width="11.140625" style="19" customWidth="1"/>
    <col min="3841" max="3841" width="2.85546875" style="19" customWidth="1"/>
    <col min="3842" max="3842" width="3.5703125" style="19" customWidth="1"/>
    <col min="3843" max="4087" width="9.140625" style="19"/>
    <col min="4088" max="4088" width="8.7109375" style="19" customWidth="1"/>
    <col min="4089" max="4089" width="9.85546875" style="19" customWidth="1"/>
    <col min="4090" max="4090" width="14.42578125" style="19" customWidth="1"/>
    <col min="4091" max="4091" width="7.28515625" style="19" customWidth="1"/>
    <col min="4092" max="4092" width="5.5703125" style="19" customWidth="1"/>
    <col min="4093" max="4093" width="9" style="19" customWidth="1"/>
    <col min="4094" max="4095" width="9.85546875" style="19" customWidth="1"/>
    <col min="4096" max="4096" width="11.140625" style="19" customWidth="1"/>
    <col min="4097" max="4097" width="2.85546875" style="19" customWidth="1"/>
    <col min="4098" max="4098" width="3.5703125" style="19" customWidth="1"/>
    <col min="4099" max="4343" width="9.140625" style="19"/>
    <col min="4344" max="4344" width="8.7109375" style="19" customWidth="1"/>
    <col min="4345" max="4345" width="9.85546875" style="19" customWidth="1"/>
    <col min="4346" max="4346" width="14.42578125" style="19" customWidth="1"/>
    <col min="4347" max="4347" width="7.28515625" style="19" customWidth="1"/>
    <col min="4348" max="4348" width="5.5703125" style="19" customWidth="1"/>
    <col min="4349" max="4349" width="9" style="19" customWidth="1"/>
    <col min="4350" max="4351" width="9.85546875" style="19" customWidth="1"/>
    <col min="4352" max="4352" width="11.140625" style="19" customWidth="1"/>
    <col min="4353" max="4353" width="2.85546875" style="19" customWidth="1"/>
    <col min="4354" max="4354" width="3.5703125" style="19" customWidth="1"/>
    <col min="4355" max="4599" width="9.140625" style="19"/>
    <col min="4600" max="4600" width="8.7109375" style="19" customWidth="1"/>
    <col min="4601" max="4601" width="9.85546875" style="19" customWidth="1"/>
    <col min="4602" max="4602" width="14.42578125" style="19" customWidth="1"/>
    <col min="4603" max="4603" width="7.28515625" style="19" customWidth="1"/>
    <col min="4604" max="4604" width="5.5703125" style="19" customWidth="1"/>
    <col min="4605" max="4605" width="9" style="19" customWidth="1"/>
    <col min="4606" max="4607" width="9.85546875" style="19" customWidth="1"/>
    <col min="4608" max="4608" width="11.140625" style="19" customWidth="1"/>
    <col min="4609" max="4609" width="2.85546875" style="19" customWidth="1"/>
    <col min="4610" max="4610" width="3.5703125" style="19" customWidth="1"/>
    <col min="4611" max="4855" width="9.140625" style="19"/>
    <col min="4856" max="4856" width="8.7109375" style="19" customWidth="1"/>
    <col min="4857" max="4857" width="9.85546875" style="19" customWidth="1"/>
    <col min="4858" max="4858" width="14.42578125" style="19" customWidth="1"/>
    <col min="4859" max="4859" width="7.28515625" style="19" customWidth="1"/>
    <col min="4860" max="4860" width="5.5703125" style="19" customWidth="1"/>
    <col min="4861" max="4861" width="9" style="19" customWidth="1"/>
    <col min="4862" max="4863" width="9.85546875" style="19" customWidth="1"/>
    <col min="4864" max="4864" width="11.140625" style="19" customWidth="1"/>
    <col min="4865" max="4865" width="2.85546875" style="19" customWidth="1"/>
    <col min="4866" max="4866" width="3.5703125" style="19" customWidth="1"/>
    <col min="4867" max="5111" width="9.140625" style="19"/>
    <col min="5112" max="5112" width="8.7109375" style="19" customWidth="1"/>
    <col min="5113" max="5113" width="9.85546875" style="19" customWidth="1"/>
    <col min="5114" max="5114" width="14.42578125" style="19" customWidth="1"/>
    <col min="5115" max="5115" width="7.28515625" style="19" customWidth="1"/>
    <col min="5116" max="5116" width="5.5703125" style="19" customWidth="1"/>
    <col min="5117" max="5117" width="9" style="19" customWidth="1"/>
    <col min="5118" max="5119" width="9.85546875" style="19" customWidth="1"/>
    <col min="5120" max="5120" width="11.140625" style="19" customWidth="1"/>
    <col min="5121" max="5121" width="2.85546875" style="19" customWidth="1"/>
    <col min="5122" max="5122" width="3.5703125" style="19" customWidth="1"/>
    <col min="5123" max="5367" width="9.140625" style="19"/>
    <col min="5368" max="5368" width="8.7109375" style="19" customWidth="1"/>
    <col min="5369" max="5369" width="9.85546875" style="19" customWidth="1"/>
    <col min="5370" max="5370" width="14.42578125" style="19" customWidth="1"/>
    <col min="5371" max="5371" width="7.28515625" style="19" customWidth="1"/>
    <col min="5372" max="5372" width="5.5703125" style="19" customWidth="1"/>
    <col min="5373" max="5373" width="9" style="19" customWidth="1"/>
    <col min="5374" max="5375" width="9.85546875" style="19" customWidth="1"/>
    <col min="5376" max="5376" width="11.140625" style="19" customWidth="1"/>
    <col min="5377" max="5377" width="2.85546875" style="19" customWidth="1"/>
    <col min="5378" max="5378" width="3.5703125" style="19" customWidth="1"/>
    <col min="5379" max="5623" width="9.140625" style="19"/>
    <col min="5624" max="5624" width="8.7109375" style="19" customWidth="1"/>
    <col min="5625" max="5625" width="9.85546875" style="19" customWidth="1"/>
    <col min="5626" max="5626" width="14.42578125" style="19" customWidth="1"/>
    <col min="5627" max="5627" width="7.28515625" style="19" customWidth="1"/>
    <col min="5628" max="5628" width="5.5703125" style="19" customWidth="1"/>
    <col min="5629" max="5629" width="9" style="19" customWidth="1"/>
    <col min="5630" max="5631" width="9.85546875" style="19" customWidth="1"/>
    <col min="5632" max="5632" width="11.140625" style="19" customWidth="1"/>
    <col min="5633" max="5633" width="2.85546875" style="19" customWidth="1"/>
    <col min="5634" max="5634" width="3.5703125" style="19" customWidth="1"/>
    <col min="5635" max="5879" width="9.140625" style="19"/>
    <col min="5880" max="5880" width="8.7109375" style="19" customWidth="1"/>
    <col min="5881" max="5881" width="9.85546875" style="19" customWidth="1"/>
    <col min="5882" max="5882" width="14.42578125" style="19" customWidth="1"/>
    <col min="5883" max="5883" width="7.28515625" style="19" customWidth="1"/>
    <col min="5884" max="5884" width="5.5703125" style="19" customWidth="1"/>
    <col min="5885" max="5885" width="9" style="19" customWidth="1"/>
    <col min="5886" max="5887" width="9.85546875" style="19" customWidth="1"/>
    <col min="5888" max="5888" width="11.140625" style="19" customWidth="1"/>
    <col min="5889" max="5889" width="2.85546875" style="19" customWidth="1"/>
    <col min="5890" max="5890" width="3.5703125" style="19" customWidth="1"/>
    <col min="5891" max="6135" width="9.140625" style="19"/>
    <col min="6136" max="6136" width="8.7109375" style="19" customWidth="1"/>
    <col min="6137" max="6137" width="9.85546875" style="19" customWidth="1"/>
    <col min="6138" max="6138" width="14.42578125" style="19" customWidth="1"/>
    <col min="6139" max="6139" width="7.28515625" style="19" customWidth="1"/>
    <col min="6140" max="6140" width="5.5703125" style="19" customWidth="1"/>
    <col min="6141" max="6141" width="9" style="19" customWidth="1"/>
    <col min="6142" max="6143" width="9.85546875" style="19" customWidth="1"/>
    <col min="6144" max="6144" width="11.140625" style="19" customWidth="1"/>
    <col min="6145" max="6145" width="2.85546875" style="19" customWidth="1"/>
    <col min="6146" max="6146" width="3.5703125" style="19" customWidth="1"/>
    <col min="6147" max="6391" width="9.140625" style="19"/>
    <col min="6392" max="6392" width="8.7109375" style="19" customWidth="1"/>
    <col min="6393" max="6393" width="9.85546875" style="19" customWidth="1"/>
    <col min="6394" max="6394" width="14.42578125" style="19" customWidth="1"/>
    <col min="6395" max="6395" width="7.28515625" style="19" customWidth="1"/>
    <col min="6396" max="6396" width="5.5703125" style="19" customWidth="1"/>
    <col min="6397" max="6397" width="9" style="19" customWidth="1"/>
    <col min="6398" max="6399" width="9.85546875" style="19" customWidth="1"/>
    <col min="6400" max="6400" width="11.140625" style="19" customWidth="1"/>
    <col min="6401" max="6401" width="2.85546875" style="19" customWidth="1"/>
    <col min="6402" max="6402" width="3.5703125" style="19" customWidth="1"/>
    <col min="6403" max="6647" width="9.140625" style="19"/>
    <col min="6648" max="6648" width="8.7109375" style="19" customWidth="1"/>
    <col min="6649" max="6649" width="9.85546875" style="19" customWidth="1"/>
    <col min="6650" max="6650" width="14.42578125" style="19" customWidth="1"/>
    <col min="6651" max="6651" width="7.28515625" style="19" customWidth="1"/>
    <col min="6652" max="6652" width="5.5703125" style="19" customWidth="1"/>
    <col min="6653" max="6653" width="9" style="19" customWidth="1"/>
    <col min="6654" max="6655" width="9.85546875" style="19" customWidth="1"/>
    <col min="6656" max="6656" width="11.140625" style="19" customWidth="1"/>
    <col min="6657" max="6657" width="2.85546875" style="19" customWidth="1"/>
    <col min="6658" max="6658" width="3.5703125" style="19" customWidth="1"/>
    <col min="6659" max="6903" width="9.140625" style="19"/>
    <col min="6904" max="6904" width="8.7109375" style="19" customWidth="1"/>
    <col min="6905" max="6905" width="9.85546875" style="19" customWidth="1"/>
    <col min="6906" max="6906" width="14.42578125" style="19" customWidth="1"/>
    <col min="6907" max="6907" width="7.28515625" style="19" customWidth="1"/>
    <col min="6908" max="6908" width="5.5703125" style="19" customWidth="1"/>
    <col min="6909" max="6909" width="9" style="19" customWidth="1"/>
    <col min="6910" max="6911" width="9.85546875" style="19" customWidth="1"/>
    <col min="6912" max="6912" width="11.140625" style="19" customWidth="1"/>
    <col min="6913" max="6913" width="2.85546875" style="19" customWidth="1"/>
    <col min="6914" max="6914" width="3.5703125" style="19" customWidth="1"/>
    <col min="6915" max="7159" width="9.140625" style="19"/>
    <col min="7160" max="7160" width="8.7109375" style="19" customWidth="1"/>
    <col min="7161" max="7161" width="9.85546875" style="19" customWidth="1"/>
    <col min="7162" max="7162" width="14.42578125" style="19" customWidth="1"/>
    <col min="7163" max="7163" width="7.28515625" style="19" customWidth="1"/>
    <col min="7164" max="7164" width="5.5703125" style="19" customWidth="1"/>
    <col min="7165" max="7165" width="9" style="19" customWidth="1"/>
    <col min="7166" max="7167" width="9.85546875" style="19" customWidth="1"/>
    <col min="7168" max="7168" width="11.140625" style="19" customWidth="1"/>
    <col min="7169" max="7169" width="2.85546875" style="19" customWidth="1"/>
    <col min="7170" max="7170" width="3.5703125" style="19" customWidth="1"/>
    <col min="7171" max="7415" width="9.140625" style="19"/>
    <col min="7416" max="7416" width="8.7109375" style="19" customWidth="1"/>
    <col min="7417" max="7417" width="9.85546875" style="19" customWidth="1"/>
    <col min="7418" max="7418" width="14.42578125" style="19" customWidth="1"/>
    <col min="7419" max="7419" width="7.28515625" style="19" customWidth="1"/>
    <col min="7420" max="7420" width="5.5703125" style="19" customWidth="1"/>
    <col min="7421" max="7421" width="9" style="19" customWidth="1"/>
    <col min="7422" max="7423" width="9.85546875" style="19" customWidth="1"/>
    <col min="7424" max="7424" width="11.140625" style="19" customWidth="1"/>
    <col min="7425" max="7425" width="2.85546875" style="19" customWidth="1"/>
    <col min="7426" max="7426" width="3.5703125" style="19" customWidth="1"/>
    <col min="7427" max="7671" width="9.140625" style="19"/>
    <col min="7672" max="7672" width="8.7109375" style="19" customWidth="1"/>
    <col min="7673" max="7673" width="9.85546875" style="19" customWidth="1"/>
    <col min="7674" max="7674" width="14.42578125" style="19" customWidth="1"/>
    <col min="7675" max="7675" width="7.28515625" style="19" customWidth="1"/>
    <col min="7676" max="7676" width="5.5703125" style="19" customWidth="1"/>
    <col min="7677" max="7677" width="9" style="19" customWidth="1"/>
    <col min="7678" max="7679" width="9.85546875" style="19" customWidth="1"/>
    <col min="7680" max="7680" width="11.140625" style="19" customWidth="1"/>
    <col min="7681" max="7681" width="2.85546875" style="19" customWidth="1"/>
    <col min="7682" max="7682" width="3.5703125" style="19" customWidth="1"/>
    <col min="7683" max="7927" width="9.140625" style="19"/>
    <col min="7928" max="7928" width="8.7109375" style="19" customWidth="1"/>
    <col min="7929" max="7929" width="9.85546875" style="19" customWidth="1"/>
    <col min="7930" max="7930" width="14.42578125" style="19" customWidth="1"/>
    <col min="7931" max="7931" width="7.28515625" style="19" customWidth="1"/>
    <col min="7932" max="7932" width="5.5703125" style="19" customWidth="1"/>
    <col min="7933" max="7933" width="9" style="19" customWidth="1"/>
    <col min="7934" max="7935" width="9.85546875" style="19" customWidth="1"/>
    <col min="7936" max="7936" width="11.140625" style="19" customWidth="1"/>
    <col min="7937" max="7937" width="2.85546875" style="19" customWidth="1"/>
    <col min="7938" max="7938" width="3.5703125" style="19" customWidth="1"/>
    <col min="7939" max="8183" width="9.140625" style="19"/>
    <col min="8184" max="8184" width="8.7109375" style="19" customWidth="1"/>
    <col min="8185" max="8185" width="9.85546875" style="19" customWidth="1"/>
    <col min="8186" max="8186" width="14.42578125" style="19" customWidth="1"/>
    <col min="8187" max="8187" width="7.28515625" style="19" customWidth="1"/>
    <col min="8188" max="8188" width="5.5703125" style="19" customWidth="1"/>
    <col min="8189" max="8189" width="9" style="19" customWidth="1"/>
    <col min="8190" max="8191" width="9.85546875" style="19" customWidth="1"/>
    <col min="8192" max="8192" width="11.140625" style="19" customWidth="1"/>
    <col min="8193" max="8193" width="2.85546875" style="19" customWidth="1"/>
    <col min="8194" max="8194" width="3.5703125" style="19" customWidth="1"/>
    <col min="8195" max="8439" width="9.140625" style="19"/>
    <col min="8440" max="8440" width="8.7109375" style="19" customWidth="1"/>
    <col min="8441" max="8441" width="9.85546875" style="19" customWidth="1"/>
    <col min="8442" max="8442" width="14.42578125" style="19" customWidth="1"/>
    <col min="8443" max="8443" width="7.28515625" style="19" customWidth="1"/>
    <col min="8444" max="8444" width="5.5703125" style="19" customWidth="1"/>
    <col min="8445" max="8445" width="9" style="19" customWidth="1"/>
    <col min="8446" max="8447" width="9.85546875" style="19" customWidth="1"/>
    <col min="8448" max="8448" width="11.140625" style="19" customWidth="1"/>
    <col min="8449" max="8449" width="2.85546875" style="19" customWidth="1"/>
    <col min="8450" max="8450" width="3.5703125" style="19" customWidth="1"/>
    <col min="8451" max="8695" width="9.140625" style="19"/>
    <col min="8696" max="8696" width="8.7109375" style="19" customWidth="1"/>
    <col min="8697" max="8697" width="9.85546875" style="19" customWidth="1"/>
    <col min="8698" max="8698" width="14.42578125" style="19" customWidth="1"/>
    <col min="8699" max="8699" width="7.28515625" style="19" customWidth="1"/>
    <col min="8700" max="8700" width="5.5703125" style="19" customWidth="1"/>
    <col min="8701" max="8701" width="9" style="19" customWidth="1"/>
    <col min="8702" max="8703" width="9.85546875" style="19" customWidth="1"/>
    <col min="8704" max="8704" width="11.140625" style="19" customWidth="1"/>
    <col min="8705" max="8705" width="2.85546875" style="19" customWidth="1"/>
    <col min="8706" max="8706" width="3.5703125" style="19" customWidth="1"/>
    <col min="8707" max="8951" width="9.140625" style="19"/>
    <col min="8952" max="8952" width="8.7109375" style="19" customWidth="1"/>
    <col min="8953" max="8953" width="9.85546875" style="19" customWidth="1"/>
    <col min="8954" max="8954" width="14.42578125" style="19" customWidth="1"/>
    <col min="8955" max="8955" width="7.28515625" style="19" customWidth="1"/>
    <col min="8956" max="8956" width="5.5703125" style="19" customWidth="1"/>
    <col min="8957" max="8957" width="9" style="19" customWidth="1"/>
    <col min="8958" max="8959" width="9.85546875" style="19" customWidth="1"/>
    <col min="8960" max="8960" width="11.140625" style="19" customWidth="1"/>
    <col min="8961" max="8961" width="2.85546875" style="19" customWidth="1"/>
    <col min="8962" max="8962" width="3.5703125" style="19" customWidth="1"/>
    <col min="8963" max="9207" width="9.140625" style="19"/>
    <col min="9208" max="9208" width="8.7109375" style="19" customWidth="1"/>
    <col min="9209" max="9209" width="9.85546875" style="19" customWidth="1"/>
    <col min="9210" max="9210" width="14.42578125" style="19" customWidth="1"/>
    <col min="9211" max="9211" width="7.28515625" style="19" customWidth="1"/>
    <col min="9212" max="9212" width="5.5703125" style="19" customWidth="1"/>
    <col min="9213" max="9213" width="9" style="19" customWidth="1"/>
    <col min="9214" max="9215" width="9.85546875" style="19" customWidth="1"/>
    <col min="9216" max="9216" width="11.140625" style="19" customWidth="1"/>
    <col min="9217" max="9217" width="2.85546875" style="19" customWidth="1"/>
    <col min="9218" max="9218" width="3.5703125" style="19" customWidth="1"/>
    <col min="9219" max="9463" width="9.140625" style="19"/>
    <col min="9464" max="9464" width="8.7109375" style="19" customWidth="1"/>
    <col min="9465" max="9465" width="9.85546875" style="19" customWidth="1"/>
    <col min="9466" max="9466" width="14.42578125" style="19" customWidth="1"/>
    <col min="9467" max="9467" width="7.28515625" style="19" customWidth="1"/>
    <col min="9468" max="9468" width="5.5703125" style="19" customWidth="1"/>
    <col min="9469" max="9469" width="9" style="19" customWidth="1"/>
    <col min="9470" max="9471" width="9.85546875" style="19" customWidth="1"/>
    <col min="9472" max="9472" width="11.140625" style="19" customWidth="1"/>
    <col min="9473" max="9473" width="2.85546875" style="19" customWidth="1"/>
    <col min="9474" max="9474" width="3.5703125" style="19" customWidth="1"/>
    <col min="9475" max="9719" width="9.140625" style="19"/>
    <col min="9720" max="9720" width="8.7109375" style="19" customWidth="1"/>
    <col min="9721" max="9721" width="9.85546875" style="19" customWidth="1"/>
    <col min="9722" max="9722" width="14.42578125" style="19" customWidth="1"/>
    <col min="9723" max="9723" width="7.28515625" style="19" customWidth="1"/>
    <col min="9724" max="9724" width="5.5703125" style="19" customWidth="1"/>
    <col min="9725" max="9725" width="9" style="19" customWidth="1"/>
    <col min="9726" max="9727" width="9.85546875" style="19" customWidth="1"/>
    <col min="9728" max="9728" width="11.140625" style="19" customWidth="1"/>
    <col min="9729" max="9729" width="2.85546875" style="19" customWidth="1"/>
    <col min="9730" max="9730" width="3.5703125" style="19" customWidth="1"/>
    <col min="9731" max="9975" width="9.140625" style="19"/>
    <col min="9976" max="9976" width="8.7109375" style="19" customWidth="1"/>
    <col min="9977" max="9977" width="9.85546875" style="19" customWidth="1"/>
    <col min="9978" max="9978" width="14.42578125" style="19" customWidth="1"/>
    <col min="9979" max="9979" width="7.28515625" style="19" customWidth="1"/>
    <col min="9980" max="9980" width="5.5703125" style="19" customWidth="1"/>
    <col min="9981" max="9981" width="9" style="19" customWidth="1"/>
    <col min="9982" max="9983" width="9.85546875" style="19" customWidth="1"/>
    <col min="9984" max="9984" width="11.140625" style="19" customWidth="1"/>
    <col min="9985" max="9985" width="2.85546875" style="19" customWidth="1"/>
    <col min="9986" max="9986" width="3.5703125" style="19" customWidth="1"/>
    <col min="9987" max="10231" width="9.140625" style="19"/>
    <col min="10232" max="10232" width="8.7109375" style="19" customWidth="1"/>
    <col min="10233" max="10233" width="9.85546875" style="19" customWidth="1"/>
    <col min="10234" max="10234" width="14.42578125" style="19" customWidth="1"/>
    <col min="10235" max="10235" width="7.28515625" style="19" customWidth="1"/>
    <col min="10236" max="10236" width="5.5703125" style="19" customWidth="1"/>
    <col min="10237" max="10237" width="9" style="19" customWidth="1"/>
    <col min="10238" max="10239" width="9.85546875" style="19" customWidth="1"/>
    <col min="10240" max="10240" width="11.140625" style="19" customWidth="1"/>
    <col min="10241" max="10241" width="2.85546875" style="19" customWidth="1"/>
    <col min="10242" max="10242" width="3.5703125" style="19" customWidth="1"/>
    <col min="10243" max="10487" width="9.140625" style="19"/>
    <col min="10488" max="10488" width="8.7109375" style="19" customWidth="1"/>
    <col min="10489" max="10489" width="9.85546875" style="19" customWidth="1"/>
    <col min="10490" max="10490" width="14.42578125" style="19" customWidth="1"/>
    <col min="10491" max="10491" width="7.28515625" style="19" customWidth="1"/>
    <col min="10492" max="10492" width="5.5703125" style="19" customWidth="1"/>
    <col min="10493" max="10493" width="9" style="19" customWidth="1"/>
    <col min="10494" max="10495" width="9.85546875" style="19" customWidth="1"/>
    <col min="10496" max="10496" width="11.140625" style="19" customWidth="1"/>
    <col min="10497" max="10497" width="2.85546875" style="19" customWidth="1"/>
    <col min="10498" max="10498" width="3.5703125" style="19" customWidth="1"/>
    <col min="10499" max="10743" width="9.140625" style="19"/>
    <col min="10744" max="10744" width="8.7109375" style="19" customWidth="1"/>
    <col min="10745" max="10745" width="9.85546875" style="19" customWidth="1"/>
    <col min="10746" max="10746" width="14.42578125" style="19" customWidth="1"/>
    <col min="10747" max="10747" width="7.28515625" style="19" customWidth="1"/>
    <col min="10748" max="10748" width="5.5703125" style="19" customWidth="1"/>
    <col min="10749" max="10749" width="9" style="19" customWidth="1"/>
    <col min="10750" max="10751" width="9.85546875" style="19" customWidth="1"/>
    <col min="10752" max="10752" width="11.140625" style="19" customWidth="1"/>
    <col min="10753" max="10753" width="2.85546875" style="19" customWidth="1"/>
    <col min="10754" max="10754" width="3.5703125" style="19" customWidth="1"/>
    <col min="10755" max="10999" width="9.140625" style="19"/>
    <col min="11000" max="11000" width="8.7109375" style="19" customWidth="1"/>
    <col min="11001" max="11001" width="9.85546875" style="19" customWidth="1"/>
    <col min="11002" max="11002" width="14.42578125" style="19" customWidth="1"/>
    <col min="11003" max="11003" width="7.28515625" style="19" customWidth="1"/>
    <col min="11004" max="11004" width="5.5703125" style="19" customWidth="1"/>
    <col min="11005" max="11005" width="9" style="19" customWidth="1"/>
    <col min="11006" max="11007" width="9.85546875" style="19" customWidth="1"/>
    <col min="11008" max="11008" width="11.140625" style="19" customWidth="1"/>
    <col min="11009" max="11009" width="2.85546875" style="19" customWidth="1"/>
    <col min="11010" max="11010" width="3.5703125" style="19" customWidth="1"/>
    <col min="11011" max="11255" width="9.140625" style="19"/>
    <col min="11256" max="11256" width="8.7109375" style="19" customWidth="1"/>
    <col min="11257" max="11257" width="9.85546875" style="19" customWidth="1"/>
    <col min="11258" max="11258" width="14.42578125" style="19" customWidth="1"/>
    <col min="11259" max="11259" width="7.28515625" style="19" customWidth="1"/>
    <col min="11260" max="11260" width="5.5703125" style="19" customWidth="1"/>
    <col min="11261" max="11261" width="9" style="19" customWidth="1"/>
    <col min="11262" max="11263" width="9.85546875" style="19" customWidth="1"/>
    <col min="11264" max="11264" width="11.140625" style="19" customWidth="1"/>
    <col min="11265" max="11265" width="2.85546875" style="19" customWidth="1"/>
    <col min="11266" max="11266" width="3.5703125" style="19" customWidth="1"/>
    <col min="11267" max="11511" width="9.140625" style="19"/>
    <col min="11512" max="11512" width="8.7109375" style="19" customWidth="1"/>
    <col min="11513" max="11513" width="9.85546875" style="19" customWidth="1"/>
    <col min="11514" max="11514" width="14.42578125" style="19" customWidth="1"/>
    <col min="11515" max="11515" width="7.28515625" style="19" customWidth="1"/>
    <col min="11516" max="11516" width="5.5703125" style="19" customWidth="1"/>
    <col min="11517" max="11517" width="9" style="19" customWidth="1"/>
    <col min="11518" max="11519" width="9.85546875" style="19" customWidth="1"/>
    <col min="11520" max="11520" width="11.140625" style="19" customWidth="1"/>
    <col min="11521" max="11521" width="2.85546875" style="19" customWidth="1"/>
    <col min="11522" max="11522" width="3.5703125" style="19" customWidth="1"/>
    <col min="11523" max="11767" width="9.140625" style="19"/>
    <col min="11768" max="11768" width="8.7109375" style="19" customWidth="1"/>
    <col min="11769" max="11769" width="9.85546875" style="19" customWidth="1"/>
    <col min="11770" max="11770" width="14.42578125" style="19" customWidth="1"/>
    <col min="11771" max="11771" width="7.28515625" style="19" customWidth="1"/>
    <col min="11772" max="11772" width="5.5703125" style="19" customWidth="1"/>
    <col min="11773" max="11773" width="9" style="19" customWidth="1"/>
    <col min="11774" max="11775" width="9.85546875" style="19" customWidth="1"/>
    <col min="11776" max="11776" width="11.140625" style="19" customWidth="1"/>
    <col min="11777" max="11777" width="2.85546875" style="19" customWidth="1"/>
    <col min="11778" max="11778" width="3.5703125" style="19" customWidth="1"/>
    <col min="11779" max="12023" width="9.140625" style="19"/>
    <col min="12024" max="12024" width="8.7109375" style="19" customWidth="1"/>
    <col min="12025" max="12025" width="9.85546875" style="19" customWidth="1"/>
    <col min="12026" max="12026" width="14.42578125" style="19" customWidth="1"/>
    <col min="12027" max="12027" width="7.28515625" style="19" customWidth="1"/>
    <col min="12028" max="12028" width="5.5703125" style="19" customWidth="1"/>
    <col min="12029" max="12029" width="9" style="19" customWidth="1"/>
    <col min="12030" max="12031" width="9.85546875" style="19" customWidth="1"/>
    <col min="12032" max="12032" width="11.140625" style="19" customWidth="1"/>
    <col min="12033" max="12033" width="2.85546875" style="19" customWidth="1"/>
    <col min="12034" max="12034" width="3.5703125" style="19" customWidth="1"/>
    <col min="12035" max="12279" width="9.140625" style="19"/>
    <col min="12280" max="12280" width="8.7109375" style="19" customWidth="1"/>
    <col min="12281" max="12281" width="9.85546875" style="19" customWidth="1"/>
    <col min="12282" max="12282" width="14.42578125" style="19" customWidth="1"/>
    <col min="12283" max="12283" width="7.28515625" style="19" customWidth="1"/>
    <col min="12284" max="12284" width="5.5703125" style="19" customWidth="1"/>
    <col min="12285" max="12285" width="9" style="19" customWidth="1"/>
    <col min="12286" max="12287" width="9.85546875" style="19" customWidth="1"/>
    <col min="12288" max="12288" width="11.140625" style="19" customWidth="1"/>
    <col min="12289" max="12289" width="2.85546875" style="19" customWidth="1"/>
    <col min="12290" max="12290" width="3.5703125" style="19" customWidth="1"/>
    <col min="12291" max="12535" width="9.140625" style="19"/>
    <col min="12536" max="12536" width="8.7109375" style="19" customWidth="1"/>
    <col min="12537" max="12537" width="9.85546875" style="19" customWidth="1"/>
    <col min="12538" max="12538" width="14.42578125" style="19" customWidth="1"/>
    <col min="12539" max="12539" width="7.28515625" style="19" customWidth="1"/>
    <col min="12540" max="12540" width="5.5703125" style="19" customWidth="1"/>
    <col min="12541" max="12541" width="9" style="19" customWidth="1"/>
    <col min="12542" max="12543" width="9.85546875" style="19" customWidth="1"/>
    <col min="12544" max="12544" width="11.140625" style="19" customWidth="1"/>
    <col min="12545" max="12545" width="2.85546875" style="19" customWidth="1"/>
    <col min="12546" max="12546" width="3.5703125" style="19" customWidth="1"/>
    <col min="12547" max="12791" width="9.140625" style="19"/>
    <col min="12792" max="12792" width="8.7109375" style="19" customWidth="1"/>
    <col min="12793" max="12793" width="9.85546875" style="19" customWidth="1"/>
    <col min="12794" max="12794" width="14.42578125" style="19" customWidth="1"/>
    <col min="12795" max="12795" width="7.28515625" style="19" customWidth="1"/>
    <col min="12796" max="12796" width="5.5703125" style="19" customWidth="1"/>
    <col min="12797" max="12797" width="9" style="19" customWidth="1"/>
    <col min="12798" max="12799" width="9.85546875" style="19" customWidth="1"/>
    <col min="12800" max="12800" width="11.140625" style="19" customWidth="1"/>
    <col min="12801" max="12801" width="2.85546875" style="19" customWidth="1"/>
    <col min="12802" max="12802" width="3.5703125" style="19" customWidth="1"/>
    <col min="12803" max="13047" width="9.140625" style="19"/>
    <col min="13048" max="13048" width="8.7109375" style="19" customWidth="1"/>
    <col min="13049" max="13049" width="9.85546875" style="19" customWidth="1"/>
    <col min="13050" max="13050" width="14.42578125" style="19" customWidth="1"/>
    <col min="13051" max="13051" width="7.28515625" style="19" customWidth="1"/>
    <col min="13052" max="13052" width="5.5703125" style="19" customWidth="1"/>
    <col min="13053" max="13053" width="9" style="19" customWidth="1"/>
    <col min="13054" max="13055" width="9.85546875" style="19" customWidth="1"/>
    <col min="13056" max="13056" width="11.140625" style="19" customWidth="1"/>
    <col min="13057" max="13057" width="2.85546875" style="19" customWidth="1"/>
    <col min="13058" max="13058" width="3.5703125" style="19" customWidth="1"/>
    <col min="13059" max="13303" width="9.140625" style="19"/>
    <col min="13304" max="13304" width="8.7109375" style="19" customWidth="1"/>
    <col min="13305" max="13305" width="9.85546875" style="19" customWidth="1"/>
    <col min="13306" max="13306" width="14.42578125" style="19" customWidth="1"/>
    <col min="13307" max="13307" width="7.28515625" style="19" customWidth="1"/>
    <col min="13308" max="13308" width="5.5703125" style="19" customWidth="1"/>
    <col min="13309" max="13309" width="9" style="19" customWidth="1"/>
    <col min="13310" max="13311" width="9.85546875" style="19" customWidth="1"/>
    <col min="13312" max="13312" width="11.140625" style="19" customWidth="1"/>
    <col min="13313" max="13313" width="2.85546875" style="19" customWidth="1"/>
    <col min="13314" max="13314" width="3.5703125" style="19" customWidth="1"/>
    <col min="13315" max="13559" width="9.140625" style="19"/>
    <col min="13560" max="13560" width="8.7109375" style="19" customWidth="1"/>
    <col min="13561" max="13561" width="9.85546875" style="19" customWidth="1"/>
    <col min="13562" max="13562" width="14.42578125" style="19" customWidth="1"/>
    <col min="13563" max="13563" width="7.28515625" style="19" customWidth="1"/>
    <col min="13564" max="13564" width="5.5703125" style="19" customWidth="1"/>
    <col min="13565" max="13565" width="9" style="19" customWidth="1"/>
    <col min="13566" max="13567" width="9.85546875" style="19" customWidth="1"/>
    <col min="13568" max="13568" width="11.140625" style="19" customWidth="1"/>
    <col min="13569" max="13569" width="2.85546875" style="19" customWidth="1"/>
    <col min="13570" max="13570" width="3.5703125" style="19" customWidth="1"/>
    <col min="13571" max="13815" width="9.140625" style="19"/>
    <col min="13816" max="13816" width="8.7109375" style="19" customWidth="1"/>
    <col min="13817" max="13817" width="9.85546875" style="19" customWidth="1"/>
    <col min="13818" max="13818" width="14.42578125" style="19" customWidth="1"/>
    <col min="13819" max="13819" width="7.28515625" style="19" customWidth="1"/>
    <col min="13820" max="13820" width="5.5703125" style="19" customWidth="1"/>
    <col min="13821" max="13821" width="9" style="19" customWidth="1"/>
    <col min="13822" max="13823" width="9.85546875" style="19" customWidth="1"/>
    <col min="13824" max="13824" width="11.140625" style="19" customWidth="1"/>
    <col min="13825" max="13825" width="2.85546875" style="19" customWidth="1"/>
    <col min="13826" max="13826" width="3.5703125" style="19" customWidth="1"/>
    <col min="13827" max="14071" width="9.140625" style="19"/>
    <col min="14072" max="14072" width="8.7109375" style="19" customWidth="1"/>
    <col min="14073" max="14073" width="9.85546875" style="19" customWidth="1"/>
    <col min="14074" max="14074" width="14.42578125" style="19" customWidth="1"/>
    <col min="14075" max="14075" width="7.28515625" style="19" customWidth="1"/>
    <col min="14076" max="14076" width="5.5703125" style="19" customWidth="1"/>
    <col min="14077" max="14077" width="9" style="19" customWidth="1"/>
    <col min="14078" max="14079" width="9.85546875" style="19" customWidth="1"/>
    <col min="14080" max="14080" width="11.140625" style="19" customWidth="1"/>
    <col min="14081" max="14081" width="2.85546875" style="19" customWidth="1"/>
    <col min="14082" max="14082" width="3.5703125" style="19" customWidth="1"/>
    <col min="14083" max="14327" width="9.140625" style="19"/>
    <col min="14328" max="14328" width="8.7109375" style="19" customWidth="1"/>
    <col min="14329" max="14329" width="9.85546875" style="19" customWidth="1"/>
    <col min="14330" max="14330" width="14.42578125" style="19" customWidth="1"/>
    <col min="14331" max="14331" width="7.28515625" style="19" customWidth="1"/>
    <col min="14332" max="14332" width="5.5703125" style="19" customWidth="1"/>
    <col min="14333" max="14333" width="9" style="19" customWidth="1"/>
    <col min="14334" max="14335" width="9.85546875" style="19" customWidth="1"/>
    <col min="14336" max="14336" width="11.140625" style="19" customWidth="1"/>
    <col min="14337" max="14337" width="2.85546875" style="19" customWidth="1"/>
    <col min="14338" max="14338" width="3.5703125" style="19" customWidth="1"/>
    <col min="14339" max="14583" width="9.140625" style="19"/>
    <col min="14584" max="14584" width="8.7109375" style="19" customWidth="1"/>
    <col min="14585" max="14585" width="9.85546875" style="19" customWidth="1"/>
    <col min="14586" max="14586" width="14.42578125" style="19" customWidth="1"/>
    <col min="14587" max="14587" width="7.28515625" style="19" customWidth="1"/>
    <col min="14588" max="14588" width="5.5703125" style="19" customWidth="1"/>
    <col min="14589" max="14589" width="9" style="19" customWidth="1"/>
    <col min="14590" max="14591" width="9.85546875" style="19" customWidth="1"/>
    <col min="14592" max="14592" width="11.140625" style="19" customWidth="1"/>
    <col min="14593" max="14593" width="2.85546875" style="19" customWidth="1"/>
    <col min="14594" max="14594" width="3.5703125" style="19" customWidth="1"/>
    <col min="14595" max="14839" width="9.140625" style="19"/>
    <col min="14840" max="14840" width="8.7109375" style="19" customWidth="1"/>
    <col min="14841" max="14841" width="9.85546875" style="19" customWidth="1"/>
    <col min="14842" max="14842" width="14.42578125" style="19" customWidth="1"/>
    <col min="14843" max="14843" width="7.28515625" style="19" customWidth="1"/>
    <col min="14844" max="14844" width="5.5703125" style="19" customWidth="1"/>
    <col min="14845" max="14845" width="9" style="19" customWidth="1"/>
    <col min="14846" max="14847" width="9.85546875" style="19" customWidth="1"/>
    <col min="14848" max="14848" width="11.140625" style="19" customWidth="1"/>
    <col min="14849" max="14849" width="2.85546875" style="19" customWidth="1"/>
    <col min="14850" max="14850" width="3.5703125" style="19" customWidth="1"/>
    <col min="14851" max="15095" width="9.140625" style="19"/>
    <col min="15096" max="15096" width="8.7109375" style="19" customWidth="1"/>
    <col min="15097" max="15097" width="9.85546875" style="19" customWidth="1"/>
    <col min="15098" max="15098" width="14.42578125" style="19" customWidth="1"/>
    <col min="15099" max="15099" width="7.28515625" style="19" customWidth="1"/>
    <col min="15100" max="15100" width="5.5703125" style="19" customWidth="1"/>
    <col min="15101" max="15101" width="9" style="19" customWidth="1"/>
    <col min="15102" max="15103" width="9.85546875" style="19" customWidth="1"/>
    <col min="15104" max="15104" width="11.140625" style="19" customWidth="1"/>
    <col min="15105" max="15105" width="2.85546875" style="19" customWidth="1"/>
    <col min="15106" max="15106" width="3.5703125" style="19" customWidth="1"/>
    <col min="15107" max="15351" width="9.140625" style="19"/>
    <col min="15352" max="15352" width="8.7109375" style="19" customWidth="1"/>
    <col min="15353" max="15353" width="9.85546875" style="19" customWidth="1"/>
    <col min="15354" max="15354" width="14.42578125" style="19" customWidth="1"/>
    <col min="15355" max="15355" width="7.28515625" style="19" customWidth="1"/>
    <col min="15356" max="15356" width="5.5703125" style="19" customWidth="1"/>
    <col min="15357" max="15357" width="9" style="19" customWidth="1"/>
    <col min="15358" max="15359" width="9.85546875" style="19" customWidth="1"/>
    <col min="15360" max="15360" width="11.140625" style="19" customWidth="1"/>
    <col min="15361" max="15361" width="2.85546875" style="19" customWidth="1"/>
    <col min="15362" max="15362" width="3.5703125" style="19" customWidth="1"/>
    <col min="15363" max="15607" width="9.140625" style="19"/>
    <col min="15608" max="15608" width="8.7109375" style="19" customWidth="1"/>
    <col min="15609" max="15609" width="9.85546875" style="19" customWidth="1"/>
    <col min="15610" max="15610" width="14.42578125" style="19" customWidth="1"/>
    <col min="15611" max="15611" width="7.28515625" style="19" customWidth="1"/>
    <col min="15612" max="15612" width="5.5703125" style="19" customWidth="1"/>
    <col min="15613" max="15613" width="9" style="19" customWidth="1"/>
    <col min="15614" max="15615" width="9.85546875" style="19" customWidth="1"/>
    <col min="15616" max="15616" width="11.140625" style="19" customWidth="1"/>
    <col min="15617" max="15617" width="2.85546875" style="19" customWidth="1"/>
    <col min="15618" max="15618" width="3.5703125" style="19" customWidth="1"/>
    <col min="15619" max="15863" width="9.140625" style="19"/>
    <col min="15864" max="15864" width="8.7109375" style="19" customWidth="1"/>
    <col min="15865" max="15865" width="9.85546875" style="19" customWidth="1"/>
    <col min="15866" max="15866" width="14.42578125" style="19" customWidth="1"/>
    <col min="15867" max="15867" width="7.28515625" style="19" customWidth="1"/>
    <col min="15868" max="15868" width="5.5703125" style="19" customWidth="1"/>
    <col min="15869" max="15869" width="9" style="19" customWidth="1"/>
    <col min="15870" max="15871" width="9.85546875" style="19" customWidth="1"/>
    <col min="15872" max="15872" width="11.140625" style="19" customWidth="1"/>
    <col min="15873" max="15873" width="2.85546875" style="19" customWidth="1"/>
    <col min="15874" max="15874" width="3.5703125" style="19" customWidth="1"/>
    <col min="15875" max="16119" width="9.140625" style="19"/>
    <col min="16120" max="16120" width="8.7109375" style="19" customWidth="1"/>
    <col min="16121" max="16121" width="9.85546875" style="19" customWidth="1"/>
    <col min="16122" max="16122" width="14.42578125" style="19" customWidth="1"/>
    <col min="16123" max="16123" width="7.28515625" style="19" customWidth="1"/>
    <col min="16124" max="16124" width="5.5703125" style="19" customWidth="1"/>
    <col min="16125" max="16125" width="9" style="19" customWidth="1"/>
    <col min="16126" max="16127" width="9.85546875" style="19" customWidth="1"/>
    <col min="16128" max="16128" width="11.140625" style="19" customWidth="1"/>
    <col min="16129" max="16129" width="2.85546875" style="19" customWidth="1"/>
    <col min="16130" max="16130" width="3.5703125" style="19" customWidth="1"/>
    <col min="16131" max="16384" width="9.140625" style="19"/>
  </cols>
  <sheetData>
    <row r="1" spans="1:26" ht="46.5" customHeight="1" x14ac:dyDescent="0.3">
      <c r="A1" s="198" t="s">
        <v>166</v>
      </c>
      <c r="B1" s="198"/>
      <c r="C1" s="198"/>
      <c r="D1" s="198"/>
      <c r="E1" s="198"/>
      <c r="F1" s="198"/>
      <c r="G1" s="198"/>
      <c r="H1" s="198"/>
      <c r="J1" s="74" t="s">
        <v>413</v>
      </c>
    </row>
    <row r="2" spans="1:26" ht="16.5" customHeight="1" x14ac:dyDescent="0.25">
      <c r="A2" s="199" t="s">
        <v>0</v>
      </c>
      <c r="B2" s="199"/>
      <c r="C2" s="199"/>
      <c r="D2" s="199"/>
      <c r="E2" s="199"/>
      <c r="F2" s="199"/>
      <c r="G2" s="199"/>
      <c r="H2" s="199"/>
    </row>
    <row r="3" spans="1:26" x14ac:dyDescent="0.25">
      <c r="A3" s="176" t="s">
        <v>1</v>
      </c>
      <c r="B3" s="176"/>
      <c r="C3" s="176"/>
      <c r="D3" s="176"/>
      <c r="E3" s="176" t="str">
        <f ca="1">TEXT(TODAY(),"DD/MM/YYYY")</f>
        <v>09/09/2025</v>
      </c>
      <c r="F3" s="176"/>
      <c r="G3" s="176"/>
      <c r="H3" s="176"/>
      <c r="K3" s="50" t="s">
        <v>238</v>
      </c>
      <c r="L3" s="49" t="s">
        <v>236</v>
      </c>
      <c r="M3" s="49" t="s">
        <v>241</v>
      </c>
      <c r="N3" s="49" t="s">
        <v>239</v>
      </c>
      <c r="O3" s="49" t="s">
        <v>343</v>
      </c>
      <c r="P3" s="49" t="s">
        <v>242</v>
      </c>
    </row>
    <row r="4" spans="1:26" ht="15" customHeight="1" x14ac:dyDescent="0.25">
      <c r="A4" s="176" t="s">
        <v>235</v>
      </c>
      <c r="B4" s="176"/>
      <c r="C4" s="176"/>
      <c r="D4" s="176"/>
      <c r="E4" s="180" t="s">
        <v>236</v>
      </c>
      <c r="F4" s="180"/>
      <c r="G4" s="180"/>
      <c r="H4" s="180"/>
      <c r="K4" s="48" t="s">
        <v>237</v>
      </c>
      <c r="L4" s="49" t="s">
        <v>172</v>
      </c>
      <c r="M4" s="49" t="s">
        <v>246</v>
      </c>
      <c r="N4" s="49" t="s">
        <v>248</v>
      </c>
      <c r="O4" s="49" t="s">
        <v>344</v>
      </c>
      <c r="P4" s="49"/>
    </row>
    <row r="5" spans="1:26" ht="15" customHeight="1" x14ac:dyDescent="0.25">
      <c r="A5" s="176" t="s">
        <v>2</v>
      </c>
      <c r="B5" s="176"/>
      <c r="C5" s="176"/>
      <c r="D5" s="176"/>
      <c r="E5" s="180" t="s">
        <v>243</v>
      </c>
      <c r="F5" s="180"/>
      <c r="G5" s="180"/>
      <c r="H5" s="180"/>
      <c r="K5" s="48"/>
      <c r="L5" s="49" t="s">
        <v>243</v>
      </c>
      <c r="M5" s="49" t="s">
        <v>247</v>
      </c>
      <c r="N5" s="49" t="s">
        <v>249</v>
      </c>
      <c r="O5" s="49" t="s">
        <v>345</v>
      </c>
      <c r="P5" s="49"/>
    </row>
    <row r="6" spans="1:26" x14ac:dyDescent="0.25">
      <c r="A6" s="176" t="s">
        <v>3</v>
      </c>
      <c r="B6" s="176"/>
      <c r="C6" s="176"/>
      <c r="D6" s="176"/>
      <c r="E6" s="200">
        <v>45897</v>
      </c>
      <c r="F6" s="176"/>
      <c r="G6" s="176"/>
      <c r="H6" s="176"/>
      <c r="I6" s="19" t="s">
        <v>468</v>
      </c>
      <c r="K6" s="48"/>
      <c r="L6" s="49" t="s">
        <v>244</v>
      </c>
      <c r="M6" s="49"/>
      <c r="N6" s="49"/>
      <c r="O6" s="49" t="s">
        <v>346</v>
      </c>
      <c r="P6" s="49"/>
    </row>
    <row r="7" spans="1:26" ht="16.5" customHeight="1" x14ac:dyDescent="0.25">
      <c r="A7" s="176" t="s">
        <v>4</v>
      </c>
      <c r="B7" s="176"/>
      <c r="C7" s="176"/>
      <c r="D7" s="176"/>
      <c r="E7" s="176" t="s">
        <v>357</v>
      </c>
      <c r="F7" s="176"/>
      <c r="G7" s="176"/>
      <c r="H7" s="176"/>
      <c r="K7" s="48"/>
      <c r="L7" s="49" t="s">
        <v>245</v>
      </c>
      <c r="M7" s="49"/>
      <c r="N7" s="49"/>
      <c r="O7" s="49" t="s">
        <v>346</v>
      </c>
      <c r="P7" s="49"/>
    </row>
    <row r="8" spans="1:26" ht="15" customHeight="1" x14ac:dyDescent="0.25">
      <c r="A8" s="176" t="s">
        <v>5</v>
      </c>
      <c r="B8" s="176"/>
      <c r="C8" s="176"/>
      <c r="D8" s="176"/>
      <c r="E8" s="176" t="str">
        <f>E7</f>
        <v>Twenty Five Downtown Realty Limited</v>
      </c>
      <c r="F8" s="176"/>
      <c r="G8" s="176"/>
      <c r="H8" s="176"/>
      <c r="K8" s="48"/>
      <c r="L8" s="49"/>
      <c r="M8" s="49"/>
      <c r="N8" s="49"/>
      <c r="O8" s="49" t="s">
        <v>347</v>
      </c>
      <c r="P8" s="49"/>
    </row>
    <row r="9" spans="1:26" x14ac:dyDescent="0.25">
      <c r="A9" s="176" t="s">
        <v>6</v>
      </c>
      <c r="B9" s="176"/>
      <c r="C9" s="176"/>
      <c r="D9" s="176"/>
      <c r="E9" s="106" t="s">
        <v>425</v>
      </c>
      <c r="F9" s="106"/>
      <c r="G9" s="106"/>
      <c r="H9" s="106"/>
      <c r="K9" s="48"/>
      <c r="L9" s="49"/>
      <c r="M9" s="49"/>
      <c r="N9" s="49"/>
      <c r="O9" s="49" t="s">
        <v>348</v>
      </c>
      <c r="P9" s="49"/>
    </row>
    <row r="10" spans="1:26" x14ac:dyDescent="0.25">
      <c r="A10" s="176" t="s">
        <v>169</v>
      </c>
      <c r="B10" s="176"/>
      <c r="C10" s="176"/>
      <c r="D10" s="176"/>
      <c r="E10" s="176" t="s">
        <v>358</v>
      </c>
      <c r="F10" s="176"/>
      <c r="G10" s="176"/>
      <c r="H10" s="176"/>
      <c r="K10" s="48"/>
      <c r="L10" s="49"/>
      <c r="M10" s="49"/>
      <c r="N10" s="49"/>
      <c r="O10" s="49" t="s">
        <v>349</v>
      </c>
      <c r="P10" s="49"/>
    </row>
    <row r="11" spans="1:26" x14ac:dyDescent="0.25">
      <c r="A11" s="180" t="s">
        <v>170</v>
      </c>
      <c r="B11" s="180"/>
      <c r="C11" s="180"/>
      <c r="D11" s="180"/>
      <c r="E11" s="180" t="s">
        <v>423</v>
      </c>
      <c r="F11" s="180"/>
      <c r="G11" s="180"/>
      <c r="H11" s="180"/>
      <c r="O11" s="49" t="s">
        <v>350</v>
      </c>
    </row>
    <row r="12" spans="1:26" ht="50.1" customHeight="1" x14ac:dyDescent="0.25">
      <c r="A12" s="176" t="s">
        <v>7</v>
      </c>
      <c r="B12" s="176"/>
      <c r="C12" s="176"/>
      <c r="D12" s="176"/>
      <c r="E12" s="131" t="s">
        <v>438</v>
      </c>
      <c r="F12" s="176"/>
      <c r="G12" s="176"/>
      <c r="H12" s="176"/>
    </row>
    <row r="13" spans="1:26" ht="49.5" customHeight="1" x14ac:dyDescent="0.25">
      <c r="A13" s="180" t="s">
        <v>173</v>
      </c>
      <c r="B13" s="180"/>
      <c r="C13" s="180"/>
      <c r="D13" s="180"/>
      <c r="E13" s="131" t="s">
        <v>362</v>
      </c>
      <c r="F13" s="131"/>
      <c r="G13" s="131"/>
      <c r="H13" s="131"/>
      <c r="I13" s="19" t="s">
        <v>359</v>
      </c>
      <c r="S13" s="49" t="s">
        <v>182</v>
      </c>
      <c r="T13" s="49" t="s">
        <v>191</v>
      </c>
      <c r="U13" s="49" t="s">
        <v>174</v>
      </c>
      <c r="V13" s="49" t="s">
        <v>196</v>
      </c>
      <c r="W13" s="49" t="s">
        <v>214</v>
      </c>
      <c r="X13"/>
      <c r="Y13" t="s">
        <v>196</v>
      </c>
      <c r="Z13" t="e">
        <f ca="1">OFFSET($S$13,1,MATCH($G20,$S$13:$W$13,0)-1,15,1)</f>
        <v>#VALUE!</v>
      </c>
    </row>
    <row r="14" spans="1:26" x14ac:dyDescent="0.25">
      <c r="A14" s="129" t="s">
        <v>281</v>
      </c>
      <c r="B14" s="129"/>
      <c r="C14" s="129"/>
      <c r="D14" s="129"/>
      <c r="E14" s="165" t="s">
        <v>433</v>
      </c>
      <c r="F14" s="165"/>
      <c r="G14" s="165"/>
      <c r="H14" s="165"/>
      <c r="S14" s="49" t="s">
        <v>182</v>
      </c>
      <c r="T14" s="49" t="s">
        <v>189</v>
      </c>
      <c r="U14" s="49" t="s">
        <v>211</v>
      </c>
      <c r="V14" s="49" t="s">
        <v>197</v>
      </c>
      <c r="W14" s="49" t="s">
        <v>215</v>
      </c>
      <c r="X14"/>
      <c r="Y14"/>
      <c r="Z14"/>
    </row>
    <row r="15" spans="1:26" ht="48.95" customHeight="1" x14ac:dyDescent="0.25">
      <c r="A15" s="129" t="s">
        <v>8</v>
      </c>
      <c r="B15" s="129"/>
      <c r="C15" s="129"/>
      <c r="D15" s="129"/>
      <c r="E15" s="165" t="s">
        <v>439</v>
      </c>
      <c r="F15" s="180"/>
      <c r="G15" s="180"/>
      <c r="H15" s="180"/>
      <c r="I15" s="212" t="e">
        <f ca="1">OFFSET($D$5,1,MATCH($J13,$D$5:$H$5,0)-1,15,1)</f>
        <v>#N/A</v>
      </c>
      <c r="J15" s="213"/>
      <c r="K15" s="213"/>
      <c r="L15" s="213"/>
      <c r="M15" s="213"/>
      <c r="N15" s="213"/>
      <c r="O15" s="213"/>
      <c r="P15" s="213"/>
      <c r="S15" s="49" t="s">
        <v>183</v>
      </c>
      <c r="T15" s="49" t="s">
        <v>190</v>
      </c>
      <c r="U15" s="49" t="s">
        <v>212</v>
      </c>
      <c r="V15" s="49" t="s">
        <v>198</v>
      </c>
      <c r="W15" s="49" t="s">
        <v>228</v>
      </c>
      <c r="X15"/>
      <c r="Y15"/>
      <c r="Z15"/>
    </row>
    <row r="16" spans="1:26" ht="79.5" customHeight="1" x14ac:dyDescent="0.25">
      <c r="A16" s="175" t="s">
        <v>9</v>
      </c>
      <c r="B16" s="175"/>
      <c r="C16" s="175" t="str">
        <f>CONCATENATE((IF(OR(E9="",E9="NA"),"",E9)),", ",(IF(OR(A17="",A17="NA"),"",A17)),".",(IF(OR(C17="",C17="NA"),"",C17)),", near ",(IF(OR(C22="",C22="NA"),"",C22)),", ",(IF(OR(C19="",C19="NA"),"",C19)),", ",(IF(OR(C18="",C18="NA"),"",C18)),", ",(IF(OR(G19="",G19="NA"),"",G19)),", ",(IF(OR(C20="",C20="NA"),"",C20)),", ",(IF(OR(C21="",C21="NA"),"",C21)),", ",(IF(OR(G20="",G20="NA"),"",G20))," - ",(IF(OR(G21="",G21="NA"),"",G21)),".")</f>
        <v>25 Downtown, CTS No.383(Pt), 1/383, 389, 390, 397 &amp; 413(Pt),  Redevelopement of " Tulsiwadi Navnirman (SRA) Co-operavtive Housing Society Ltd, Rehab Building A-1, 2, 4, 5 &amp; 6  ", near Essar House, Bhanjibhai Rathod Ln, Arya Nagar, Tardeo, Mumbai Central West, Mumbai, Mumbai - 400034.</v>
      </c>
      <c r="D16" s="175"/>
      <c r="E16" s="175"/>
      <c r="F16" s="175"/>
      <c r="G16" s="175"/>
      <c r="H16" s="175"/>
      <c r="S16" s="49" t="s">
        <v>184</v>
      </c>
      <c r="T16" s="49" t="s">
        <v>192</v>
      </c>
      <c r="U16" s="49" t="s">
        <v>213</v>
      </c>
      <c r="V16" s="49" t="s">
        <v>199</v>
      </c>
      <c r="W16" s="49" t="s">
        <v>216</v>
      </c>
      <c r="X16"/>
      <c r="Y16"/>
      <c r="Z16"/>
    </row>
    <row r="17" spans="1:26" ht="49.5" customHeight="1" x14ac:dyDescent="0.25">
      <c r="A17" s="165" t="s">
        <v>178</v>
      </c>
      <c r="B17" s="165"/>
      <c r="C17" s="165" t="s">
        <v>361</v>
      </c>
      <c r="D17" s="165"/>
      <c r="E17" s="165"/>
      <c r="F17" s="165"/>
      <c r="G17" s="165"/>
      <c r="H17" s="165"/>
      <c r="S17" s="49" t="s">
        <v>185</v>
      </c>
      <c r="T17" s="49" t="s">
        <v>193</v>
      </c>
      <c r="U17" s="49" t="s">
        <v>174</v>
      </c>
      <c r="V17" s="49" t="s">
        <v>200</v>
      </c>
      <c r="W17" s="49" t="s">
        <v>217</v>
      </c>
      <c r="X17"/>
      <c r="Y17"/>
      <c r="Z17"/>
    </row>
    <row r="18" spans="1:26" ht="15.75" customHeight="1" x14ac:dyDescent="0.25">
      <c r="A18" s="131" t="s">
        <v>164</v>
      </c>
      <c r="B18" s="131"/>
      <c r="C18" s="131" t="s">
        <v>414</v>
      </c>
      <c r="D18" s="131"/>
      <c r="E18" s="131"/>
      <c r="F18" s="131"/>
      <c r="G18" s="131"/>
      <c r="H18" s="131"/>
      <c r="S18" s="49" t="s">
        <v>186</v>
      </c>
      <c r="T18" s="49" t="s">
        <v>191</v>
      </c>
      <c r="U18" s="49"/>
      <c r="V18" s="49" t="s">
        <v>201</v>
      </c>
      <c r="W18" s="49" t="s">
        <v>218</v>
      </c>
      <c r="X18"/>
      <c r="Y18"/>
      <c r="Z18"/>
    </row>
    <row r="19" spans="1:26" ht="15.75" customHeight="1" x14ac:dyDescent="0.25">
      <c r="A19" s="175" t="s">
        <v>10</v>
      </c>
      <c r="B19" s="175"/>
      <c r="C19" s="176" t="s">
        <v>415</v>
      </c>
      <c r="D19" s="176"/>
      <c r="E19" s="175" t="s">
        <v>70</v>
      </c>
      <c r="F19" s="175"/>
      <c r="G19" s="131" t="s">
        <v>360</v>
      </c>
      <c r="H19" s="131"/>
      <c r="S19" s="49" t="s">
        <v>187</v>
      </c>
      <c r="T19" s="49" t="s">
        <v>194</v>
      </c>
      <c r="U19" s="49"/>
      <c r="V19" s="49" t="s">
        <v>202</v>
      </c>
      <c r="W19" s="49" t="s">
        <v>219</v>
      </c>
      <c r="X19"/>
      <c r="Y19"/>
      <c r="Z19"/>
    </row>
    <row r="20" spans="1:26" x14ac:dyDescent="0.25">
      <c r="A20" s="129" t="s">
        <v>12</v>
      </c>
      <c r="B20" s="129"/>
      <c r="C20" s="131" t="s">
        <v>363</v>
      </c>
      <c r="D20" s="131"/>
      <c r="E20" s="175" t="s">
        <v>11</v>
      </c>
      <c r="F20" s="175"/>
      <c r="G20" s="197" t="s">
        <v>174</v>
      </c>
      <c r="H20" s="197"/>
      <c r="S20" s="49" t="s">
        <v>188</v>
      </c>
      <c r="T20" s="49" t="s">
        <v>195</v>
      </c>
      <c r="U20" s="49"/>
      <c r="V20" s="49" t="s">
        <v>203</v>
      </c>
      <c r="W20" s="49" t="s">
        <v>220</v>
      </c>
      <c r="X20"/>
      <c r="Y20"/>
      <c r="Z20"/>
    </row>
    <row r="21" spans="1:26" x14ac:dyDescent="0.25">
      <c r="A21" s="129" t="s">
        <v>71</v>
      </c>
      <c r="B21" s="129"/>
      <c r="C21" s="165" t="s">
        <v>174</v>
      </c>
      <c r="D21" s="165"/>
      <c r="E21" s="175" t="s">
        <v>13</v>
      </c>
      <c r="F21" s="175"/>
      <c r="G21" s="131">
        <v>400034</v>
      </c>
      <c r="H21" s="131"/>
      <c r="S21" s="49"/>
      <c r="T21" s="49"/>
      <c r="U21" s="49"/>
      <c r="V21" s="49" t="s">
        <v>204</v>
      </c>
      <c r="W21" s="49" t="s">
        <v>221</v>
      </c>
      <c r="X21"/>
      <c r="Y21"/>
      <c r="Z21"/>
    </row>
    <row r="22" spans="1:26" ht="32.25" customHeight="1" x14ac:dyDescent="0.25">
      <c r="A22" s="129" t="s">
        <v>120</v>
      </c>
      <c r="B22" s="129"/>
      <c r="C22" s="131" t="s">
        <v>364</v>
      </c>
      <c r="D22" s="131"/>
      <c r="E22" s="175" t="s">
        <v>14</v>
      </c>
      <c r="F22" s="175"/>
      <c r="G22" s="165" t="s">
        <v>399</v>
      </c>
      <c r="H22" s="165"/>
      <c r="S22" s="49"/>
      <c r="T22" s="49"/>
      <c r="U22" s="49"/>
      <c r="V22" s="49" t="s">
        <v>205</v>
      </c>
      <c r="W22" s="49" t="s">
        <v>222</v>
      </c>
      <c r="X22"/>
      <c r="Y22"/>
      <c r="Z22"/>
    </row>
    <row r="23" spans="1:26" ht="15" customHeight="1" x14ac:dyDescent="0.25">
      <c r="A23" s="175" t="s">
        <v>73</v>
      </c>
      <c r="B23" s="175"/>
      <c r="C23" s="175"/>
      <c r="D23" s="175"/>
      <c r="E23" s="176" t="s">
        <v>15</v>
      </c>
      <c r="F23" s="176"/>
      <c r="G23" s="176"/>
      <c r="H23" s="176"/>
      <c r="S23" s="49"/>
      <c r="T23" s="49"/>
      <c r="U23" s="49"/>
      <c r="V23" s="49" t="s">
        <v>206</v>
      </c>
      <c r="W23" s="49" t="s">
        <v>223</v>
      </c>
      <c r="X23"/>
      <c r="Y23"/>
      <c r="Z23"/>
    </row>
    <row r="24" spans="1:26" ht="18.75" customHeight="1" x14ac:dyDescent="0.25">
      <c r="A24" s="175"/>
      <c r="B24" s="175"/>
      <c r="C24" s="175"/>
      <c r="D24" s="175"/>
      <c r="E24" s="176"/>
      <c r="F24" s="176"/>
      <c r="G24" s="176"/>
      <c r="H24" s="176"/>
      <c r="S24" s="49"/>
      <c r="T24" s="49"/>
      <c r="U24" s="49"/>
      <c r="V24" s="49" t="s">
        <v>207</v>
      </c>
      <c r="W24" s="49" t="s">
        <v>224</v>
      </c>
      <c r="X24"/>
      <c r="Y24"/>
      <c r="Z24"/>
    </row>
    <row r="25" spans="1:26" ht="15" customHeight="1" x14ac:dyDescent="0.25">
      <c r="A25" s="175" t="s">
        <v>16</v>
      </c>
      <c r="B25" s="175"/>
      <c r="C25" s="175"/>
      <c r="D25" s="175"/>
      <c r="E25" s="131" t="s">
        <v>17</v>
      </c>
      <c r="F25" s="131"/>
      <c r="G25" s="131"/>
      <c r="H25" s="131"/>
      <c r="S25" s="49"/>
      <c r="T25" s="49"/>
      <c r="U25" s="49"/>
      <c r="V25" s="49" t="s">
        <v>208</v>
      </c>
      <c r="W25" s="49" t="s">
        <v>225</v>
      </c>
      <c r="X25"/>
      <c r="Y25"/>
      <c r="Z25"/>
    </row>
    <row r="26" spans="1:26" ht="15" customHeight="1" x14ac:dyDescent="0.25">
      <c r="A26" s="129" t="s">
        <v>18</v>
      </c>
      <c r="B26" s="129"/>
      <c r="C26" s="129"/>
      <c r="D26" s="129"/>
      <c r="E26" s="131" t="str">
        <f>IF(AND(G20="Mumbai"),"Upper Class","Middle Class")</f>
        <v>Upper Class</v>
      </c>
      <c r="F26" s="131"/>
      <c r="G26" s="131"/>
      <c r="H26" s="131"/>
      <c r="S26" s="49"/>
      <c r="T26" s="49"/>
      <c r="U26" s="49"/>
      <c r="V26" s="49" t="s">
        <v>209</v>
      </c>
      <c r="W26" s="49" t="s">
        <v>226</v>
      </c>
      <c r="X26"/>
      <c r="Y26"/>
      <c r="Z26"/>
    </row>
    <row r="27" spans="1:26" x14ac:dyDescent="0.25">
      <c r="A27" s="129" t="s">
        <v>19</v>
      </c>
      <c r="B27" s="129"/>
      <c r="C27" s="129"/>
      <c r="D27" s="129"/>
      <c r="E27" s="131" t="s">
        <v>20</v>
      </c>
      <c r="F27" s="131"/>
      <c r="G27" s="131"/>
      <c r="H27" s="131"/>
      <c r="S27" s="49"/>
      <c r="T27" s="49"/>
      <c r="U27" s="49"/>
      <c r="V27" s="49" t="s">
        <v>210</v>
      </c>
      <c r="W27" s="49" t="s">
        <v>227</v>
      </c>
      <c r="X27"/>
      <c r="Y27"/>
      <c r="Z27"/>
    </row>
    <row r="28" spans="1:26" ht="15.75" customHeight="1" x14ac:dyDescent="0.25">
      <c r="A28" s="129" t="s">
        <v>21</v>
      </c>
      <c r="B28" s="129"/>
      <c r="C28" s="129"/>
      <c r="D28" s="129"/>
      <c r="E28" s="131" t="str">
        <f>IF(AND(G20="Mumbai"),"Developed","Developing")</f>
        <v>Developed</v>
      </c>
      <c r="F28" s="131"/>
      <c r="G28" s="131"/>
      <c r="H28" s="131"/>
    </row>
    <row r="29" spans="1:26" x14ac:dyDescent="0.25">
      <c r="A29" s="129" t="s">
        <v>22</v>
      </c>
      <c r="B29" s="129"/>
      <c r="C29" s="129"/>
      <c r="D29" s="129"/>
      <c r="E29" s="131" t="s">
        <v>23</v>
      </c>
      <c r="F29" s="131"/>
      <c r="G29" s="131"/>
      <c r="H29" s="131"/>
    </row>
    <row r="30" spans="1:26" ht="15.75" customHeight="1" x14ac:dyDescent="0.25">
      <c r="A30" s="129" t="s">
        <v>78</v>
      </c>
      <c r="B30" s="129"/>
      <c r="C30" s="129"/>
      <c r="D30" s="129"/>
      <c r="E30" s="131" t="s">
        <v>79</v>
      </c>
      <c r="F30" s="131"/>
      <c r="G30" s="131"/>
      <c r="H30" s="131"/>
    </row>
    <row r="31" spans="1:26" ht="15" customHeight="1" x14ac:dyDescent="0.25">
      <c r="A31" s="129" t="s">
        <v>30</v>
      </c>
      <c r="B31" s="129"/>
      <c r="C31" s="129"/>
      <c r="D31" s="129"/>
      <c r="E31" s="131"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 + Commercial</v>
      </c>
      <c r="F31" s="131"/>
      <c r="G31" s="131"/>
      <c r="H31" s="131"/>
    </row>
    <row r="32" spans="1:26" ht="15.75" customHeight="1" x14ac:dyDescent="0.25">
      <c r="A32" s="129" t="s">
        <v>88</v>
      </c>
      <c r="B32" s="129"/>
      <c r="C32" s="129"/>
      <c r="D32" s="129"/>
      <c r="E32" s="131" t="s">
        <v>31</v>
      </c>
      <c r="F32" s="131"/>
      <c r="G32" s="131"/>
      <c r="H32" s="131"/>
    </row>
    <row r="33" spans="1:19" s="20" customFormat="1" x14ac:dyDescent="0.25">
      <c r="A33" s="196" t="s">
        <v>89</v>
      </c>
      <c r="B33" s="196"/>
      <c r="C33" s="193" t="s">
        <v>175</v>
      </c>
      <c r="D33" s="194"/>
      <c r="E33" s="195"/>
      <c r="F33" s="193" t="s">
        <v>29</v>
      </c>
      <c r="G33" s="194"/>
      <c r="H33" s="195"/>
      <c r="S33" s="20" t="e">
        <f ca="1">OFFSET($S$13,1,MATCH($G20,$S$13:$W$13,0)-1,15,1)</f>
        <v>#VALUE!</v>
      </c>
    </row>
    <row r="34" spans="1:19" s="20" customFormat="1" x14ac:dyDescent="0.25">
      <c r="A34" s="160" t="s">
        <v>24</v>
      </c>
      <c r="B34" s="160" t="s">
        <v>28</v>
      </c>
      <c r="C34" s="161" t="s">
        <v>403</v>
      </c>
      <c r="D34" s="162"/>
      <c r="E34" s="163"/>
      <c r="F34" s="161" t="s">
        <v>411</v>
      </c>
      <c r="G34" s="162"/>
      <c r="H34" s="163"/>
    </row>
    <row r="35" spans="1:19" ht="33.75" customHeight="1" x14ac:dyDescent="0.25">
      <c r="A35" s="160" t="s">
        <v>25</v>
      </c>
      <c r="B35" s="160" t="s">
        <v>28</v>
      </c>
      <c r="C35" s="192" t="s">
        <v>402</v>
      </c>
      <c r="D35" s="162"/>
      <c r="E35" s="163"/>
      <c r="F35" s="161" t="s">
        <v>410</v>
      </c>
      <c r="G35" s="162"/>
      <c r="H35" s="163"/>
    </row>
    <row r="36" spans="1:19" s="20" customFormat="1" x14ac:dyDescent="0.25">
      <c r="A36" s="160" t="s">
        <v>27</v>
      </c>
      <c r="B36" s="160" t="s">
        <v>28</v>
      </c>
      <c r="C36" s="192" t="s">
        <v>400</v>
      </c>
      <c r="D36" s="162"/>
      <c r="E36" s="163"/>
      <c r="F36" s="161" t="s">
        <v>404</v>
      </c>
      <c r="G36" s="162"/>
      <c r="H36" s="163"/>
    </row>
    <row r="37" spans="1:19" x14ac:dyDescent="0.25">
      <c r="A37" s="160" t="s">
        <v>26</v>
      </c>
      <c r="B37" s="160" t="s">
        <v>28</v>
      </c>
      <c r="C37" s="161" t="s">
        <v>401</v>
      </c>
      <c r="D37" s="162"/>
      <c r="E37" s="163"/>
      <c r="F37" s="161" t="s">
        <v>409</v>
      </c>
      <c r="G37" s="162"/>
      <c r="H37" s="163"/>
    </row>
    <row r="38" spans="1:19" x14ac:dyDescent="0.25">
      <c r="A38" s="129" t="s">
        <v>282</v>
      </c>
      <c r="B38" s="129"/>
      <c r="C38" s="129"/>
      <c r="D38" s="129"/>
      <c r="E38" s="129"/>
      <c r="F38" s="129"/>
      <c r="G38" s="129"/>
      <c r="H38" s="129"/>
    </row>
    <row r="39" spans="1:19" ht="15.75" customHeight="1" x14ac:dyDescent="0.25">
      <c r="A39" s="129" t="s">
        <v>167</v>
      </c>
      <c r="B39" s="129"/>
      <c r="C39" s="146" t="s">
        <v>365</v>
      </c>
      <c r="D39" s="146"/>
      <c r="E39" s="146"/>
      <c r="F39" s="146"/>
      <c r="G39" s="146"/>
      <c r="H39" s="146"/>
    </row>
    <row r="40" spans="1:19" x14ac:dyDescent="0.25">
      <c r="A40" s="129" t="s">
        <v>163</v>
      </c>
      <c r="B40" s="129"/>
      <c r="C40" s="130" t="s">
        <v>366</v>
      </c>
      <c r="D40" s="131"/>
      <c r="E40" s="131"/>
      <c r="F40" s="131"/>
      <c r="G40" s="131"/>
      <c r="H40" s="131"/>
    </row>
    <row r="41" spans="1:19" x14ac:dyDescent="0.25">
      <c r="A41" s="146" t="s">
        <v>32</v>
      </c>
      <c r="B41" s="146"/>
      <c r="C41" s="146"/>
      <c r="D41" s="146"/>
      <c r="E41" s="146"/>
      <c r="F41" s="146"/>
      <c r="G41" s="146"/>
      <c r="H41" s="146"/>
    </row>
    <row r="42" spans="1:19" x14ac:dyDescent="0.25">
      <c r="A42" s="129" t="s">
        <v>33</v>
      </c>
      <c r="B42" s="129"/>
      <c r="C42" s="129"/>
      <c r="D42" s="129"/>
      <c r="E42" s="164">
        <v>48987.14</v>
      </c>
      <c r="F42" s="164"/>
      <c r="G42" s="164"/>
      <c r="H42" s="164"/>
    </row>
    <row r="43" spans="1:19" x14ac:dyDescent="0.25">
      <c r="A43" s="129" t="s">
        <v>34</v>
      </c>
      <c r="B43" s="129"/>
      <c r="C43" s="129"/>
      <c r="D43" s="129"/>
      <c r="E43" s="178">
        <v>4</v>
      </c>
      <c r="F43" s="178"/>
      <c r="G43" s="178"/>
      <c r="H43" s="178"/>
    </row>
    <row r="44" spans="1:19" x14ac:dyDescent="0.25">
      <c r="A44" s="129" t="s">
        <v>35</v>
      </c>
      <c r="B44" s="129"/>
      <c r="C44" s="129"/>
      <c r="D44" s="129"/>
      <c r="E44" s="178">
        <f>E46/E42-E43</f>
        <v>2.0862124222806235</v>
      </c>
      <c r="F44" s="178"/>
      <c r="G44" s="178"/>
      <c r="H44" s="178"/>
    </row>
    <row r="45" spans="1:19" x14ac:dyDescent="0.25">
      <c r="A45" s="129" t="s">
        <v>36</v>
      </c>
      <c r="B45" s="129"/>
      <c r="C45" s="129"/>
      <c r="D45" s="129"/>
      <c r="E45" s="178">
        <f>E43+E44</f>
        <v>6.0862124222806235</v>
      </c>
      <c r="F45" s="178"/>
      <c r="G45" s="178"/>
      <c r="H45" s="178"/>
    </row>
    <row r="46" spans="1:19" x14ac:dyDescent="0.25">
      <c r="A46" s="129" t="s">
        <v>418</v>
      </c>
      <c r="B46" s="129"/>
      <c r="C46" s="129"/>
      <c r="D46" s="129"/>
      <c r="E46" s="179">
        <v>298146.14</v>
      </c>
      <c r="F46" s="179"/>
      <c r="G46" s="179"/>
      <c r="H46" s="179"/>
    </row>
    <row r="47" spans="1:19" x14ac:dyDescent="0.25">
      <c r="A47" s="176" t="s">
        <v>37</v>
      </c>
      <c r="B47" s="176"/>
      <c r="C47" s="176"/>
      <c r="D47" s="176"/>
      <c r="E47" s="180" t="s">
        <v>463</v>
      </c>
      <c r="F47" s="180"/>
      <c r="G47" s="180"/>
      <c r="H47" s="180"/>
    </row>
    <row r="48" spans="1:19" x14ac:dyDescent="0.25">
      <c r="A48" s="146" t="s">
        <v>38</v>
      </c>
      <c r="B48" s="146"/>
      <c r="C48" s="146"/>
      <c r="D48" s="146"/>
      <c r="E48" s="146"/>
      <c r="F48" s="146"/>
      <c r="G48" s="146"/>
      <c r="H48" s="146"/>
    </row>
    <row r="49" spans="1:24" ht="33.75" customHeight="1" x14ac:dyDescent="0.25">
      <c r="A49" s="166" t="s">
        <v>152</v>
      </c>
      <c r="B49" s="168"/>
      <c r="C49" s="184" t="s">
        <v>257</v>
      </c>
      <c r="D49" s="185"/>
      <c r="E49" s="185"/>
      <c r="F49" s="185"/>
      <c r="G49" s="185"/>
      <c r="H49" s="186"/>
      <c r="R49" t="s">
        <v>255</v>
      </c>
      <c r="S49" s="51" t="s">
        <v>174</v>
      </c>
      <c r="T49" s="51" t="s">
        <v>182</v>
      </c>
      <c r="U49" s="51" t="s">
        <v>196</v>
      </c>
      <c r="V49" s="51" t="s">
        <v>191</v>
      </c>
    </row>
    <row r="50" spans="1:24" ht="93.75" customHeight="1" x14ac:dyDescent="0.25">
      <c r="A50" s="166" t="s">
        <v>39</v>
      </c>
      <c r="B50" s="168"/>
      <c r="C50" s="166" t="s">
        <v>428</v>
      </c>
      <c r="D50" s="167"/>
      <c r="E50" s="168"/>
      <c r="F50" s="17" t="s">
        <v>40</v>
      </c>
      <c r="G50" s="169">
        <v>45390</v>
      </c>
      <c r="H50" s="170"/>
      <c r="R50"/>
      <c r="S50" s="51" t="s">
        <v>256</v>
      </c>
      <c r="T50" s="51" t="s">
        <v>261</v>
      </c>
      <c r="U50" s="51" t="s">
        <v>272</v>
      </c>
      <c r="V50" s="51" t="s">
        <v>277</v>
      </c>
    </row>
    <row r="51" spans="1:24" ht="94.5" customHeight="1" x14ac:dyDescent="0.25">
      <c r="A51" s="166" t="s">
        <v>41</v>
      </c>
      <c r="B51" s="168"/>
      <c r="C51" s="166" t="str">
        <f>C50</f>
        <v>P-20082/2023/(Proposed development of Cluster Development Scheme of Municipal property known as Tulsiwadi under D.C.P.Regn. 33 (9) at C.S. No. 383(pt.) And Other)/DWard/TARDEO/ IOD/1/New</v>
      </c>
      <c r="D51" s="167"/>
      <c r="E51" s="168"/>
      <c r="F51" s="17" t="s">
        <v>40</v>
      </c>
      <c r="G51" s="169">
        <f>G50</f>
        <v>45390</v>
      </c>
      <c r="H51" s="170"/>
      <c r="R51"/>
      <c r="S51" s="51" t="s">
        <v>257</v>
      </c>
      <c r="T51" s="51" t="s">
        <v>262</v>
      </c>
      <c r="U51" s="51" t="s">
        <v>270</v>
      </c>
      <c r="V51" s="51" t="s">
        <v>278</v>
      </c>
    </row>
    <row r="52" spans="1:24" s="21" customFormat="1" ht="34.5" customHeight="1" x14ac:dyDescent="0.25">
      <c r="A52" s="175" t="s">
        <v>156</v>
      </c>
      <c r="B52" s="175"/>
      <c r="C52" s="175" t="s">
        <v>427</v>
      </c>
      <c r="D52" s="175"/>
      <c r="E52" s="175"/>
      <c r="F52" s="17" t="s">
        <v>40</v>
      </c>
      <c r="G52" s="190">
        <v>45436</v>
      </c>
      <c r="H52" s="190"/>
      <c r="I52" s="20" t="str">
        <f ca="1">IF(G52&gt;EDATE(E3,-48),"NO REMARK","CC REMARK FOR CC")</f>
        <v>NO REMARK</v>
      </c>
      <c r="J52" s="70"/>
      <c r="R52"/>
      <c r="S52" s="51" t="s">
        <v>258</v>
      </c>
      <c r="T52" s="51" t="s">
        <v>263</v>
      </c>
      <c r="U52" s="51" t="s">
        <v>260</v>
      </c>
      <c r="V52" s="51" t="s">
        <v>279</v>
      </c>
    </row>
    <row r="53" spans="1:24" s="21" customFormat="1" ht="50.25" customHeight="1" x14ac:dyDescent="0.25">
      <c r="A53" s="175"/>
      <c r="B53" s="175"/>
      <c r="C53" s="175" t="s">
        <v>420</v>
      </c>
      <c r="D53" s="175"/>
      <c r="E53" s="175"/>
      <c r="F53" s="17" t="s">
        <v>119</v>
      </c>
      <c r="G53" s="190">
        <v>46165</v>
      </c>
      <c r="H53" s="175"/>
      <c r="R53"/>
      <c r="S53" s="51" t="s">
        <v>259</v>
      </c>
      <c r="T53" s="51" t="s">
        <v>266</v>
      </c>
      <c r="U53" s="51" t="s">
        <v>273</v>
      </c>
      <c r="V53" s="66" t="s">
        <v>352</v>
      </c>
    </row>
    <row r="54" spans="1:24" s="21" customFormat="1" ht="33.75" customHeight="1" x14ac:dyDescent="0.25">
      <c r="A54" s="175" t="s">
        <v>156</v>
      </c>
      <c r="B54" s="175"/>
      <c r="C54" s="175" t="s">
        <v>426</v>
      </c>
      <c r="D54" s="175"/>
      <c r="E54" s="175"/>
      <c r="F54" s="17" t="s">
        <v>40</v>
      </c>
      <c r="G54" s="190">
        <v>45463</v>
      </c>
      <c r="H54" s="190"/>
      <c r="I54" s="20" t="e">
        <f>IF(G54&gt;EDATE(E5,-48),"NO REMARK","CC REMARK FOR CC")</f>
        <v>#VALUE!</v>
      </c>
      <c r="J54" s="70"/>
      <c r="R54"/>
      <c r="S54" s="51" t="s">
        <v>258</v>
      </c>
      <c r="T54" s="51" t="s">
        <v>263</v>
      </c>
      <c r="U54" s="51" t="s">
        <v>260</v>
      </c>
      <c r="V54" s="51" t="s">
        <v>279</v>
      </c>
    </row>
    <row r="55" spans="1:24" s="21" customFormat="1" ht="51.75" customHeight="1" x14ac:dyDescent="0.25">
      <c r="A55" s="175"/>
      <c r="B55" s="175"/>
      <c r="C55" s="175" t="s">
        <v>421</v>
      </c>
      <c r="D55" s="175"/>
      <c r="E55" s="175"/>
      <c r="F55" s="17" t="s">
        <v>119</v>
      </c>
      <c r="G55" s="190">
        <v>45827</v>
      </c>
      <c r="H55" s="175"/>
      <c r="R55"/>
      <c r="S55" s="51" t="s">
        <v>259</v>
      </c>
      <c r="T55" s="51" t="s">
        <v>266</v>
      </c>
      <c r="U55" s="51" t="s">
        <v>273</v>
      </c>
      <c r="V55" s="66" t="s">
        <v>352</v>
      </c>
    </row>
    <row r="56" spans="1:24" s="21" customFormat="1" ht="33" customHeight="1" x14ac:dyDescent="0.25">
      <c r="A56" s="165" t="s">
        <v>283</v>
      </c>
      <c r="B56" s="165"/>
      <c r="C56" s="175" t="s">
        <v>367</v>
      </c>
      <c r="D56" s="175"/>
      <c r="E56" s="175"/>
      <c r="F56" s="17" t="s">
        <v>40</v>
      </c>
      <c r="G56" s="190">
        <v>45320</v>
      </c>
      <c r="H56" s="190"/>
      <c r="K56" s="71">
        <f>EDATE(G52,-48)</f>
        <v>43975</v>
      </c>
      <c r="L56" s="21" t="str">
        <f ca="1">IF(G52&gt;EDATE(E3,-48),"NO REMARK","CC REMARK FOR CC")</f>
        <v>NO REMARK</v>
      </c>
      <c r="R56"/>
      <c r="S56" s="51" t="s">
        <v>258</v>
      </c>
      <c r="T56" s="51" t="s">
        <v>263</v>
      </c>
      <c r="U56" s="51" t="s">
        <v>260</v>
      </c>
      <c r="V56" s="51" t="s">
        <v>279</v>
      </c>
    </row>
    <row r="57" spans="1:24" s="21" customFormat="1" ht="32.25" customHeight="1" x14ac:dyDescent="0.25">
      <c r="A57" s="165"/>
      <c r="B57" s="165"/>
      <c r="C57" s="141" t="s">
        <v>371</v>
      </c>
      <c r="D57" s="141"/>
      <c r="E57" s="141"/>
      <c r="F57" s="141"/>
      <c r="G57" s="141"/>
      <c r="H57" s="141"/>
      <c r="R57"/>
      <c r="S57" s="51" t="s">
        <v>260</v>
      </c>
      <c r="T57" s="51" t="s">
        <v>264</v>
      </c>
      <c r="U57" s="51" t="s">
        <v>274</v>
      </c>
      <c r="V57" s="67"/>
      <c r="W57" s="19"/>
      <c r="X57" s="19"/>
    </row>
    <row r="58" spans="1:24" s="21" customFormat="1" hidden="1" x14ac:dyDescent="0.25">
      <c r="A58" s="225" t="s">
        <v>284</v>
      </c>
      <c r="B58" s="226"/>
      <c r="C58" s="166" t="s">
        <v>374</v>
      </c>
      <c r="D58" s="167"/>
      <c r="E58" s="168"/>
      <c r="F58" s="17" t="s">
        <v>40</v>
      </c>
      <c r="G58" s="169">
        <f>G57</f>
        <v>0</v>
      </c>
      <c r="H58" s="170"/>
      <c r="R58"/>
      <c r="S58" s="67"/>
      <c r="T58" s="51" t="s">
        <v>265</v>
      </c>
      <c r="U58" s="51" t="s">
        <v>275</v>
      </c>
      <c r="V58" s="67"/>
      <c r="W58" s="19"/>
      <c r="X58" s="19"/>
    </row>
    <row r="59" spans="1:24" s="21" customFormat="1" ht="62.25" hidden="1" customHeight="1" x14ac:dyDescent="0.25">
      <c r="A59" s="227"/>
      <c r="B59" s="228"/>
      <c r="C59" s="166" t="s">
        <v>375</v>
      </c>
      <c r="D59" s="167"/>
      <c r="E59" s="167"/>
      <c r="F59" s="167"/>
      <c r="G59" s="167"/>
      <c r="H59" s="168"/>
      <c r="R59"/>
      <c r="S59" s="67"/>
      <c r="T59" s="51" t="s">
        <v>267</v>
      </c>
      <c r="U59" s="51" t="s">
        <v>276</v>
      </c>
      <c r="V59" s="67"/>
      <c r="W59" s="19"/>
      <c r="X59" s="19"/>
    </row>
    <row r="60" spans="1:24" s="21" customFormat="1" x14ac:dyDescent="0.25">
      <c r="A60" s="171" t="s">
        <v>355</v>
      </c>
      <c r="B60" s="172"/>
      <c r="C60" s="166" t="s">
        <v>431</v>
      </c>
      <c r="D60" s="167"/>
      <c r="E60" s="168"/>
      <c r="F60" s="17" t="s">
        <v>40</v>
      </c>
      <c r="G60" s="169">
        <v>42543</v>
      </c>
      <c r="H60" s="170"/>
      <c r="R60"/>
      <c r="S60" s="67"/>
      <c r="T60" s="51" t="s">
        <v>268</v>
      </c>
      <c r="U60" s="67" t="s">
        <v>298</v>
      </c>
      <c r="V60" s="67"/>
      <c r="W60" s="19"/>
      <c r="X60" s="19"/>
    </row>
    <row r="61" spans="1:24" s="21" customFormat="1" ht="33.75" customHeight="1" x14ac:dyDescent="0.25">
      <c r="A61" s="173"/>
      <c r="B61" s="174"/>
      <c r="C61" s="175" t="s">
        <v>432</v>
      </c>
      <c r="D61" s="175"/>
      <c r="E61" s="175"/>
      <c r="F61" s="17" t="s">
        <v>356</v>
      </c>
      <c r="G61" s="169">
        <v>46925</v>
      </c>
      <c r="H61" s="170"/>
      <c r="R61"/>
      <c r="S61" s="67"/>
      <c r="T61" s="51" t="s">
        <v>269</v>
      </c>
      <c r="U61" s="67"/>
      <c r="V61" s="67"/>
      <c r="W61" s="19"/>
      <c r="X61" s="19"/>
    </row>
    <row r="62" spans="1:24" x14ac:dyDescent="0.25">
      <c r="A62" s="214" t="s">
        <v>42</v>
      </c>
      <c r="B62" s="215"/>
      <c r="C62" s="214" t="s">
        <v>101</v>
      </c>
      <c r="D62" s="216"/>
      <c r="E62" s="215"/>
      <c r="F62" s="41" t="s">
        <v>40</v>
      </c>
      <c r="G62" s="217" t="s">
        <v>28</v>
      </c>
      <c r="H62" s="218"/>
      <c r="R62"/>
      <c r="S62" s="67"/>
      <c r="T62" s="51" t="s">
        <v>271</v>
      </c>
      <c r="U62" s="67"/>
      <c r="V62" s="67"/>
    </row>
    <row r="63" spans="1:24" x14ac:dyDescent="0.25">
      <c r="A63" s="191" t="s">
        <v>44</v>
      </c>
      <c r="B63" s="191"/>
      <c r="C63" s="191"/>
      <c r="D63" s="191"/>
      <c r="E63" s="191"/>
      <c r="F63" s="191"/>
      <c r="G63" s="191"/>
      <c r="H63" s="191"/>
      <c r="S63" s="67"/>
      <c r="T63" s="51" t="s">
        <v>280</v>
      </c>
      <c r="U63" s="67"/>
      <c r="V63" s="67"/>
    </row>
    <row r="64" spans="1:24" ht="33" customHeight="1" x14ac:dyDescent="0.25">
      <c r="A64" s="175" t="s">
        <v>464</v>
      </c>
      <c r="B64" s="175"/>
      <c r="C64" s="175"/>
      <c r="D64" s="129">
        <f>37576.89+29992.83+740.67</f>
        <v>68310.39</v>
      </c>
      <c r="E64" s="129"/>
      <c r="F64" s="129"/>
      <c r="G64" s="129"/>
      <c r="H64" s="129"/>
      <c r="R64"/>
    </row>
    <row r="65" spans="1:19" x14ac:dyDescent="0.25">
      <c r="A65" s="131" t="s">
        <v>45</v>
      </c>
      <c r="B65" s="176"/>
      <c r="C65" s="176"/>
      <c r="D65" s="176" t="s">
        <v>462</v>
      </c>
      <c r="E65" s="176"/>
      <c r="F65" s="176"/>
      <c r="G65" s="176"/>
      <c r="H65" s="176"/>
      <c r="I65" s="22"/>
      <c r="R65"/>
    </row>
    <row r="66" spans="1:19" ht="48.6" customHeight="1" x14ac:dyDescent="0.25">
      <c r="A66" s="171" t="s">
        <v>46</v>
      </c>
      <c r="B66" s="183"/>
      <c r="C66" s="172"/>
      <c r="D66" s="181" t="s">
        <v>440</v>
      </c>
      <c r="E66" s="182"/>
      <c r="F66" s="182"/>
      <c r="G66" s="182"/>
      <c r="H66" s="182"/>
      <c r="R66"/>
    </row>
    <row r="67" spans="1:19" ht="15.75" customHeight="1" x14ac:dyDescent="0.25">
      <c r="A67" s="171" t="s">
        <v>86</v>
      </c>
      <c r="B67" s="183"/>
      <c r="C67" s="183"/>
      <c r="D67" s="180" t="s">
        <v>441</v>
      </c>
      <c r="E67" s="180"/>
      <c r="F67" s="180"/>
      <c r="G67" s="180"/>
      <c r="H67" s="180"/>
      <c r="R67"/>
    </row>
    <row r="68" spans="1:19" ht="15.75" customHeight="1" x14ac:dyDescent="0.25">
      <c r="A68" s="187"/>
      <c r="B68" s="188"/>
      <c r="C68" s="188"/>
      <c r="D68" s="180" t="s">
        <v>442</v>
      </c>
      <c r="E68" s="180"/>
      <c r="F68" s="180"/>
      <c r="G68" s="180"/>
      <c r="H68" s="180"/>
      <c r="R68"/>
    </row>
    <row r="69" spans="1:19" x14ac:dyDescent="0.25">
      <c r="A69" s="173"/>
      <c r="B69" s="189"/>
      <c r="C69" s="189"/>
      <c r="D69" s="176" t="s">
        <v>443</v>
      </c>
      <c r="E69" s="176"/>
      <c r="F69" s="176"/>
      <c r="G69" s="176"/>
      <c r="H69" s="176"/>
      <c r="S69"/>
    </row>
    <row r="70" spans="1:19" ht="33.6" customHeight="1" x14ac:dyDescent="0.25">
      <c r="A70" s="129" t="s">
        <v>43</v>
      </c>
      <c r="B70" s="129"/>
      <c r="C70" s="129"/>
      <c r="D70" s="165" t="s">
        <v>465</v>
      </c>
      <c r="E70" s="165"/>
      <c r="F70" s="165"/>
      <c r="G70" s="165"/>
      <c r="H70" s="165"/>
      <c r="J70" s="23"/>
      <c r="K70" s="22"/>
      <c r="N70" s="22"/>
      <c r="S70"/>
    </row>
    <row r="71" spans="1:19" ht="15.75" customHeight="1" x14ac:dyDescent="0.25">
      <c r="A71" s="129" t="s">
        <v>84</v>
      </c>
      <c r="B71" s="129"/>
      <c r="C71" s="129"/>
      <c r="D71" s="177" t="str">
        <f>(IF(G62="NA","60 Years After Completion",IF(G62&lt;&gt;"NA",""&amp;60-ROUNDDOWN((E3-G62)/360,0)&amp;" Years"," ")))</f>
        <v>60 Years After Completion</v>
      </c>
      <c r="E71" s="177"/>
      <c r="F71" s="177"/>
      <c r="G71" s="177"/>
      <c r="H71" s="177"/>
      <c r="N71" s="22"/>
      <c r="S71"/>
    </row>
    <row r="72" spans="1:19" ht="15.75" customHeight="1" x14ac:dyDescent="0.25">
      <c r="A72" s="129" t="s">
        <v>85</v>
      </c>
      <c r="B72" s="129"/>
      <c r="C72" s="129"/>
      <c r="D72" s="175" t="s">
        <v>23</v>
      </c>
      <c r="E72" s="175"/>
      <c r="F72" s="175"/>
      <c r="G72" s="175"/>
      <c r="H72" s="175"/>
      <c r="J72" s="24"/>
      <c r="K72" s="24"/>
      <c r="S72"/>
    </row>
    <row r="73" spans="1:19" ht="33" customHeight="1" x14ac:dyDescent="0.25">
      <c r="A73" s="180" t="s">
        <v>408</v>
      </c>
      <c r="B73" s="180"/>
      <c r="C73" s="180"/>
      <c r="D73" s="131" t="s">
        <v>368</v>
      </c>
      <c r="E73" s="175"/>
      <c r="F73" s="175"/>
      <c r="G73" s="175"/>
      <c r="H73" s="175"/>
      <c r="I73" s="19" t="s">
        <v>369</v>
      </c>
      <c r="J73" s="72" t="s">
        <v>370</v>
      </c>
      <c r="S73"/>
    </row>
    <row r="74" spans="1:19" x14ac:dyDescent="0.25">
      <c r="A74" s="175" t="s">
        <v>148</v>
      </c>
      <c r="B74" s="175"/>
      <c r="C74" s="175"/>
      <c r="D74" s="175" t="s">
        <v>28</v>
      </c>
      <c r="E74" s="175"/>
      <c r="F74" s="175"/>
      <c r="G74" s="175"/>
      <c r="H74" s="175"/>
      <c r="I74" s="25"/>
      <c r="J74" s="25"/>
      <c r="K74" s="25"/>
      <c r="L74" s="25"/>
      <c r="M74" s="25"/>
      <c r="N74" s="25"/>
    </row>
    <row r="75" spans="1:19" ht="15.75" customHeight="1" x14ac:dyDescent="0.25">
      <c r="A75" s="224" t="s">
        <v>83</v>
      </c>
      <c r="B75" s="224"/>
      <c r="C75" s="224"/>
      <c r="D75" s="221" t="str">
        <f ca="1">(IF(G95&gt;95%,"Nothing",IF(G95&gt;0%,"Cement, Aggregate, Steel, etc",IF(G95=0%,"Work not yet Started"))))</f>
        <v>Cement, Aggregate, Steel, etc</v>
      </c>
      <c r="E75" s="221"/>
      <c r="F75" s="221"/>
      <c r="G75" s="221"/>
      <c r="H75" s="221"/>
      <c r="J75" s="24"/>
      <c r="S75"/>
    </row>
    <row r="76" spans="1:19" ht="33.75" customHeight="1" thickBot="1" x14ac:dyDescent="0.3">
      <c r="A76" s="175" t="s">
        <v>114</v>
      </c>
      <c r="B76" s="175"/>
      <c r="C76" s="175"/>
      <c r="D76" s="131" t="str">
        <f ca="1">(IF(D75="Nothing","Yes",IF(D75="Cement, Aggregate, Steel, etc","Under Construction",IF(D75="Work not yet Started","Work not yet Started"))))</f>
        <v>Under Construction</v>
      </c>
      <c r="E76" s="131"/>
      <c r="F76" s="131" t="str">
        <f ca="1">(IF(D75="Nothing","Yes",IF(D75="Cement, Aggregate, Steel, etc","Under Construction",IF(D75="Work not yet Started","Work not yet Started"))))</f>
        <v>Under Construction</v>
      </c>
      <c r="G76" s="131"/>
      <c r="H76" s="131"/>
      <c r="S76"/>
    </row>
    <row r="77" spans="1:19" ht="15.75" customHeight="1" x14ac:dyDescent="0.25">
      <c r="A77" s="219" t="s">
        <v>138</v>
      </c>
      <c r="B77" s="219"/>
      <c r="C77" s="219" t="str">
        <f>D67</f>
        <v>Wing 1  = 1B + Gr/St + 1st Floor + P2 to P7 + 8th to 56th Floor</v>
      </c>
      <c r="D77" s="219"/>
      <c r="E77" s="219"/>
      <c r="F77" s="219"/>
      <c r="G77" s="219"/>
      <c r="H77" s="219"/>
      <c r="I77" s="86" t="str">
        <f ca="1">IF(D90=100%,"All work Completed. Possession granted to the Building.",IF(D89=100%,"All work Completed, Waiting for OC",I78&amp;""&amp;I79&amp;""&amp;J78&amp;""&amp;J77&amp;" "&amp;J79))</f>
        <v xml:space="preserve">Excavation work in process </v>
      </c>
      <c r="J77" s="44"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c>
      <c r="S77"/>
    </row>
    <row r="78" spans="1:19" x14ac:dyDescent="0.25">
      <c r="A78" s="76" t="s">
        <v>140</v>
      </c>
      <c r="B78" s="76">
        <f>IF(AND(ISNUMBER(SEARCH("1B",C77))),1,IF(AND(ISNUMBER(SEARCH("2B",C77))),2,IF(AND(ISNUMBER(SEARCH("3B",C77))),3,IF(AND(ISNUMBER(SEARCH("4B",C77))),4,IF(ISNUMBER(SEARCH("5B",C77)),5,0)))))</f>
        <v>1</v>
      </c>
      <c r="C78" s="76" t="s">
        <v>69</v>
      </c>
      <c r="D78" s="76">
        <v>1</v>
      </c>
      <c r="E78" s="76" t="s">
        <v>68</v>
      </c>
      <c r="F78" s="76">
        <v>0</v>
      </c>
      <c r="G78" s="76" t="s">
        <v>77</v>
      </c>
      <c r="H78" s="76">
        <f ca="1">--TRIM(RIGHT(SUBSTITUTE(LEFT(C77,_xlfn.AGGREGATE(16,6,FIND({0,1,2,3,4,5,6,7,8,9},C77,ROW(INDIRECT("1:"&amp;LEN(C77)))),1))," ",REPT(" ",LEN(C77))),LEN(C77)))</f>
        <v>56</v>
      </c>
      <c r="I78" s="87" t="str">
        <f ca="1">IF(D81=100%,"Excavation","")&amp;IF(D82=100%,", Plinth","")&amp;IF(D83=100%,", RCC Slab","")&amp;IF(D84=100%,", Brickwork","")&amp;IF(D85=100%,", Internal Plaster","")&amp;IF(D86=100%,", External Plaster","")&amp;IF(D87=100%,", Flooring","")&amp;IF(D88=100%,", Painting","")&amp;IF(D89=100%,", Building common Amenities","")</f>
        <v/>
      </c>
      <c r="J78" s="46"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Excavation work in process</v>
      </c>
      <c r="S78"/>
    </row>
    <row r="79" spans="1:19" x14ac:dyDescent="0.25">
      <c r="A79" s="143" t="s">
        <v>87</v>
      </c>
      <c r="B79" s="143"/>
      <c r="C79" s="219" t="str">
        <f ca="1">I77</f>
        <v xml:space="preserve">Excavation work in process </v>
      </c>
      <c r="D79" s="219"/>
      <c r="E79" s="219"/>
      <c r="F79" s="219"/>
      <c r="G79" s="219"/>
      <c r="H79" s="219"/>
      <c r="I79" s="87" t="str">
        <f ca="1">IF(I78&lt;&gt;""," Completed","")</f>
        <v/>
      </c>
      <c r="J79" s="46" t="str">
        <f ca="1">IF(J77&lt;&gt;"","Completed","")</f>
        <v/>
      </c>
      <c r="S79"/>
    </row>
    <row r="80" spans="1:19" ht="15.75" customHeight="1" x14ac:dyDescent="0.25">
      <c r="A80" s="97" t="s">
        <v>47</v>
      </c>
      <c r="B80" s="97"/>
      <c r="C80" s="83" t="s">
        <v>137</v>
      </c>
      <c r="D80" s="83" t="s">
        <v>80</v>
      </c>
      <c r="E80" s="97" t="s">
        <v>82</v>
      </c>
      <c r="F80" s="97"/>
      <c r="G80" s="97" t="s">
        <v>81</v>
      </c>
      <c r="H80" s="97"/>
      <c r="I80" s="13" t="s">
        <v>139</v>
      </c>
      <c r="J80" s="26">
        <f ca="1">H78*25%</f>
        <v>14</v>
      </c>
      <c r="S80"/>
    </row>
    <row r="81" spans="1:19" x14ac:dyDescent="0.25">
      <c r="A81" s="97" t="s">
        <v>126</v>
      </c>
      <c r="B81" s="97"/>
      <c r="C81" s="83">
        <f ca="1">J81</f>
        <v>28</v>
      </c>
      <c r="D81" s="18">
        <f ca="1">((100/H78)*C81)/100</f>
        <v>0.5</v>
      </c>
      <c r="E81" s="98">
        <f ca="1">(((C82/H78*10)+(40/(D78+F78+H78)*C83)+(7.5/(H78)*C84)+(7.5/(H78)*C85)+(10/H78*C86)+(10/H78*C87)+(5/H78*C88)+(5/H78*C89)+(5/H78*C90))/100)</f>
        <v>0</v>
      </c>
      <c r="F81" s="98"/>
      <c r="G81" s="98">
        <f ca="1">((((C81/H78)*20)+((C82/H78)*25)+(30/(H78+F78+D78)*C83)+(5/H78*C84)+(5/H78*C85)+(5/H78*C86)+(5/H78*C87)+(0/H78*C88)+(0/H78*C89)+(5/H78*C90))/100)</f>
        <v>0.1</v>
      </c>
      <c r="H81" s="98"/>
      <c r="I81" s="13" t="s">
        <v>96</v>
      </c>
      <c r="J81" s="27">
        <f ca="1">H78*50%</f>
        <v>28</v>
      </c>
    </row>
    <row r="82" spans="1:19" x14ac:dyDescent="0.25">
      <c r="A82" s="97" t="s">
        <v>48</v>
      </c>
      <c r="B82" s="97"/>
      <c r="C82" s="83">
        <v>0</v>
      </c>
      <c r="D82" s="18">
        <f ca="1">((100/H78)*C82)/100</f>
        <v>0</v>
      </c>
      <c r="E82" s="98"/>
      <c r="F82" s="98"/>
      <c r="G82" s="98"/>
      <c r="H82" s="98"/>
      <c r="I82" s="13" t="s">
        <v>97</v>
      </c>
      <c r="J82" s="27">
        <f ca="1">H78</f>
        <v>56</v>
      </c>
      <c r="S82"/>
    </row>
    <row r="83" spans="1:19" ht="15.75" customHeight="1" x14ac:dyDescent="0.25">
      <c r="A83" s="97" t="s">
        <v>127</v>
      </c>
      <c r="B83" s="97"/>
      <c r="C83" s="83">
        <v>0</v>
      </c>
      <c r="D83" s="18">
        <f ca="1">((100/(D78+F78+H78))*C83)/100</f>
        <v>0</v>
      </c>
      <c r="E83" s="98"/>
      <c r="F83" s="98"/>
      <c r="G83" s="98"/>
      <c r="H83" s="98"/>
      <c r="I83" s="13" t="s">
        <v>98</v>
      </c>
      <c r="J83" s="28">
        <f ca="1">(IF(B78&gt;1,(H78/(B78+2)),H78/4))</f>
        <v>14</v>
      </c>
      <c r="S83"/>
    </row>
    <row r="84" spans="1:19" ht="15.75" customHeight="1" x14ac:dyDescent="0.25">
      <c r="A84" s="97" t="s">
        <v>134</v>
      </c>
      <c r="B84" s="97" t="s">
        <v>128</v>
      </c>
      <c r="C84" s="83">
        <v>0</v>
      </c>
      <c r="D84" s="18">
        <f ca="1">((100/H78)*C84)/100</f>
        <v>0</v>
      </c>
      <c r="E84" s="98"/>
      <c r="F84" s="98"/>
      <c r="G84" s="98"/>
      <c r="H84" s="98"/>
      <c r="I84" s="13" t="s">
        <v>99</v>
      </c>
      <c r="J84" s="28">
        <f ca="1">(IF(B78&gt;1,(H78/(B78+2)+J83),H78/4+J83))</f>
        <v>28</v>
      </c>
    </row>
    <row r="85" spans="1:19" ht="15.75" customHeight="1" x14ac:dyDescent="0.25">
      <c r="A85" s="97" t="s">
        <v>135</v>
      </c>
      <c r="B85" s="97" t="s">
        <v>128</v>
      </c>
      <c r="C85" s="83">
        <v>0</v>
      </c>
      <c r="D85" s="18">
        <f ca="1">((100/H78)*C85)/100</f>
        <v>0</v>
      </c>
      <c r="E85" s="98"/>
      <c r="F85" s="98"/>
      <c r="G85" s="98"/>
      <c r="H85" s="98"/>
      <c r="I85" s="13" t="s">
        <v>146</v>
      </c>
      <c r="J85" s="28">
        <f>(IF(B78&gt;1,(H78/(B78+2)+J84),0))</f>
        <v>0</v>
      </c>
    </row>
    <row r="86" spans="1:19" ht="15" customHeight="1" x14ac:dyDescent="0.25">
      <c r="A86" s="97" t="s">
        <v>133</v>
      </c>
      <c r="B86" s="97" t="s">
        <v>130</v>
      </c>
      <c r="C86" s="83">
        <v>0</v>
      </c>
      <c r="D86" s="18">
        <f ca="1">((100/(H78))*C86)/100</f>
        <v>0</v>
      </c>
      <c r="E86" s="98"/>
      <c r="F86" s="98"/>
      <c r="G86" s="98"/>
      <c r="H86" s="98"/>
      <c r="I86" s="13" t="s">
        <v>141</v>
      </c>
      <c r="J86" s="28">
        <f>(IF(B78&gt;2,(H78/(B78+2)+J85),0))</f>
        <v>0</v>
      </c>
    </row>
    <row r="87" spans="1:19" ht="15.75" customHeight="1" x14ac:dyDescent="0.25">
      <c r="A87" s="97" t="s">
        <v>129</v>
      </c>
      <c r="B87" s="97" t="s">
        <v>129</v>
      </c>
      <c r="C87" s="83">
        <v>0</v>
      </c>
      <c r="D87" s="18">
        <f ca="1">((100/H78)*C87)/100</f>
        <v>0</v>
      </c>
      <c r="E87" s="98"/>
      <c r="F87" s="98"/>
      <c r="G87" s="98"/>
      <c r="H87" s="98"/>
      <c r="I87" s="13" t="s">
        <v>142</v>
      </c>
      <c r="J87" s="29">
        <f>(IF(B78&gt;3,(H78/(B78+2)+J86),0))</f>
        <v>0</v>
      </c>
    </row>
    <row r="88" spans="1:19" ht="15.75" customHeight="1" x14ac:dyDescent="0.25">
      <c r="A88" s="97" t="s">
        <v>136</v>
      </c>
      <c r="B88" s="97"/>
      <c r="C88" s="83">
        <v>0</v>
      </c>
      <c r="D88" s="18">
        <f ca="1">((100/H78)*C88)/100</f>
        <v>0</v>
      </c>
      <c r="E88" s="98"/>
      <c r="F88" s="98"/>
      <c r="G88" s="98"/>
      <c r="H88" s="98"/>
      <c r="I88" s="13" t="s">
        <v>143</v>
      </c>
      <c r="J88" s="28">
        <f>(IF(B78&gt;4,(H78/(B78+2)+J87),0))</f>
        <v>0</v>
      </c>
    </row>
    <row r="89" spans="1:19" ht="15.75" customHeight="1" x14ac:dyDescent="0.25">
      <c r="A89" s="97" t="s">
        <v>131</v>
      </c>
      <c r="B89" s="97" t="s">
        <v>131</v>
      </c>
      <c r="C89" s="83">
        <v>0</v>
      </c>
      <c r="D89" s="18">
        <f ca="1">((100/(H78))*C89)/100</f>
        <v>0</v>
      </c>
      <c r="E89" s="98"/>
      <c r="F89" s="98"/>
      <c r="G89" s="98"/>
      <c r="H89" s="98"/>
      <c r="I89" s="13" t="s">
        <v>147</v>
      </c>
      <c r="J89" s="28">
        <f ca="1">(IF(B78=1,(H78/(B78+3)+J84),IF(B78=0,(H78/4+J84),IF(B78&gt;1,0))))</f>
        <v>42</v>
      </c>
    </row>
    <row r="90" spans="1:19" ht="16.5" thickBot="1" x14ac:dyDescent="0.3">
      <c r="A90" s="97" t="s">
        <v>132</v>
      </c>
      <c r="B90" s="97"/>
      <c r="C90" s="83">
        <v>0</v>
      </c>
      <c r="D90" s="18">
        <f ca="1">((100/(H78))*C90)/100</f>
        <v>0</v>
      </c>
      <c r="E90" s="98"/>
      <c r="F90" s="98"/>
      <c r="G90" s="98"/>
      <c r="H90" s="98"/>
      <c r="I90" s="14" t="s">
        <v>100</v>
      </c>
      <c r="J90" s="30">
        <f ca="1">(IF(B78&gt;1.5,(H78/(B78+2)+J84+MAX(0,J85-J84)+MAX(0,J86-J85)+MAX(0,J87-J86)+MAX(0,J88-J87)+MAX(0,J89-J88)),IF(B78=1,(H78/(B78+3)+J89),IF(B78=0,H78/4+J89))))</f>
        <v>56</v>
      </c>
    </row>
    <row r="91" spans="1:19" ht="15.75" customHeight="1" x14ac:dyDescent="0.25">
      <c r="A91" s="219" t="s">
        <v>138</v>
      </c>
      <c r="B91" s="219"/>
      <c r="C91" s="219" t="str">
        <f>D68</f>
        <v>Wing 2  = 1B + Gr/St + 1st Floor + P2 to P7 + 8th to 56th Floor</v>
      </c>
      <c r="D91" s="219"/>
      <c r="E91" s="219"/>
      <c r="F91" s="219"/>
      <c r="G91" s="219"/>
      <c r="H91" s="219"/>
      <c r="I91" s="86" t="str">
        <f ca="1">IF(D104=100%,"All work Completed. Possession granted to the Building.",IF(D103=100%,"All work Completed, Waiting for OC",I92&amp;""&amp;I93&amp;""&amp;J92&amp;""&amp;J91&amp;" "&amp;J93))</f>
        <v xml:space="preserve">Excavation work in process </v>
      </c>
      <c r="J91" s="44" t="str">
        <f ca="1">(IF(C97=(D92+F92+H92),"",IF(C97&gt;0,", RCC upto "&amp;C97&amp;" Slab","")))&amp;(IF(C98=H92,"",IF(C98&gt;0,", Brickwork upto "&amp;C98&amp;" Floor","")))&amp;(IF(C99=H92,"",IF(C99&gt;0,", Internal Plaster upto "&amp;C99&amp;" Floor","")))&amp;(IF(C100=H92,"",IF(C100&gt;0,", External Plaster upto "&amp;C100&amp;" Floor","")))&amp;(IF(C101=H92,"",IF(C101&gt;0,", Flooring upto "&amp;C101&amp;" Floor","")))&amp;(IF(C102=H92,"",IF(C102&gt;0,", Painting upto "&amp;C102&amp;" Floor","")))&amp;(IF(C103=H92,"",IF(C103&gt;0,", Finishing upto "&amp;C103&amp;" Floor","")))&amp;(IF(C104=H92,"",IF(C104&gt;0,", Possession upto "&amp;C104&amp;" Floor","")))</f>
        <v/>
      </c>
      <c r="S91"/>
    </row>
    <row r="92" spans="1:19" x14ac:dyDescent="0.25">
      <c r="A92" s="76" t="s">
        <v>140</v>
      </c>
      <c r="B92" s="76">
        <f>IF(AND(ISNUMBER(SEARCH("1B",C91))),1,IF(AND(ISNUMBER(SEARCH("2B",C91))),2,IF(AND(ISNUMBER(SEARCH("3B",C91))),3,IF(AND(ISNUMBER(SEARCH("4B",C91))),4,IF(ISNUMBER(SEARCH("5B",C91)),5,0)))))</f>
        <v>1</v>
      </c>
      <c r="C92" s="76" t="s">
        <v>69</v>
      </c>
      <c r="D92" s="76">
        <v>1</v>
      </c>
      <c r="E92" s="76" t="s">
        <v>68</v>
      </c>
      <c r="F92" s="76">
        <v>0</v>
      </c>
      <c r="G92" s="76" t="s">
        <v>77</v>
      </c>
      <c r="H92" s="76">
        <f ca="1">--TRIM(RIGHT(SUBSTITUTE(LEFT(C91,_xlfn.AGGREGATE(16,6,FIND({0,1,2,3,4,5,6,7,8,9},C91,ROW(INDIRECT("1:"&amp;LEN(C91)))),1))," ",REPT(" ",LEN(C91))),LEN(C91)))</f>
        <v>56</v>
      </c>
      <c r="I92" s="87" t="str">
        <f ca="1">IF(D95=100%,"Excavation","")&amp;IF(D96=100%,", Plinth","")&amp;IF(D97=100%,", RCC Slab","")&amp;IF(D98=100%,", Brickwork","")&amp;IF(D99=100%,", Internal Plaster","")&amp;IF(D100=100%,", External Plaster","")&amp;IF(D101=100%,", Flooring","")&amp;IF(D102=100%,", Painting","")&amp;IF(D103=100%,", Building common Amenities","")</f>
        <v/>
      </c>
      <c r="J92" s="46" t="str">
        <f ca="1">(IF(C95=0,"Work not yet Started.",IF(D95=25%,"Piling work in process",IF(D95=50%,"Excavation work in process",IF(D95=100%,"","0")))))&amp;(IF(C96=0%,"",IF(C96=J97,", Footing work is process",IF(C96=J98,", Footing work Completed",IF(C96=J99,", 1st Basement Completed",IF(C96=J100,", 1st &amp; 2nd Basement Completed",IF(C96=J101,", 1st to 3rd Basement Completed",IF(C96=J102,", 1st to 4th Basement Completed",IF(C96=J103,", Plinth work is process",IF(C96=J104,"","0"))))))))))</f>
        <v>Excavation work in process</v>
      </c>
      <c r="S92"/>
    </row>
    <row r="93" spans="1:19" x14ac:dyDescent="0.25">
      <c r="A93" s="143" t="s">
        <v>87</v>
      </c>
      <c r="B93" s="143"/>
      <c r="C93" s="219" t="str">
        <f ca="1">I91</f>
        <v xml:space="preserve">Excavation work in process </v>
      </c>
      <c r="D93" s="219"/>
      <c r="E93" s="219"/>
      <c r="F93" s="219"/>
      <c r="G93" s="219"/>
      <c r="H93" s="219"/>
      <c r="I93" s="87" t="str">
        <f ca="1">IF(I92&lt;&gt;""," Completed","")</f>
        <v/>
      </c>
      <c r="J93" s="46" t="str">
        <f ca="1">IF(J91&lt;&gt;"","Completed","")</f>
        <v/>
      </c>
      <c r="S93"/>
    </row>
    <row r="94" spans="1:19" ht="15.75" customHeight="1" x14ac:dyDescent="0.25">
      <c r="A94" s="97" t="s">
        <v>47</v>
      </c>
      <c r="B94" s="97"/>
      <c r="C94" s="78" t="s">
        <v>137</v>
      </c>
      <c r="D94" s="78" t="s">
        <v>80</v>
      </c>
      <c r="E94" s="97" t="s">
        <v>82</v>
      </c>
      <c r="F94" s="97"/>
      <c r="G94" s="97" t="s">
        <v>81</v>
      </c>
      <c r="H94" s="97"/>
      <c r="I94" s="13" t="s">
        <v>139</v>
      </c>
      <c r="J94" s="26">
        <f ca="1">H92*25%</f>
        <v>14</v>
      </c>
      <c r="S94"/>
    </row>
    <row r="95" spans="1:19" x14ac:dyDescent="0.25">
      <c r="A95" s="97" t="s">
        <v>126</v>
      </c>
      <c r="B95" s="97"/>
      <c r="C95" s="78">
        <f ca="1">J95</f>
        <v>28</v>
      </c>
      <c r="D95" s="18">
        <f ca="1">((100/H92)*C95)/100</f>
        <v>0.5</v>
      </c>
      <c r="E95" s="98">
        <f ca="1">(((C96/H92*10)+(40/(D92+F92+H92)*C97)+(7.5/(H92)*C98)+(7.5/(H92)*C99)+(10/H92*C100)+(10/H92*C101)+(5/H92*C102)+(5/H92*C103)+(5/H92*C104))/100)</f>
        <v>0</v>
      </c>
      <c r="F95" s="98"/>
      <c r="G95" s="98">
        <f ca="1">((((C95/H92)*20)+((C96/H92)*25)+(30/(H92+F92+D92)*C97)+(5/H92*C98)+(5/H92*C99)+(5/H92*C100)+(5/H92*C101)+(0/H92*C102)+(0/H92*C103)+(5/H92*C104))/100)</f>
        <v>0.1</v>
      </c>
      <c r="H95" s="98"/>
      <c r="I95" s="13" t="s">
        <v>96</v>
      </c>
      <c r="J95" s="27">
        <f ca="1">H92*50%</f>
        <v>28</v>
      </c>
    </row>
    <row r="96" spans="1:19" x14ac:dyDescent="0.25">
      <c r="A96" s="97" t="s">
        <v>48</v>
      </c>
      <c r="B96" s="97"/>
      <c r="C96" s="78">
        <v>0</v>
      </c>
      <c r="D96" s="18">
        <f ca="1">((100/H92)*C96)/100</f>
        <v>0</v>
      </c>
      <c r="E96" s="98"/>
      <c r="F96" s="98"/>
      <c r="G96" s="98"/>
      <c r="H96" s="98"/>
      <c r="I96" s="13" t="s">
        <v>97</v>
      </c>
      <c r="J96" s="27">
        <f ca="1">H92</f>
        <v>56</v>
      </c>
      <c r="S96"/>
    </row>
    <row r="97" spans="1:19" ht="15.75" customHeight="1" x14ac:dyDescent="0.25">
      <c r="A97" s="97" t="s">
        <v>127</v>
      </c>
      <c r="B97" s="97"/>
      <c r="C97" s="78">
        <v>0</v>
      </c>
      <c r="D97" s="18">
        <f ca="1">((100/(D92+F92+H92))*C97)/100</f>
        <v>0</v>
      </c>
      <c r="E97" s="98"/>
      <c r="F97" s="98"/>
      <c r="G97" s="98"/>
      <c r="H97" s="98"/>
      <c r="I97" s="13" t="s">
        <v>98</v>
      </c>
      <c r="J97" s="28">
        <f ca="1">(IF(B92&gt;1,(H92/(B92+2)),H92/4))</f>
        <v>14</v>
      </c>
      <c r="S97"/>
    </row>
    <row r="98" spans="1:19" ht="15.75" customHeight="1" x14ac:dyDescent="0.25">
      <c r="A98" s="97" t="s">
        <v>134</v>
      </c>
      <c r="B98" s="97" t="s">
        <v>128</v>
      </c>
      <c r="C98" s="78">
        <v>0</v>
      </c>
      <c r="D98" s="18">
        <f ca="1">((100/H92)*C98)/100</f>
        <v>0</v>
      </c>
      <c r="E98" s="98"/>
      <c r="F98" s="98"/>
      <c r="G98" s="98"/>
      <c r="H98" s="98"/>
      <c r="I98" s="13" t="s">
        <v>99</v>
      </c>
      <c r="J98" s="28">
        <f ca="1">(IF(B92&gt;1,(H92/(B92+2)+J97),H92/4+J97))</f>
        <v>28</v>
      </c>
    </row>
    <row r="99" spans="1:19" ht="15.75" customHeight="1" x14ac:dyDescent="0.25">
      <c r="A99" s="97" t="s">
        <v>135</v>
      </c>
      <c r="B99" s="97" t="s">
        <v>128</v>
      </c>
      <c r="C99" s="78">
        <v>0</v>
      </c>
      <c r="D99" s="18">
        <f ca="1">((100/H92)*C99)/100</f>
        <v>0</v>
      </c>
      <c r="E99" s="98"/>
      <c r="F99" s="98"/>
      <c r="G99" s="98"/>
      <c r="H99" s="98"/>
      <c r="I99" s="13" t="s">
        <v>146</v>
      </c>
      <c r="J99" s="28">
        <f>(IF(B92&gt;1,(H92/(B92+2)+J98),0))</f>
        <v>0</v>
      </c>
    </row>
    <row r="100" spans="1:19" ht="15" customHeight="1" x14ac:dyDescent="0.25">
      <c r="A100" s="97" t="s">
        <v>133</v>
      </c>
      <c r="B100" s="97" t="s">
        <v>130</v>
      </c>
      <c r="C100" s="78">
        <v>0</v>
      </c>
      <c r="D100" s="18">
        <f ca="1">((100/(H92))*C100)/100</f>
        <v>0</v>
      </c>
      <c r="E100" s="98"/>
      <c r="F100" s="98"/>
      <c r="G100" s="98"/>
      <c r="H100" s="98"/>
      <c r="I100" s="13" t="s">
        <v>141</v>
      </c>
      <c r="J100" s="28">
        <f>(IF(B92&gt;2,(H92/(B92+2)+J99),0))</f>
        <v>0</v>
      </c>
    </row>
    <row r="101" spans="1:19" ht="15.75" customHeight="1" x14ac:dyDescent="0.25">
      <c r="A101" s="97" t="s">
        <v>129</v>
      </c>
      <c r="B101" s="97" t="s">
        <v>129</v>
      </c>
      <c r="C101" s="78">
        <v>0</v>
      </c>
      <c r="D101" s="18">
        <f ca="1">((100/H92)*C101)/100</f>
        <v>0</v>
      </c>
      <c r="E101" s="98"/>
      <c r="F101" s="98"/>
      <c r="G101" s="98"/>
      <c r="H101" s="98"/>
      <c r="I101" s="13" t="s">
        <v>142</v>
      </c>
      <c r="J101" s="29">
        <f>(IF(B92&gt;3,(H92/(B92+2)+J100),0))</f>
        <v>0</v>
      </c>
    </row>
    <row r="102" spans="1:19" ht="15.75" customHeight="1" x14ac:dyDescent="0.25">
      <c r="A102" s="97" t="s">
        <v>136</v>
      </c>
      <c r="B102" s="97"/>
      <c r="C102" s="78">
        <v>0</v>
      </c>
      <c r="D102" s="18">
        <f ca="1">((100/H92)*C102)/100</f>
        <v>0</v>
      </c>
      <c r="E102" s="98"/>
      <c r="F102" s="98"/>
      <c r="G102" s="98"/>
      <c r="H102" s="98"/>
      <c r="I102" s="13" t="s">
        <v>143</v>
      </c>
      <c r="J102" s="28">
        <f>(IF(B92&gt;4,(H92/(B92+2)+J101),0))</f>
        <v>0</v>
      </c>
    </row>
    <row r="103" spans="1:19" ht="15.75" customHeight="1" x14ac:dyDescent="0.25">
      <c r="A103" s="97" t="s">
        <v>131</v>
      </c>
      <c r="B103" s="97" t="s">
        <v>131</v>
      </c>
      <c r="C103" s="78">
        <v>0</v>
      </c>
      <c r="D103" s="18">
        <f ca="1">((100/(H92))*C103)/100</f>
        <v>0</v>
      </c>
      <c r="E103" s="98"/>
      <c r="F103" s="98"/>
      <c r="G103" s="98"/>
      <c r="H103" s="98"/>
      <c r="I103" s="13" t="s">
        <v>147</v>
      </c>
      <c r="J103" s="28">
        <f ca="1">(IF(B92=1,(H92/(B92+3)+J98),IF(B92=0,(H92/4+J98),IF(B92&gt;1,0))))</f>
        <v>42</v>
      </c>
    </row>
    <row r="104" spans="1:19" ht="16.5" thickBot="1" x14ac:dyDescent="0.3">
      <c r="A104" s="97" t="s">
        <v>132</v>
      </c>
      <c r="B104" s="97"/>
      <c r="C104" s="78">
        <v>0</v>
      </c>
      <c r="D104" s="18">
        <f ca="1">((100/(H92))*C104)/100</f>
        <v>0</v>
      </c>
      <c r="E104" s="98"/>
      <c r="F104" s="98"/>
      <c r="G104" s="98"/>
      <c r="H104" s="98"/>
      <c r="I104" s="14" t="s">
        <v>100</v>
      </c>
      <c r="J104" s="30">
        <f ca="1">(IF(B92&gt;1.5,(H92/(B92+2)+J98+MAX(0,J99-J98)+MAX(0,J100-J99)+MAX(0,J101-J100)+MAX(0,J102-J101)+MAX(0,J103-J102)),IF(B92=1,(H92/(B92+3)+J103),IF(B92=0,H92/4+J103))))</f>
        <v>56</v>
      </c>
    </row>
    <row r="105" spans="1:19" ht="15.75" customHeight="1" x14ac:dyDescent="0.25">
      <c r="A105" s="99" t="s">
        <v>138</v>
      </c>
      <c r="B105" s="100"/>
      <c r="C105" s="101" t="str">
        <f>D69</f>
        <v>Wing 3  = 1B + Gr/St + 1st Floor + P2 to P7 + 8th to 56th Floor</v>
      </c>
      <c r="D105" s="102"/>
      <c r="E105" s="102"/>
      <c r="F105" s="102"/>
      <c r="G105" s="102"/>
      <c r="H105" s="103"/>
      <c r="I105" s="43" t="str">
        <f ca="1">IF(D118=100%,"All work Completed. Possession granted to the Building.",IF(D117=100%,"All work Completed, Waiting for OC",I106&amp;""&amp;I107&amp;""&amp;J106&amp;""&amp;J105&amp;" "&amp;J107))</f>
        <v xml:space="preserve">Excavation work in process </v>
      </c>
      <c r="J105" s="44" t="str">
        <f ca="1">(IF(C111=(D106+F106+H106),"",IF(C111&gt;0,", RCC upto "&amp;C111&amp;" Slab","")))&amp;(IF(C112=H106,"",IF(C112&gt;0,", Brickwork upto "&amp;C112&amp;" Floor","")))&amp;(IF(C113=H106,"",IF(C113&gt;0,", Internal Plaster upto "&amp;C113&amp;" Floor","")))&amp;(IF(C114=H106,"",IF(C114&gt;0,", External Plaster upto "&amp;C114&amp;" Floor","")))&amp;(IF(C115=H106,"",IF(C115&gt;0,", Flooring upto "&amp;C115&amp;" Floor","")))&amp;(IF(C116=H106,"",IF(C116&gt;0,", Painting upto "&amp;C116&amp;" Floor","")))&amp;(IF(C117=H106,"",IF(C117&gt;0,", Finishing upto "&amp;C117&amp;" Floor","")))&amp;(IF(C118=H106,"",IF(C118&gt;0,", Possession upto "&amp;C118&amp;" Floor","")))</f>
        <v/>
      </c>
      <c r="S105"/>
    </row>
    <row r="106" spans="1:19" x14ac:dyDescent="0.25">
      <c r="A106" s="15" t="s">
        <v>140</v>
      </c>
      <c r="B106" s="47">
        <f>IF(AND(ISNUMBER(SEARCH("1B",C105))),1,IF(AND(ISNUMBER(SEARCH("2B",C105))),2,IF(AND(ISNUMBER(SEARCH("3B",C105))),3,IF(AND(ISNUMBER(SEARCH("4B",C105))),4,IF(ISNUMBER(SEARCH("5B",C105)),5,0)))))</f>
        <v>1</v>
      </c>
      <c r="C106" s="47" t="s">
        <v>69</v>
      </c>
      <c r="D106" s="47">
        <v>1</v>
      </c>
      <c r="E106" s="47" t="s">
        <v>68</v>
      </c>
      <c r="F106" s="47">
        <v>0</v>
      </c>
      <c r="G106" s="47" t="s">
        <v>77</v>
      </c>
      <c r="H106" s="16">
        <f ca="1">--TRIM(RIGHT(SUBSTITUTE(LEFT(C105,_xlfn.AGGREGATE(16,6,FIND({0,1,2,3,4,5,6,7,8,9},C105,ROW(INDIRECT("1:"&amp;LEN(C105)))),1))," ",REPT(" ",LEN(C105))),LEN(C105)))</f>
        <v>56</v>
      </c>
      <c r="I106" s="45" t="str">
        <f ca="1">IF(D109=100%,"Excavation","")&amp;IF(D110=100%,", Plinth","")&amp;IF(D111=100%,", RCC Slab","")&amp;IF(D112=100%,", Brickwork","")&amp;IF(D113=100%,", Internal Plaster","")&amp;IF(D114=100%,", External Plaster","")&amp;IF(D115=100%,", Flooring","")&amp;IF(D116=100%,", Painting","")&amp;IF(D117=100%,", Building common Amenities","")</f>
        <v/>
      </c>
      <c r="J106" s="46" t="str">
        <f ca="1">(IF(C109=0,"Work not yet Started.",IF(D109=25%,"Piling work in process",IF(D109=50%,"Excavation work in process",IF(D109=100%,"","0")))))&amp;(IF(C110=0%,"",IF(C110=J111,", Footing work is process",IF(C110=J112,", Footing work Completed",IF(C110=J113,", 1st Basement Completed",IF(C110=J114,", 1st &amp; 2nd Basement Completed",IF(C110=J115,", 1st to 3rd Basement Completed",IF(C110=J116,", 1st to 4th Basement Completed",IF(C110=J117,", Plinth work is process",IF(C110=J118,"","0"))))))))))</f>
        <v>Excavation work in process</v>
      </c>
      <c r="S106"/>
    </row>
    <row r="107" spans="1:19" x14ac:dyDescent="0.25">
      <c r="A107" s="104" t="s">
        <v>87</v>
      </c>
      <c r="B107" s="105"/>
      <c r="C107" s="106" t="str">
        <f ca="1">I105</f>
        <v xml:space="preserve">Excavation work in process </v>
      </c>
      <c r="D107" s="106"/>
      <c r="E107" s="106"/>
      <c r="F107" s="106"/>
      <c r="G107" s="106"/>
      <c r="H107" s="107"/>
      <c r="I107" s="45" t="str">
        <f ca="1">IF(I106&lt;&gt;""," Completed","")</f>
        <v/>
      </c>
      <c r="J107" s="46" t="str">
        <f ca="1">IF(J105&lt;&gt;"","Completed","")</f>
        <v/>
      </c>
      <c r="S107"/>
    </row>
    <row r="108" spans="1:19" ht="15.75" customHeight="1" x14ac:dyDescent="0.25">
      <c r="A108" s="108" t="s">
        <v>47</v>
      </c>
      <c r="B108" s="109"/>
      <c r="C108" s="88" t="s">
        <v>137</v>
      </c>
      <c r="D108" s="88" t="s">
        <v>80</v>
      </c>
      <c r="E108" s="109" t="s">
        <v>82</v>
      </c>
      <c r="F108" s="109"/>
      <c r="G108" s="109" t="s">
        <v>81</v>
      </c>
      <c r="H108" s="110"/>
      <c r="I108" s="13" t="s">
        <v>139</v>
      </c>
      <c r="J108" s="26">
        <f ca="1">H106*25%</f>
        <v>14</v>
      </c>
      <c r="S108"/>
    </row>
    <row r="109" spans="1:19" x14ac:dyDescent="0.25">
      <c r="A109" s="109" t="s">
        <v>126</v>
      </c>
      <c r="B109" s="109"/>
      <c r="C109" s="88">
        <f ca="1">J109</f>
        <v>28</v>
      </c>
      <c r="D109" s="89">
        <f ca="1">((100/H106)*C109)/100</f>
        <v>0.5</v>
      </c>
      <c r="E109" s="121">
        <f ca="1">(((C110/H106*10)+(40/(D106+F106+H106)*C111)+(7.5/(H106)*C112)+(7.5/(H106)*C113)+(10/H106*C114)+(10/H106*C115)+(5/H106*C116)+(5/H106*C117)+(5/H106*C118))/100)</f>
        <v>0</v>
      </c>
      <c r="F109" s="121"/>
      <c r="G109" s="121">
        <f ca="1">((((C109/H106)*20)+((C110/H106)*25)+(30/(H106+F106+D106)*C111)+(5/H106*C112)+(5/H106*C113)+(5/H106*C114)+(5/H106*C115)+(0/H106*C116)+(0/H106*C117)+(5/H106*C118))/100)</f>
        <v>0.1</v>
      </c>
      <c r="H109" s="121"/>
      <c r="I109" s="13" t="s">
        <v>96</v>
      </c>
      <c r="J109" s="27">
        <f ca="1">H106*50%</f>
        <v>28</v>
      </c>
    </row>
    <row r="110" spans="1:19" x14ac:dyDescent="0.25">
      <c r="A110" s="109" t="s">
        <v>48</v>
      </c>
      <c r="B110" s="109"/>
      <c r="C110" s="88">
        <v>0</v>
      </c>
      <c r="D110" s="89">
        <f ca="1">((100/H106)*C110)/100</f>
        <v>0</v>
      </c>
      <c r="E110" s="121"/>
      <c r="F110" s="121"/>
      <c r="G110" s="121"/>
      <c r="H110" s="121"/>
      <c r="I110" s="13" t="s">
        <v>97</v>
      </c>
      <c r="J110" s="27">
        <f ca="1">H106</f>
        <v>56</v>
      </c>
      <c r="S110"/>
    </row>
    <row r="111" spans="1:19" ht="15.75" customHeight="1" x14ac:dyDescent="0.25">
      <c r="A111" s="109" t="s">
        <v>127</v>
      </c>
      <c r="B111" s="109"/>
      <c r="C111" s="88">
        <v>0</v>
      </c>
      <c r="D111" s="89">
        <f ca="1">((100/(D106+F106+H106))*C111)/100</f>
        <v>0</v>
      </c>
      <c r="E111" s="121"/>
      <c r="F111" s="121"/>
      <c r="G111" s="121"/>
      <c r="H111" s="121"/>
      <c r="I111" s="13" t="s">
        <v>98</v>
      </c>
      <c r="J111" s="28">
        <f ca="1">(IF(B106&gt;1,(H106/(B106+2)),H106/4))</f>
        <v>14</v>
      </c>
      <c r="S111"/>
    </row>
    <row r="112" spans="1:19" ht="15.75" customHeight="1" x14ac:dyDescent="0.25">
      <c r="A112" s="109" t="s">
        <v>134</v>
      </c>
      <c r="B112" s="109" t="s">
        <v>128</v>
      </c>
      <c r="C112" s="88">
        <v>0</v>
      </c>
      <c r="D112" s="89">
        <f ca="1">((100/H106)*C112)/100</f>
        <v>0</v>
      </c>
      <c r="E112" s="121"/>
      <c r="F112" s="121"/>
      <c r="G112" s="121"/>
      <c r="H112" s="121"/>
      <c r="I112" s="13" t="s">
        <v>99</v>
      </c>
      <c r="J112" s="28">
        <f ca="1">(IF(B106&gt;1,(H106/(B106+2)+J111),H106/4+J111))</f>
        <v>28</v>
      </c>
    </row>
    <row r="113" spans="1:22" ht="15.75" customHeight="1" x14ac:dyDescent="0.25">
      <c r="A113" s="109" t="s">
        <v>135</v>
      </c>
      <c r="B113" s="109" t="s">
        <v>128</v>
      </c>
      <c r="C113" s="88">
        <v>0</v>
      </c>
      <c r="D113" s="89">
        <f ca="1">((100/H106)*C113)/100</f>
        <v>0</v>
      </c>
      <c r="E113" s="121"/>
      <c r="F113" s="121"/>
      <c r="G113" s="121"/>
      <c r="H113" s="121"/>
      <c r="I113" s="13" t="s">
        <v>146</v>
      </c>
      <c r="J113" s="28">
        <f>(IF(B106&gt;1,(H106/(B106+2)+J112),0))</f>
        <v>0</v>
      </c>
    </row>
    <row r="114" spans="1:22" ht="15" customHeight="1" x14ac:dyDescent="0.25">
      <c r="A114" s="109" t="s">
        <v>133</v>
      </c>
      <c r="B114" s="109" t="s">
        <v>130</v>
      </c>
      <c r="C114" s="88">
        <v>0</v>
      </c>
      <c r="D114" s="89">
        <f ca="1">((100/(H106))*C114)/100</f>
        <v>0</v>
      </c>
      <c r="E114" s="121"/>
      <c r="F114" s="121"/>
      <c r="G114" s="121"/>
      <c r="H114" s="121"/>
      <c r="I114" s="13" t="s">
        <v>141</v>
      </c>
      <c r="J114" s="28">
        <f>(IF(B106&gt;2,(H106/(B106+2)+J113),0))</f>
        <v>0</v>
      </c>
    </row>
    <row r="115" spans="1:22" ht="15.75" customHeight="1" x14ac:dyDescent="0.25">
      <c r="A115" s="109" t="s">
        <v>129</v>
      </c>
      <c r="B115" s="109" t="s">
        <v>129</v>
      </c>
      <c r="C115" s="88">
        <v>0</v>
      </c>
      <c r="D115" s="89">
        <f ca="1">((100/H106)*C115)/100</f>
        <v>0</v>
      </c>
      <c r="E115" s="121"/>
      <c r="F115" s="121"/>
      <c r="G115" s="121"/>
      <c r="H115" s="121"/>
      <c r="I115" s="13" t="s">
        <v>142</v>
      </c>
      <c r="J115" s="29">
        <f>(IF(B106&gt;3,(H106/(B106+2)+J114),0))</f>
        <v>0</v>
      </c>
    </row>
    <row r="116" spans="1:22" ht="15.75" customHeight="1" x14ac:dyDescent="0.25">
      <c r="A116" s="109" t="s">
        <v>136</v>
      </c>
      <c r="B116" s="109"/>
      <c r="C116" s="88">
        <v>0</v>
      </c>
      <c r="D116" s="89">
        <f ca="1">((100/H106)*C116)/100</f>
        <v>0</v>
      </c>
      <c r="E116" s="121"/>
      <c r="F116" s="121"/>
      <c r="G116" s="121"/>
      <c r="H116" s="121"/>
      <c r="I116" s="13" t="s">
        <v>143</v>
      </c>
      <c r="J116" s="28">
        <f>(IF(B106&gt;4,(H106/(B106+2)+J115),0))</f>
        <v>0</v>
      </c>
    </row>
    <row r="117" spans="1:22" ht="15.75" customHeight="1" x14ac:dyDescent="0.25">
      <c r="A117" s="109" t="s">
        <v>131</v>
      </c>
      <c r="B117" s="109" t="s">
        <v>131</v>
      </c>
      <c r="C117" s="88">
        <v>0</v>
      </c>
      <c r="D117" s="89">
        <f ca="1">((100/(H106))*C117)/100</f>
        <v>0</v>
      </c>
      <c r="E117" s="121"/>
      <c r="F117" s="121"/>
      <c r="G117" s="121"/>
      <c r="H117" s="121"/>
      <c r="I117" s="13" t="s">
        <v>147</v>
      </c>
      <c r="J117" s="28">
        <f ca="1">(IF(B106=1,(H106/(B106+3)+J112),IF(B106=0,(H106/4+J112),IF(B106&gt;1,0))))</f>
        <v>42</v>
      </c>
    </row>
    <row r="118" spans="1:22" ht="16.5" thickBot="1" x14ac:dyDescent="0.3">
      <c r="A118" s="109" t="s">
        <v>132</v>
      </c>
      <c r="B118" s="109"/>
      <c r="C118" s="88">
        <v>0</v>
      </c>
      <c r="D118" s="89">
        <f ca="1">((100/(H106))*C118)/100</f>
        <v>0</v>
      </c>
      <c r="E118" s="121"/>
      <c r="F118" s="121"/>
      <c r="G118" s="121"/>
      <c r="H118" s="121"/>
      <c r="I118" s="14" t="s">
        <v>100</v>
      </c>
      <c r="J118" s="30">
        <f ca="1">(IF(B106&gt;1.5,(H106/(B106+2)+J112+MAX(0,J113-J112)+MAX(0,J114-J113)+MAX(0,J115-J114)+MAX(0,J116-J115)+MAX(0,J117-J116)),IF(B106=1,(H106/(B106+3)+J117),IF(B106=0,H106/4+J117))))</f>
        <v>56</v>
      </c>
    </row>
    <row r="119" spans="1:22" x14ac:dyDescent="0.25">
      <c r="A119" s="146" t="s">
        <v>158</v>
      </c>
      <c r="B119" s="146"/>
      <c r="C119" s="146"/>
      <c r="D119" s="146"/>
      <c r="E119" s="146"/>
      <c r="F119" s="151" t="s">
        <v>162</v>
      </c>
      <c r="G119" s="151"/>
      <c r="H119" s="151"/>
      <c r="R119" t="s">
        <v>255</v>
      </c>
      <c r="S119" t="s">
        <v>174</v>
      </c>
      <c r="T119" t="s">
        <v>182</v>
      </c>
      <c r="U119" t="s">
        <v>196</v>
      </c>
      <c r="V119" t="s">
        <v>191</v>
      </c>
    </row>
    <row r="120" spans="1:22" x14ac:dyDescent="0.25">
      <c r="A120" s="129" t="s">
        <v>160</v>
      </c>
      <c r="B120" s="129"/>
      <c r="C120" s="129"/>
      <c r="D120" s="129"/>
      <c r="E120" s="129"/>
      <c r="F120" s="142">
        <v>45000</v>
      </c>
      <c r="G120" s="142"/>
      <c r="H120" s="142"/>
      <c r="I120" s="19" t="s">
        <v>429</v>
      </c>
      <c r="J120" s="19" t="s">
        <v>430</v>
      </c>
      <c r="R120"/>
      <c r="S120">
        <v>800000</v>
      </c>
      <c r="T120">
        <v>150000</v>
      </c>
      <c r="U120">
        <v>100000</v>
      </c>
      <c r="V120">
        <v>100000</v>
      </c>
    </row>
    <row r="121" spans="1:22" x14ac:dyDescent="0.25">
      <c r="A121" s="129" t="s">
        <v>159</v>
      </c>
      <c r="B121" s="129"/>
      <c r="C121" s="129"/>
      <c r="D121" s="129"/>
      <c r="E121" s="129"/>
      <c r="F121" s="142">
        <v>65000</v>
      </c>
      <c r="G121" s="142"/>
      <c r="H121" s="142"/>
      <c r="J121" s="19" t="s">
        <v>436</v>
      </c>
      <c r="R121"/>
      <c r="S121">
        <v>900000</v>
      </c>
      <c r="T121">
        <v>200000</v>
      </c>
      <c r="U121">
        <v>150000</v>
      </c>
      <c r="V121">
        <v>150000</v>
      </c>
    </row>
    <row r="122" spans="1:22" hidden="1" x14ac:dyDescent="0.25">
      <c r="A122" s="129" t="s">
        <v>161</v>
      </c>
      <c r="B122" s="129"/>
      <c r="C122" s="129"/>
      <c r="D122" s="129"/>
      <c r="E122" s="129"/>
      <c r="F122" s="142"/>
      <c r="G122" s="142"/>
      <c r="H122" s="142"/>
      <c r="R122"/>
      <c r="S122">
        <v>1000000</v>
      </c>
      <c r="T122">
        <v>250000</v>
      </c>
      <c r="U122">
        <v>200000</v>
      </c>
      <c r="V122">
        <v>200000</v>
      </c>
    </row>
    <row r="123" spans="1:22" s="31" customFormat="1" hidden="1" x14ac:dyDescent="0.25">
      <c r="A123" s="129" t="s">
        <v>177</v>
      </c>
      <c r="B123" s="129"/>
      <c r="C123" s="129"/>
      <c r="D123" s="129"/>
      <c r="E123" s="129"/>
      <c r="F123" s="142"/>
      <c r="G123" s="142"/>
      <c r="H123" s="142"/>
      <c r="R123"/>
      <c r="S123">
        <v>1100000</v>
      </c>
      <c r="T123">
        <v>300000</v>
      </c>
      <c r="U123">
        <v>250000</v>
      </c>
      <c r="V123" s="21">
        <v>250000</v>
      </c>
    </row>
    <row r="124" spans="1:22" s="31" customFormat="1" hidden="1" x14ac:dyDescent="0.25">
      <c r="A124" s="129" t="s">
        <v>90</v>
      </c>
      <c r="B124" s="129"/>
      <c r="C124" s="129"/>
      <c r="D124" s="129"/>
      <c r="E124" s="129"/>
      <c r="F124" s="142"/>
      <c r="G124" s="142"/>
      <c r="H124" s="142"/>
      <c r="R124"/>
      <c r="S124">
        <v>1200000</v>
      </c>
      <c r="T124">
        <v>350000</v>
      </c>
      <c r="U124">
        <v>300000</v>
      </c>
      <c r="V124">
        <v>300000</v>
      </c>
    </row>
    <row r="125" spans="1:22" s="31" customFormat="1" hidden="1" x14ac:dyDescent="0.25">
      <c r="A125" s="129" t="s">
        <v>91</v>
      </c>
      <c r="B125" s="129"/>
      <c r="C125" s="129"/>
      <c r="D125" s="129"/>
      <c r="E125" s="129"/>
      <c r="F125" s="142"/>
      <c r="G125" s="142"/>
      <c r="H125" s="142"/>
      <c r="R125"/>
      <c r="S125">
        <v>1300000</v>
      </c>
      <c r="T125">
        <v>400000</v>
      </c>
      <c r="U125">
        <v>350000</v>
      </c>
      <c r="V125" s="21">
        <v>400000</v>
      </c>
    </row>
    <row r="126" spans="1:22" s="31" customFormat="1" hidden="1" x14ac:dyDescent="0.25">
      <c r="A126" s="129" t="s">
        <v>92</v>
      </c>
      <c r="B126" s="129"/>
      <c r="C126" s="129"/>
      <c r="D126" s="129"/>
      <c r="E126" s="129"/>
      <c r="F126" s="142"/>
      <c r="G126" s="142"/>
      <c r="H126" s="142"/>
      <c r="R126"/>
      <c r="S126">
        <v>1400000</v>
      </c>
      <c r="T126">
        <v>500000</v>
      </c>
      <c r="U126">
        <v>400000</v>
      </c>
      <c r="V126"/>
    </row>
    <row r="127" spans="1:22" s="31" customFormat="1" hidden="1" x14ac:dyDescent="0.25">
      <c r="A127" s="129" t="s">
        <v>93</v>
      </c>
      <c r="B127" s="129"/>
      <c r="C127" s="129"/>
      <c r="D127" s="129"/>
      <c r="E127" s="129"/>
      <c r="F127" s="142"/>
      <c r="G127" s="142"/>
      <c r="H127" s="142"/>
      <c r="R127"/>
      <c r="S127">
        <v>1500000</v>
      </c>
      <c r="T127">
        <v>600000</v>
      </c>
      <c r="U127">
        <v>500000</v>
      </c>
      <c r="V127" s="21"/>
    </row>
    <row r="128" spans="1:22" s="31" customFormat="1" hidden="1" x14ac:dyDescent="0.25">
      <c r="A128" s="129" t="s">
        <v>94</v>
      </c>
      <c r="B128" s="129"/>
      <c r="C128" s="129"/>
      <c r="D128" s="129"/>
      <c r="E128" s="129"/>
      <c r="F128" s="142"/>
      <c r="G128" s="142"/>
      <c r="H128" s="142"/>
      <c r="R128"/>
      <c r="S128">
        <v>1600000</v>
      </c>
      <c r="T128">
        <v>700000</v>
      </c>
      <c r="U128">
        <v>600000</v>
      </c>
      <c r="V128"/>
    </row>
    <row r="129" spans="1:22" s="31" customFormat="1" hidden="1" x14ac:dyDescent="0.25">
      <c r="A129" s="129" t="s">
        <v>95</v>
      </c>
      <c r="B129" s="129"/>
      <c r="C129" s="129"/>
      <c r="D129" s="129"/>
      <c r="E129" s="129"/>
      <c r="F129" s="142"/>
      <c r="G129" s="142"/>
      <c r="H129" s="142"/>
      <c r="R129"/>
      <c r="S129">
        <v>1700000</v>
      </c>
      <c r="T129">
        <v>800000</v>
      </c>
      <c r="U129"/>
      <c r="V129" s="21"/>
    </row>
    <row r="130" spans="1:22" x14ac:dyDescent="0.25">
      <c r="A130" s="129" t="s">
        <v>49</v>
      </c>
      <c r="B130" s="129"/>
      <c r="C130" s="129"/>
      <c r="D130" s="129"/>
      <c r="E130" s="129"/>
      <c r="F130" s="204">
        <v>1500000</v>
      </c>
      <c r="G130" s="204"/>
      <c r="H130" s="204"/>
      <c r="R130"/>
      <c r="S130">
        <v>1800000</v>
      </c>
      <c r="T130">
        <v>900000</v>
      </c>
      <c r="U130"/>
    </row>
    <row r="131" spans="1:22" s="32" customFormat="1" x14ac:dyDescent="0.25">
      <c r="A131" s="146" t="s">
        <v>50</v>
      </c>
      <c r="B131" s="146"/>
      <c r="C131" s="146"/>
      <c r="D131" s="146"/>
      <c r="E131" s="146"/>
      <c r="F131" s="142">
        <f>F120*0.8</f>
        <v>36000</v>
      </c>
      <c r="G131" s="142"/>
      <c r="H131" s="142"/>
      <c r="R131" s="19"/>
      <c r="S131" s="19"/>
      <c r="T131">
        <v>1000000</v>
      </c>
      <c r="U131"/>
      <c r="V131" s="19"/>
    </row>
    <row r="132" spans="1:22" s="33" customFormat="1" ht="15.75" customHeight="1" x14ac:dyDescent="0.25">
      <c r="A132" s="158" t="s">
        <v>72</v>
      </c>
      <c r="B132" s="158"/>
      <c r="C132" s="158"/>
      <c r="D132" s="158"/>
      <c r="E132" s="158"/>
      <c r="F132" s="158"/>
      <c r="G132" s="158"/>
      <c r="H132" s="158"/>
      <c r="R132"/>
      <c r="S132" s="19"/>
      <c r="T132"/>
      <c r="U132"/>
      <c r="V132" s="19"/>
    </row>
    <row r="133" spans="1:22" s="33" customFormat="1" ht="15.75" customHeight="1" x14ac:dyDescent="0.25">
      <c r="A133" s="159" t="s">
        <v>51</v>
      </c>
      <c r="B133" s="159"/>
      <c r="C133" s="112" t="s">
        <v>75</v>
      </c>
      <c r="D133" s="112"/>
      <c r="E133" s="147" t="s">
        <v>52</v>
      </c>
      <c r="F133" s="147"/>
      <c r="G133" s="159" t="s">
        <v>53</v>
      </c>
      <c r="H133" s="159"/>
      <c r="R133"/>
      <c r="S133" s="19"/>
      <c r="T133"/>
      <c r="U133" s="19"/>
      <c r="V133" s="19"/>
    </row>
    <row r="134" spans="1:22" s="33" customFormat="1" x14ac:dyDescent="0.25">
      <c r="A134" s="113" t="s">
        <v>460</v>
      </c>
      <c r="B134" s="113"/>
      <c r="C134" s="114">
        <f>COUNT(D152:D154)</f>
        <v>3</v>
      </c>
      <c r="D134" s="134"/>
      <c r="E134" s="114">
        <f>SUM(F152:F154)</f>
        <v>63181.490626799983</v>
      </c>
      <c r="F134" s="134"/>
      <c r="G134" s="114">
        <f>SUM(H152:H154)</f>
        <v>94772.235940199971</v>
      </c>
      <c r="H134" s="134"/>
      <c r="R134"/>
      <c r="S134" s="19"/>
      <c r="T134"/>
      <c r="U134" s="19"/>
      <c r="V134" s="19"/>
    </row>
    <row r="135" spans="1:22" s="33" customFormat="1" hidden="1" x14ac:dyDescent="0.25">
      <c r="A135" s="113"/>
      <c r="B135" s="113"/>
      <c r="C135" s="134"/>
      <c r="D135" s="134"/>
      <c r="E135" s="156"/>
      <c r="F135" s="156"/>
      <c r="G135" s="157"/>
      <c r="H135" s="157"/>
      <c r="R135"/>
      <c r="S135" s="19"/>
      <c r="T135"/>
      <c r="U135" s="19"/>
      <c r="V135" s="19"/>
    </row>
    <row r="136" spans="1:22" s="33" customFormat="1" x14ac:dyDescent="0.25">
      <c r="A136" s="158" t="s">
        <v>151</v>
      </c>
      <c r="B136" s="158"/>
      <c r="C136" s="111">
        <f>C134</f>
        <v>3</v>
      </c>
      <c r="D136" s="112"/>
      <c r="E136" s="111">
        <f t="shared" ref="E136" si="0">E134</f>
        <v>63181.490626799983</v>
      </c>
      <c r="F136" s="112"/>
      <c r="G136" s="111">
        <f t="shared" ref="G136" si="1">G134</f>
        <v>94772.235940199971</v>
      </c>
      <c r="H136" s="112"/>
      <c r="R136"/>
      <c r="S136" s="19"/>
      <c r="T136"/>
      <c r="U136" s="19"/>
      <c r="V136" s="19"/>
    </row>
    <row r="137" spans="1:22" s="33" customFormat="1" x14ac:dyDescent="0.25">
      <c r="A137" s="158" t="s">
        <v>67</v>
      </c>
      <c r="B137" s="158"/>
      <c r="C137" s="158"/>
      <c r="D137" s="158"/>
      <c r="E137" s="158"/>
      <c r="F137" s="158"/>
      <c r="G137" s="158"/>
      <c r="H137" s="158"/>
      <c r="J137" s="19">
        <v>83</v>
      </c>
      <c r="T137"/>
    </row>
    <row r="138" spans="1:22" s="33" customFormat="1" ht="15.75" customHeight="1" x14ac:dyDescent="0.25">
      <c r="A138" s="159" t="s">
        <v>51</v>
      </c>
      <c r="B138" s="159"/>
      <c r="C138" s="112" t="s">
        <v>75</v>
      </c>
      <c r="D138" s="112"/>
      <c r="E138" s="147" t="s">
        <v>52</v>
      </c>
      <c r="F138" s="147"/>
      <c r="G138" s="159" t="s">
        <v>53</v>
      </c>
      <c r="H138" s="159"/>
      <c r="J138" s="19">
        <v>55</v>
      </c>
      <c r="T138"/>
    </row>
    <row r="139" spans="1:22" s="33" customFormat="1" x14ac:dyDescent="0.25">
      <c r="A139" s="113" t="s">
        <v>397</v>
      </c>
      <c r="B139" s="113"/>
      <c r="C139" s="114">
        <f>COUNT(D173:D174)*38+COUNT(D176)*6</f>
        <v>82</v>
      </c>
      <c r="D139" s="114"/>
      <c r="E139" s="114">
        <f>SUM(F173:F174)*38+SUM(F176)*6</f>
        <v>316775.40289199998</v>
      </c>
      <c r="F139" s="114"/>
      <c r="G139" s="114">
        <f t="shared" ref="G139" si="2">SUM(H173:H174)*38+SUM(H176)*6</f>
        <v>475163.104338</v>
      </c>
      <c r="H139" s="114"/>
      <c r="T139"/>
    </row>
    <row r="140" spans="1:22" s="33" customFormat="1" x14ac:dyDescent="0.25">
      <c r="A140" s="113" t="s">
        <v>398</v>
      </c>
      <c r="B140" s="113"/>
      <c r="C140" s="114">
        <f>COUNT(D187:D188)*25+COUNT(D190)*4+COUNT(D193)</f>
        <v>55</v>
      </c>
      <c r="D140" s="114"/>
      <c r="E140" s="114">
        <f>SUM(F187:F188)*25+SUM(F190)*4+SUM(F193)</f>
        <v>238647.39214679998</v>
      </c>
      <c r="F140" s="114"/>
      <c r="G140" s="114">
        <f t="shared" ref="G140" si="3">SUM(H187:H188)*25+SUM(H190)*4+SUM(H193)</f>
        <v>357971.08822020004</v>
      </c>
      <c r="H140" s="114"/>
      <c r="T140"/>
    </row>
    <row r="141" spans="1:22" s="33" customFormat="1" x14ac:dyDescent="0.25">
      <c r="A141" s="113" t="s">
        <v>461</v>
      </c>
      <c r="B141" s="113"/>
      <c r="C141" s="114">
        <f>COUNT(F202:F203)</f>
        <v>2</v>
      </c>
      <c r="D141" s="114"/>
      <c r="E141" s="114">
        <f>SUM(F202:F203)</f>
        <v>6237.0749375999994</v>
      </c>
      <c r="F141" s="114"/>
      <c r="G141" s="114">
        <f>SUM(H202:H203)</f>
        <v>9355.6124063999996</v>
      </c>
      <c r="H141" s="114"/>
      <c r="T141"/>
    </row>
    <row r="142" spans="1:22" s="33" customFormat="1" ht="16.5" thickBot="1" x14ac:dyDescent="0.3">
      <c r="A142" s="153" t="s">
        <v>151</v>
      </c>
      <c r="B142" s="153"/>
      <c r="C142" s="154">
        <f>C139+C140+C141</f>
        <v>139</v>
      </c>
      <c r="D142" s="155"/>
      <c r="E142" s="154">
        <f>E139+E140+E141</f>
        <v>561659.86997639993</v>
      </c>
      <c r="F142" s="155"/>
      <c r="G142" s="154">
        <f>G139+G140+G141</f>
        <v>842489.80496460013</v>
      </c>
      <c r="H142" s="155"/>
      <c r="T142"/>
    </row>
    <row r="143" spans="1:22" s="33" customFormat="1" ht="16.5" thickBot="1" x14ac:dyDescent="0.3">
      <c r="A143" s="149" t="s">
        <v>168</v>
      </c>
      <c r="B143" s="150"/>
      <c r="C143" s="205">
        <f>C136+C142</f>
        <v>142</v>
      </c>
      <c r="D143" s="206"/>
      <c r="E143" s="152">
        <f>E136+E142</f>
        <v>624841.36060319992</v>
      </c>
      <c r="F143" s="152"/>
      <c r="G143" s="139">
        <f>G136+G142</f>
        <v>937262.04090480006</v>
      </c>
      <c r="H143" s="140"/>
      <c r="T143"/>
    </row>
    <row r="144" spans="1:22" s="32" customFormat="1" x14ac:dyDescent="0.25">
      <c r="A144" s="148" t="s">
        <v>54</v>
      </c>
      <c r="B144" s="148"/>
      <c r="C144" s="148"/>
      <c r="D144" s="148"/>
      <c r="E144" s="148"/>
      <c r="F144" s="148"/>
      <c r="G144" s="148"/>
      <c r="H144" s="148"/>
      <c r="T144" s="33"/>
    </row>
    <row r="145" spans="1:20" x14ac:dyDescent="0.25">
      <c r="A145" s="151" t="s">
        <v>176</v>
      </c>
      <c r="B145" s="151"/>
      <c r="C145" s="151"/>
      <c r="D145" s="151"/>
      <c r="E145" s="151"/>
      <c r="F145" s="151"/>
      <c r="G145" s="151"/>
      <c r="H145" s="151"/>
      <c r="T145" s="33"/>
    </row>
    <row r="146" spans="1:20" ht="47.25" customHeight="1" x14ac:dyDescent="0.25">
      <c r="A146" s="132" t="s">
        <v>117</v>
      </c>
      <c r="B146" s="135" t="s">
        <v>179</v>
      </c>
      <c r="C146" s="132" t="s">
        <v>55</v>
      </c>
      <c r="D146" s="135" t="s">
        <v>234</v>
      </c>
      <c r="E146" s="222" t="s">
        <v>157</v>
      </c>
      <c r="F146" s="132" t="s">
        <v>56</v>
      </c>
      <c r="G146" s="144" t="s">
        <v>57</v>
      </c>
      <c r="H146" s="73" t="s">
        <v>149</v>
      </c>
      <c r="L146" s="40">
        <v>10.763999999999999</v>
      </c>
      <c r="T146" s="33"/>
    </row>
    <row r="147" spans="1:20" s="35" customFormat="1" x14ac:dyDescent="0.25">
      <c r="A147" s="133"/>
      <c r="B147" s="136"/>
      <c r="C147" s="133"/>
      <c r="D147" s="136"/>
      <c r="E147" s="223"/>
      <c r="F147" s="133"/>
      <c r="G147" s="145"/>
      <c r="H147" s="75">
        <v>0.5</v>
      </c>
      <c r="T147" s="33"/>
    </row>
    <row r="148" spans="1:20" s="80" customFormat="1" x14ac:dyDescent="0.25">
      <c r="A148" s="229" t="s">
        <v>407</v>
      </c>
      <c r="B148" s="230"/>
      <c r="C148" s="230"/>
      <c r="D148" s="230"/>
      <c r="E148" s="230"/>
      <c r="F148" s="230"/>
      <c r="G148" s="230"/>
      <c r="H148" s="231"/>
      <c r="J148" s="81"/>
    </row>
    <row r="149" spans="1:20" s="35" customFormat="1" x14ac:dyDescent="0.25">
      <c r="A149" s="116" t="s">
        <v>459</v>
      </c>
      <c r="B149" s="116"/>
      <c r="C149" s="116"/>
      <c r="D149" s="116"/>
      <c r="E149" s="116"/>
      <c r="F149" s="116"/>
      <c r="G149" s="116"/>
      <c r="H149" s="116"/>
      <c r="J149" s="34"/>
    </row>
    <row r="150" spans="1:20" s="35" customFormat="1" x14ac:dyDescent="0.25">
      <c r="A150" s="115" t="s">
        <v>373</v>
      </c>
      <c r="B150" s="115"/>
      <c r="C150" s="115"/>
      <c r="D150" s="115"/>
      <c r="E150" s="115"/>
      <c r="F150" s="115"/>
      <c r="G150" s="115"/>
      <c r="H150" s="115"/>
      <c r="J150" s="34"/>
    </row>
    <row r="151" spans="1:20" s="35" customFormat="1" x14ac:dyDescent="0.25">
      <c r="A151" s="115" t="s">
        <v>389</v>
      </c>
      <c r="B151" s="115"/>
      <c r="C151" s="115"/>
      <c r="D151" s="115"/>
      <c r="E151" s="115"/>
      <c r="F151" s="115"/>
      <c r="G151" s="115"/>
      <c r="H151" s="115"/>
      <c r="J151" s="34"/>
      <c r="T151" s="33"/>
    </row>
    <row r="152" spans="1:20" s="80" customFormat="1" ht="52.5" customHeight="1" x14ac:dyDescent="0.25">
      <c r="A152" s="117">
        <v>2</v>
      </c>
      <c r="B152" s="117"/>
      <c r="C152" s="82" t="s">
        <v>390</v>
      </c>
      <c r="D152" s="82">
        <f>((19.42*15.42+3.55*9.35+11.04*15.42+25.59*6.6+9.13*6.07+12.53*3.96+5.46*(4.07+4.07)+(6.07*3)*2)+(21.19*15.42+3.55*9.35+11.04*15.42+25.59*6.6+9.13*6.07+12.53*3.96+5.46*(4.06+4.06)))*10.764</f>
        <v>18364.763944799994</v>
      </c>
      <c r="E152" s="82">
        <v>0</v>
      </c>
      <c r="F152" s="82">
        <f>D152+(IF(E152&lt;201,E152,IF(E152&lt;301,E152/2,E152/3)))</f>
        <v>18364.763944799994</v>
      </c>
      <c r="G152" s="82">
        <v>0</v>
      </c>
      <c r="H152" s="82">
        <f>(F152+(IF(G152&lt;101,G152,IF(G152&lt;201,G152/2,IF(G152&lt;=301,G152/3,G152/4)))))*(($H$147)+1)</f>
        <v>27547.145917199989</v>
      </c>
      <c r="I152" s="81"/>
      <c r="L152" s="125"/>
      <c r="M152" s="125"/>
      <c r="N152" s="81"/>
      <c r="T152" s="19"/>
    </row>
    <row r="153" spans="1:20" s="35" customFormat="1" ht="52.5" customHeight="1" x14ac:dyDescent="0.25">
      <c r="A153" s="117">
        <v>3</v>
      </c>
      <c r="B153" s="117"/>
      <c r="C153" s="40" t="s">
        <v>390</v>
      </c>
      <c r="D153" s="40">
        <f>((19.42*15.42+3.55*9.35+11.04*15.42+25.59*6.6+9.13*6.07+12.53*3.96+5.46*(4.07+4.07)+(6.07*3)*2)+(21.19*15.42+3.55*9.35+11.04*15.42+25.59*6.6+9.13*6.07+12.53*3.96+5.46*(4.06+4.06)))*10.764</f>
        <v>18364.763944799994</v>
      </c>
      <c r="E153" s="40">
        <v>0</v>
      </c>
      <c r="F153" s="40">
        <f>D153+(IF(E153&lt;201,E153,IF(E153&lt;301,E153/2,E153/3)))</f>
        <v>18364.763944799994</v>
      </c>
      <c r="G153" s="40">
        <v>0</v>
      </c>
      <c r="H153" s="40">
        <f>(F153+(IF(G153&lt;101,G153,IF(G153&lt;201,G153/2,IF(G153&lt;=301,G153/3,G153/4)))))*(($H$147)+1)</f>
        <v>27547.145917199989</v>
      </c>
      <c r="I153" s="34"/>
      <c r="L153" s="125"/>
      <c r="M153" s="125"/>
      <c r="N153" s="34"/>
      <c r="T153" s="19"/>
    </row>
    <row r="154" spans="1:20" s="35" customFormat="1" ht="49.5" customHeight="1" x14ac:dyDescent="0.25">
      <c r="A154" s="117">
        <f>A153+1</f>
        <v>4</v>
      </c>
      <c r="B154" s="117"/>
      <c r="C154" s="82" t="s">
        <v>390</v>
      </c>
      <c r="D154" s="82">
        <f>((19.42*24.29+3.55*18.22+11.5*24.29+9.13*6.07+12.53*3.96+(5.85*3.35)*2+16.19*6.6+5.46*(4.06+4.06)+3.25*6)+(19.42*24.74+3.55*18.67+18.1*24.74+(16.19+13.55)*6.15+9.13*6.07+12.53*3.96+5.46*(4.06+4.06)))*10.764</f>
        <v>26451.962737199996</v>
      </c>
      <c r="E154" s="82">
        <v>0</v>
      </c>
      <c r="F154" s="82">
        <f>D154+(IF(E154&lt;201,E154,IF(E154&lt;301,E154/2,E154/3)))</f>
        <v>26451.962737199996</v>
      </c>
      <c r="G154" s="82">
        <v>0</v>
      </c>
      <c r="H154" s="82">
        <f>(F154+(IF(G154&lt;101,G154,IF(G154&lt;201,G154/2,IF(G154&lt;=301,G154/3,G154/4)))))*(($H$147)+1)</f>
        <v>39677.944105799994</v>
      </c>
      <c r="I154" s="34"/>
      <c r="L154" s="125"/>
      <c r="M154" s="125"/>
      <c r="N154" s="34"/>
      <c r="T154" s="33"/>
    </row>
    <row r="155" spans="1:20" s="35" customFormat="1" hidden="1" x14ac:dyDescent="0.25">
      <c r="A155" s="115" t="s">
        <v>115</v>
      </c>
      <c r="B155" s="115"/>
      <c r="C155" s="115"/>
      <c r="D155" s="115"/>
      <c r="E155" s="115"/>
      <c r="F155" s="115"/>
      <c r="G155" s="115"/>
      <c r="H155" s="115"/>
      <c r="J155" s="34"/>
      <c r="T155" s="33"/>
    </row>
    <row r="156" spans="1:20" s="35" customFormat="1" ht="15.75" hidden="1" customHeight="1" x14ac:dyDescent="0.25">
      <c r="A156" s="117">
        <v>1</v>
      </c>
      <c r="B156" s="117"/>
      <c r="C156" s="82"/>
      <c r="D156" s="82">
        <v>0</v>
      </c>
      <c r="E156" s="82">
        <v>0</v>
      </c>
      <c r="F156" s="82">
        <f>D156+(IF(E156&lt;201,E156,IF(E156&lt;301,E156/2,E156/3)))</f>
        <v>0</v>
      </c>
      <c r="G156" s="82">
        <v>0</v>
      </c>
      <c r="H156" s="82">
        <f>(F156+(IF(G156&lt;101,G156,IF(G156&lt;201,G156/2,IF(G156&lt;=301,G156/3,G156/4)))))*(($H$147)+1)</f>
        <v>0</v>
      </c>
      <c r="I156" s="34"/>
      <c r="L156" s="125"/>
      <c r="M156" s="125"/>
      <c r="N156" s="34"/>
      <c r="T156" s="33"/>
    </row>
    <row r="157" spans="1:20" s="35" customFormat="1" ht="15.75" hidden="1" customHeight="1" x14ac:dyDescent="0.25">
      <c r="A157" s="117">
        <f>A156+1</f>
        <v>2</v>
      </c>
      <c r="B157" s="117"/>
      <c r="C157" s="82"/>
      <c r="D157" s="82"/>
      <c r="E157" s="82">
        <v>0</v>
      </c>
      <c r="F157" s="82">
        <f>D157+(IF(E157&lt;201,E157,IF(E157&lt;301,E157/2,E157/3)))</f>
        <v>0</v>
      </c>
      <c r="G157" s="82">
        <v>0</v>
      </c>
      <c r="H157" s="82">
        <f>(F157+(IF(G157&lt;101,G157,IF(G157&lt;201,G157/2,IF(G157&lt;=301,G157/3,G157/4)))))*(($H$147)+1)</f>
        <v>0</v>
      </c>
      <c r="I157" s="34"/>
      <c r="L157" s="125"/>
      <c r="M157" s="125"/>
      <c r="N157" s="34"/>
      <c r="T157" s="32"/>
    </row>
    <row r="158" spans="1:20" s="35" customFormat="1" ht="15.75" hidden="1" customHeight="1" x14ac:dyDescent="0.25">
      <c r="A158" s="117">
        <f>A157+1</f>
        <v>3</v>
      </c>
      <c r="B158" s="117"/>
      <c r="C158" s="82"/>
      <c r="D158" s="82"/>
      <c r="E158" s="82">
        <v>0</v>
      </c>
      <c r="F158" s="82">
        <f>D158+(IF(E158&lt;201,E158,IF(E158&lt;301,E158/2,E158/3)))</f>
        <v>0</v>
      </c>
      <c r="G158" s="82">
        <v>0</v>
      </c>
      <c r="H158" s="82">
        <f>(F158+(IF(G158&lt;101,G158,IF(G158&lt;201,G158/2,IF(G158&lt;=301,G158/3,G158/4)))))*(($H$147)+1)</f>
        <v>0</v>
      </c>
      <c r="I158" s="34"/>
      <c r="L158" s="125"/>
      <c r="M158" s="125"/>
      <c r="N158" s="34"/>
      <c r="T158" s="19"/>
    </row>
    <row r="159" spans="1:20" s="35" customFormat="1" ht="15.75" hidden="1" customHeight="1" x14ac:dyDescent="0.25">
      <c r="A159" s="117">
        <f>A158+1</f>
        <v>4</v>
      </c>
      <c r="B159" s="117"/>
      <c r="C159" s="82"/>
      <c r="D159" s="82"/>
      <c r="E159" s="82">
        <v>0</v>
      </c>
      <c r="F159" s="82">
        <f>D159+(IF(E159&lt;201,E159,IF(E159&lt;301,E159/2,E159/3)))</f>
        <v>0</v>
      </c>
      <c r="G159" s="82">
        <v>0</v>
      </c>
      <c r="H159" s="82">
        <f>(F159+(IF(G159&lt;101,G159,IF(G159&lt;201,G159/2,IF(G159&lt;=301,G159/3,G159/4)))))*(($H$147)+1)</f>
        <v>0</v>
      </c>
      <c r="I159" s="34"/>
      <c r="L159" s="125"/>
      <c r="M159" s="125"/>
      <c r="N159" s="34"/>
      <c r="T159" s="19"/>
    </row>
    <row r="160" spans="1:20" s="35" customFormat="1" x14ac:dyDescent="0.25">
      <c r="A160" s="117"/>
      <c r="B160" s="117"/>
      <c r="C160" s="117"/>
      <c r="D160" s="117"/>
      <c r="E160" s="117"/>
      <c r="F160" s="117"/>
      <c r="G160" s="117"/>
      <c r="H160" s="117"/>
      <c r="I160" s="34"/>
      <c r="N160" s="34"/>
    </row>
    <row r="161" spans="1:20" ht="47.25" customHeight="1" x14ac:dyDescent="0.25">
      <c r="A161" s="137" t="s">
        <v>118</v>
      </c>
      <c r="B161" s="208" t="s">
        <v>180</v>
      </c>
      <c r="C161" s="137" t="s">
        <v>55</v>
      </c>
      <c r="D161" s="208" t="s">
        <v>385</v>
      </c>
      <c r="E161" s="208" t="s">
        <v>384</v>
      </c>
      <c r="F161" s="137" t="s">
        <v>56</v>
      </c>
      <c r="G161" s="138" t="s">
        <v>57</v>
      </c>
      <c r="H161" s="85" t="s">
        <v>149</v>
      </c>
      <c r="I161" s="34"/>
      <c r="T161" s="35"/>
    </row>
    <row r="162" spans="1:20" s="35" customFormat="1" x14ac:dyDescent="0.25">
      <c r="A162" s="137"/>
      <c r="B162" s="208"/>
      <c r="C162" s="137"/>
      <c r="D162" s="208"/>
      <c r="E162" s="208"/>
      <c r="F162" s="137"/>
      <c r="G162" s="138"/>
      <c r="H162" s="77">
        <v>0.5</v>
      </c>
      <c r="I162" s="34"/>
    </row>
    <row r="163" spans="1:20" s="35" customFormat="1" x14ac:dyDescent="0.25">
      <c r="A163" s="116" t="s">
        <v>407</v>
      </c>
      <c r="B163" s="116"/>
      <c r="C163" s="116"/>
      <c r="D163" s="116"/>
      <c r="E163" s="116"/>
      <c r="F163" s="116"/>
      <c r="G163" s="116"/>
      <c r="H163" s="116"/>
      <c r="J163" s="34"/>
    </row>
    <row r="164" spans="1:20" s="35" customFormat="1" x14ac:dyDescent="0.25">
      <c r="A164" s="116" t="s">
        <v>372</v>
      </c>
      <c r="B164" s="116"/>
      <c r="C164" s="116"/>
      <c r="D164" s="116"/>
      <c r="E164" s="116"/>
      <c r="F164" s="116"/>
      <c r="G164" s="116"/>
      <c r="H164" s="116"/>
      <c r="J164" s="34"/>
    </row>
    <row r="165" spans="1:20" s="35" customFormat="1" x14ac:dyDescent="0.25">
      <c r="A165" s="115" t="s">
        <v>373</v>
      </c>
      <c r="B165" s="115"/>
      <c r="C165" s="115"/>
      <c r="D165" s="115"/>
      <c r="E165" s="115"/>
      <c r="F165" s="115"/>
      <c r="G165" s="115"/>
      <c r="H165" s="115"/>
      <c r="J165" s="34"/>
    </row>
    <row r="166" spans="1:20" s="35" customFormat="1" x14ac:dyDescent="0.25">
      <c r="A166" s="115" t="s">
        <v>389</v>
      </c>
      <c r="B166" s="115"/>
      <c r="C166" s="115"/>
      <c r="D166" s="115"/>
      <c r="E166" s="115"/>
      <c r="F166" s="115"/>
      <c r="G166" s="115"/>
      <c r="H166" s="115"/>
      <c r="J166" s="34"/>
    </row>
    <row r="167" spans="1:20" s="35" customFormat="1" x14ac:dyDescent="0.25">
      <c r="A167" s="115" t="s">
        <v>391</v>
      </c>
      <c r="B167" s="115"/>
      <c r="C167" s="115"/>
      <c r="D167" s="115"/>
      <c r="E167" s="115"/>
      <c r="F167" s="115"/>
      <c r="G167" s="115"/>
      <c r="H167" s="115"/>
      <c r="I167" s="35">
        <v>1</v>
      </c>
      <c r="J167" s="34"/>
    </row>
    <row r="168" spans="1:20" s="35" customFormat="1" x14ac:dyDescent="0.25">
      <c r="A168" s="115" t="s">
        <v>377</v>
      </c>
      <c r="B168" s="115"/>
      <c r="C168" s="115"/>
      <c r="D168" s="115"/>
      <c r="E168" s="115"/>
      <c r="F168" s="115"/>
      <c r="G168" s="115"/>
      <c r="H168" s="115"/>
      <c r="I168" s="35">
        <v>6</v>
      </c>
      <c r="J168" s="34"/>
    </row>
    <row r="169" spans="1:20" s="35" customFormat="1" x14ac:dyDescent="0.25">
      <c r="A169" s="115" t="s">
        <v>416</v>
      </c>
      <c r="B169" s="115"/>
      <c r="C169" s="115"/>
      <c r="D169" s="115"/>
      <c r="E169" s="115"/>
      <c r="F169" s="115"/>
      <c r="G169" s="115"/>
      <c r="H169" s="115"/>
      <c r="I169" s="35">
        <v>1</v>
      </c>
      <c r="J169" s="34"/>
    </row>
    <row r="170" spans="1:20" s="35" customFormat="1" ht="15.75" customHeight="1" x14ac:dyDescent="0.25">
      <c r="A170" s="115" t="s">
        <v>378</v>
      </c>
      <c r="B170" s="115"/>
      <c r="C170" s="115"/>
      <c r="D170" s="115"/>
      <c r="E170" s="115"/>
      <c r="F170" s="115"/>
      <c r="G170" s="115"/>
      <c r="H170" s="115"/>
      <c r="I170" s="35">
        <v>1</v>
      </c>
      <c r="J170" s="34"/>
    </row>
    <row r="171" spans="1:20" s="35" customFormat="1" x14ac:dyDescent="0.25">
      <c r="A171" s="115" t="s">
        <v>380</v>
      </c>
      <c r="B171" s="115"/>
      <c r="C171" s="115"/>
      <c r="D171" s="115"/>
      <c r="E171" s="115"/>
      <c r="F171" s="115"/>
      <c r="G171" s="115"/>
      <c r="H171" s="115"/>
      <c r="I171" s="35">
        <v>3</v>
      </c>
      <c r="J171" s="34"/>
    </row>
    <row r="172" spans="1:20" s="35" customFormat="1" ht="32.25" customHeight="1" x14ac:dyDescent="0.25">
      <c r="A172" s="115" t="s">
        <v>381</v>
      </c>
      <c r="B172" s="115"/>
      <c r="C172" s="115"/>
      <c r="D172" s="115"/>
      <c r="E172" s="115"/>
      <c r="F172" s="115"/>
      <c r="G172" s="115"/>
      <c r="H172" s="115"/>
      <c r="I172" s="35">
        <f>5+6+1+5+6+1+5+6+3</f>
        <v>38</v>
      </c>
      <c r="J172" s="34"/>
    </row>
    <row r="173" spans="1:20" s="35" customFormat="1" ht="15.75" customHeight="1" x14ac:dyDescent="0.25">
      <c r="A173" s="118">
        <v>1</v>
      </c>
      <c r="B173" s="120"/>
      <c r="C173" s="40" t="s">
        <v>382</v>
      </c>
      <c r="D173" s="40">
        <f>(5.53*6.56+3.91*3.5+3.66*(6.09+5.39)+3.96*(4.01+5.54)+1.83*(1.88+3.2+3.15+3.05)+2.75*(1.58+2.19+2.36)+2.14*6.24+10.65*1.22+1.07*(2.08+2.69)+1.2*(1.98+0.92)+2.79*1.95+2.94+2.49*1.62+3.61*1.07+3.61*1.07+1.8*2+6.56*1.37+3.61*5.34+6.76*0.45)*10.764</f>
        <v>2769.2898012000001</v>
      </c>
      <c r="E173" s="40">
        <f>(8.02*2.14+6.79*0.3)*10.764</f>
        <v>206.66664719999997</v>
      </c>
      <c r="F173" s="40">
        <f>D173+E173</f>
        <v>2975.9564484000002</v>
      </c>
      <c r="G173" s="40">
        <v>0</v>
      </c>
      <c r="H173" s="40">
        <f>F173*(($H$162)+1)+(IF(G173&lt;101,G173,IF(G173&lt;201,G173/2,IF(G173&lt;=301,G173/3,G173/4))))</f>
        <v>4463.9346726000003</v>
      </c>
      <c r="I173" s="34">
        <f>1.8*2+6.56*1.37+2.14*6.24+2.49*1.62+2.94*1+2.79*1.95+5.53*6.56+6.76*0.45+3.61*5.34+3.91*3.5+3.61*1.07+1.2*1.98+1.2*0.92+3.66*5.39+1.83*3.15+1.83*3.05+1.88*1.83+3.66*6.09+1.93*2.64+1.83*3.2+1.07*2.69+3.96*5.54+2.75*2.19+1.07*2.08+2.75*1.58+3.96*4.01+1.22*10.6+1.28*0.15+3.31*0.15+3.31*0.15</f>
        <v>253.13980000000001</v>
      </c>
      <c r="J173" s="35">
        <f>(5.53*6.56+3.91*3.5+3.66*(6.09+5.39)+3.96*(4.01+5.54)+1.83*(1.88+3.2+3.15+3.05)+2.75*(1.58+2.19+2.36)+2.14*6.24+10.65*1.22+1.07*(2.08+2.69)+1.2*(1.98+0.92)+2.79*1.95+2.94+2.49*1.62+3.61*1.07+3.61*1.07+1.8*2+6.56*1.37+3.61*5.34+6.76*0.45)</f>
        <v>257.27330000000001</v>
      </c>
      <c r="K173" s="35">
        <f>274900000/H173</f>
        <v>61582.442432986063</v>
      </c>
      <c r="L173" s="125">
        <f>8000000-1500000</f>
        <v>6500000</v>
      </c>
      <c r="M173" s="125"/>
      <c r="N173" s="34">
        <f>H173*60000+3*1500000</f>
        <v>272336080.35600001</v>
      </c>
    </row>
    <row r="174" spans="1:20" s="35" customFormat="1" ht="15.75" customHeight="1" x14ac:dyDescent="0.25">
      <c r="A174" s="118">
        <f>A173+1</f>
        <v>2</v>
      </c>
      <c r="B174" s="120"/>
      <c r="C174" s="40" t="s">
        <v>383</v>
      </c>
      <c r="D174" s="40">
        <f>(10.46*6.56+4.57*3.5+3.96*(5.94+8.23)+3.61*6.09+4.12*5.69+4.07*7.62+1.83*(1.83+4.36+3.01+3.62+5.34+2.9)+2.39*6.24+14.05*1.22+1.83*(1.2+2.2)+1.93*(1.63+2.65+2.65)+1.48*2.9+3.05*1.95+2.75*1.62+3.2+4.26*1.07+7.47*1.37+1.8*2+5.84*8.38+7.92*0.45)*10.764</f>
        <v>4264.1370720000004</v>
      </c>
      <c r="E174" s="40">
        <f>(9.18*2.14+4.07*1.68)*10.764</f>
        <v>285.06085919999998</v>
      </c>
      <c r="F174" s="40">
        <f>D174+E174</f>
        <v>4549.1979312000003</v>
      </c>
      <c r="G174" s="40">
        <v>0</v>
      </c>
      <c r="H174" s="40">
        <f>F174*(($H$162)+1)+(IF(G174&lt;101,G174,IF(G174&lt;201,G174/2,IF(G174&lt;=301,G174/3,G174/4))))</f>
        <v>6823.7968968000005</v>
      </c>
      <c r="I174" s="34"/>
      <c r="K174" s="35">
        <f>404600000/H174</f>
        <v>59292.503296769573</v>
      </c>
      <c r="L174" s="233">
        <f>65000/1.5</f>
        <v>43333.333333333336</v>
      </c>
      <c r="M174" s="233"/>
      <c r="N174" s="34"/>
    </row>
    <row r="175" spans="1:20" s="35" customFormat="1" x14ac:dyDescent="0.25">
      <c r="A175" s="209" t="s">
        <v>386</v>
      </c>
      <c r="B175" s="210"/>
      <c r="C175" s="210"/>
      <c r="D175" s="210"/>
      <c r="E175" s="210"/>
      <c r="F175" s="210"/>
      <c r="G175" s="210"/>
      <c r="H175" s="211"/>
      <c r="I175" s="35">
        <v>6</v>
      </c>
      <c r="J175" s="34"/>
    </row>
    <row r="176" spans="1:20" s="35" customFormat="1" ht="15.75" customHeight="1" x14ac:dyDescent="0.25">
      <c r="A176" s="118">
        <v>1</v>
      </c>
      <c r="B176" s="120"/>
      <c r="C176" s="40" t="s">
        <v>383</v>
      </c>
      <c r="D176" s="40">
        <f>(12.8*7.02+3.91*3.5+3.66*(6.09+5.39)+3.96*(4.01+5.54+10.06)+5.3*1.37+4.37*1.77+5.03*2.64+10.65*1.22+1.07*(2.08+2.69)+1.2*(1.98+0.92)+1.83*(1.88+3.2+3.15+2.9)+1.93*2.64+2.75*(1.58+2.19+2.36)+1.48*2.59+2.79*1.95+2.94+2.49*1.62+3.61*1.07+6.56*1.37+1.8*2+3.39*6.56+3.61*5.34+5.84*10.06+1.93*4.48+6.76*0.45)*10.764</f>
        <v>4951.8490319999992</v>
      </c>
      <c r="E176" s="40">
        <f>(8.02*2.14)*10.764</f>
        <v>184.74037920000001</v>
      </c>
      <c r="F176" s="40">
        <f>D176+E176</f>
        <v>5136.5894111999987</v>
      </c>
      <c r="G176" s="40">
        <v>0</v>
      </c>
      <c r="H176" s="40">
        <f>F176*(($H$162)+1)+(IF(G176&lt;101,G176,IF(G176&lt;201,G176/2,IF(G176&lt;=301,G176/3,G176/4))))</f>
        <v>7704.8841167999981</v>
      </c>
      <c r="I176" s="34"/>
      <c r="L176" s="125"/>
      <c r="M176" s="125"/>
      <c r="N176" s="34"/>
    </row>
    <row r="177" spans="1:14" s="35" customFormat="1" ht="15.75" customHeight="1" x14ac:dyDescent="0.25">
      <c r="A177" s="118">
        <f>A176+1</f>
        <v>2</v>
      </c>
      <c r="B177" s="120"/>
      <c r="C177" s="40" t="s">
        <v>387</v>
      </c>
      <c r="D177" s="118" t="s">
        <v>388</v>
      </c>
      <c r="E177" s="119"/>
      <c r="F177" s="119"/>
      <c r="G177" s="120"/>
      <c r="H177" s="40" t="s">
        <v>387</v>
      </c>
      <c r="I177" s="34"/>
      <c r="L177" s="125"/>
      <c r="M177" s="125"/>
      <c r="N177" s="34"/>
    </row>
    <row r="178" spans="1:14" s="35" customFormat="1" x14ac:dyDescent="0.25">
      <c r="A178" s="229" t="s">
        <v>376</v>
      </c>
      <c r="B178" s="230"/>
      <c r="C178" s="230"/>
      <c r="D178" s="230"/>
      <c r="E178" s="230"/>
      <c r="F178" s="230"/>
      <c r="G178" s="230"/>
      <c r="H178" s="231"/>
      <c r="J178" s="34"/>
      <c r="K178" s="35">
        <f>3436*1.5</f>
        <v>5154</v>
      </c>
      <c r="L178" s="35">
        <f>274900000-1500000</f>
        <v>273400000</v>
      </c>
      <c r="M178" s="35">
        <f>L178/K178</f>
        <v>53046.177726038026</v>
      </c>
      <c r="N178" s="35">
        <f>274900000/K178</f>
        <v>53337.213814513001</v>
      </c>
    </row>
    <row r="179" spans="1:14" s="35" customFormat="1" x14ac:dyDescent="0.25">
      <c r="A179" s="209" t="s">
        <v>419</v>
      </c>
      <c r="B179" s="210"/>
      <c r="C179" s="210"/>
      <c r="D179" s="210"/>
      <c r="E179" s="210"/>
      <c r="F179" s="210"/>
      <c r="G179" s="210"/>
      <c r="H179" s="211"/>
      <c r="J179" s="34"/>
    </row>
    <row r="180" spans="1:14" s="35" customFormat="1" x14ac:dyDescent="0.25">
      <c r="A180" s="209" t="s">
        <v>389</v>
      </c>
      <c r="B180" s="210"/>
      <c r="C180" s="210"/>
      <c r="D180" s="210"/>
      <c r="E180" s="210"/>
      <c r="F180" s="210"/>
      <c r="G180" s="210"/>
      <c r="H180" s="211"/>
      <c r="J180" s="34"/>
    </row>
    <row r="181" spans="1:14" s="35" customFormat="1" x14ac:dyDescent="0.25">
      <c r="A181" s="209" t="s">
        <v>391</v>
      </c>
      <c r="B181" s="210"/>
      <c r="C181" s="210"/>
      <c r="D181" s="210"/>
      <c r="E181" s="210"/>
      <c r="F181" s="210"/>
      <c r="G181" s="210"/>
      <c r="H181" s="211"/>
      <c r="I181" s="35" t="s">
        <v>392</v>
      </c>
      <c r="J181" s="34"/>
    </row>
    <row r="182" spans="1:14" s="35" customFormat="1" x14ac:dyDescent="0.25">
      <c r="A182" s="209" t="s">
        <v>377</v>
      </c>
      <c r="B182" s="210"/>
      <c r="C182" s="210"/>
      <c r="D182" s="210"/>
      <c r="E182" s="210"/>
      <c r="F182" s="210"/>
      <c r="G182" s="210"/>
      <c r="H182" s="211"/>
      <c r="I182" s="35">
        <v>6</v>
      </c>
      <c r="J182" s="34"/>
    </row>
    <row r="183" spans="1:14" s="35" customFormat="1" x14ac:dyDescent="0.25">
      <c r="A183" s="209" t="s">
        <v>379</v>
      </c>
      <c r="B183" s="210"/>
      <c r="C183" s="210"/>
      <c r="D183" s="210"/>
      <c r="E183" s="210"/>
      <c r="F183" s="210"/>
      <c r="G183" s="210"/>
      <c r="H183" s="211"/>
      <c r="I183" s="35">
        <v>1</v>
      </c>
      <c r="J183" s="34"/>
    </row>
    <row r="184" spans="1:14" s="35" customFormat="1" ht="15.75" customHeight="1" x14ac:dyDescent="0.25">
      <c r="A184" s="209" t="s">
        <v>378</v>
      </c>
      <c r="B184" s="210"/>
      <c r="C184" s="210"/>
      <c r="D184" s="210"/>
      <c r="E184" s="210"/>
      <c r="F184" s="210"/>
      <c r="G184" s="210"/>
      <c r="H184" s="211"/>
      <c r="I184" s="35">
        <v>1</v>
      </c>
      <c r="J184" s="34"/>
    </row>
    <row r="185" spans="1:14" s="35" customFormat="1" x14ac:dyDescent="0.25">
      <c r="A185" s="209" t="s">
        <v>380</v>
      </c>
      <c r="B185" s="210"/>
      <c r="C185" s="210"/>
      <c r="D185" s="210"/>
      <c r="E185" s="210"/>
      <c r="F185" s="210"/>
      <c r="G185" s="210"/>
      <c r="H185" s="211"/>
      <c r="I185" s="35">
        <v>3</v>
      </c>
      <c r="J185" s="232"/>
      <c r="K185" s="232"/>
    </row>
    <row r="186" spans="1:14" s="35" customFormat="1" x14ac:dyDescent="0.25">
      <c r="A186" s="209" t="s">
        <v>396</v>
      </c>
      <c r="B186" s="210"/>
      <c r="C186" s="210"/>
      <c r="D186" s="210"/>
      <c r="E186" s="210"/>
      <c r="F186" s="210"/>
      <c r="G186" s="210"/>
      <c r="H186" s="211"/>
      <c r="I186" s="35">
        <f>5+6+1+5+6+2</f>
        <v>25</v>
      </c>
      <c r="J186" s="34">
        <v>46000</v>
      </c>
    </row>
    <row r="187" spans="1:14" s="35" customFormat="1" ht="15.75" customHeight="1" x14ac:dyDescent="0.25">
      <c r="A187" s="118">
        <v>1</v>
      </c>
      <c r="B187" s="120"/>
      <c r="C187" s="40" t="s">
        <v>383</v>
      </c>
      <c r="D187" s="40">
        <f>(10.46*6.56+4.27*(5.94+8.23)+4.12*(5.69+7.62)+1.83*(1.83+3.01+4.36+3.62+5.34+2.9)+2.39*6.24+13.81*1.22+1.83*1.2+1.93*(1.63+2.22+2.65+2.65)+1.48*2.59+3.05*1.95+3.2+2.75*1.62+7.47*1.37+2.38*2+5.84*8.38+7.92*0.45)*10.764</f>
        <v>3864.8206583999995</v>
      </c>
      <c r="E187" s="40">
        <f>(9.18*2.14+4.07*1.68)*10.764</f>
        <v>285.06085919999998</v>
      </c>
      <c r="F187" s="40">
        <f>D187+E187</f>
        <v>4149.8815175999998</v>
      </c>
      <c r="G187" s="40">
        <v>0</v>
      </c>
      <c r="H187" s="40">
        <f>F187*(($H$162)+1)+(IF(G187&lt;101,G187,IF(G187&lt;201,G187/2,IF(G187&lt;=301,G187/3,G187/4))))</f>
        <v>6224.8222764000002</v>
      </c>
      <c r="I187" s="34"/>
      <c r="J187" s="35">
        <f>J$186*H187</f>
        <v>286341824.71439999</v>
      </c>
      <c r="L187" s="125"/>
      <c r="M187" s="125"/>
      <c r="N187" s="34"/>
    </row>
    <row r="188" spans="1:14" s="35" customFormat="1" ht="15.75" customHeight="1" x14ac:dyDescent="0.25">
      <c r="A188" s="118">
        <f>A187+1</f>
        <v>2</v>
      </c>
      <c r="B188" s="120"/>
      <c r="C188" s="40" t="s">
        <v>383</v>
      </c>
      <c r="D188" s="40">
        <f>(10.46*6.56+4.27*(5.94+8.23)+4.12*(5.69+7.62)+1.83*(1.83+3.01+4.36+3.62+5.34+2.9)+2.39*6.24+13.81*1.22+1.83*1.2+1.93*(1.63+2.22+2.65+2.65)+1.48*2.59+3.05*1.95+3.2+2.75*1.62+7.47*1.37+2.38*2+5.84*8.38+7.92*0.45)*10.764</f>
        <v>3864.8206583999995</v>
      </c>
      <c r="E188" s="40">
        <f>(9.18*2.14+4.07*1.68)*10.764</f>
        <v>285.06085919999998</v>
      </c>
      <c r="F188" s="40">
        <f>D188+E188</f>
        <v>4149.8815175999998</v>
      </c>
      <c r="G188" s="40">
        <v>0</v>
      </c>
      <c r="H188" s="40">
        <f>F188*(($H$162)+1)+(IF(G188&lt;101,G188,IF(G188&lt;201,G188/2,IF(G188&lt;=301,G188/3,G188/4))))</f>
        <v>6224.8222764000002</v>
      </c>
      <c r="I188" s="34"/>
      <c r="J188" s="35">
        <f t="shared" ref="J188:J194" si="4">J$186*H188</f>
        <v>286341824.71439999</v>
      </c>
      <c r="L188" s="125"/>
      <c r="M188" s="125"/>
      <c r="N188" s="34"/>
    </row>
    <row r="189" spans="1:14" s="35" customFormat="1" x14ac:dyDescent="0.25">
      <c r="A189" s="209" t="s">
        <v>393</v>
      </c>
      <c r="B189" s="210"/>
      <c r="C189" s="210"/>
      <c r="D189" s="210"/>
      <c r="E189" s="210"/>
      <c r="F189" s="210"/>
      <c r="G189" s="210"/>
      <c r="H189" s="211"/>
      <c r="I189" s="35">
        <v>4</v>
      </c>
      <c r="J189" s="35">
        <f t="shared" si="4"/>
        <v>0</v>
      </c>
    </row>
    <row r="190" spans="1:14" s="35" customFormat="1" ht="15.75" customHeight="1" x14ac:dyDescent="0.25">
      <c r="A190" s="118">
        <v>1</v>
      </c>
      <c r="B190" s="120"/>
      <c r="C190" s="40" t="s">
        <v>383</v>
      </c>
      <c r="D190" s="40">
        <f>(21.11*6.56+4.27*4.57+3.96*(5.94+8.23)+3.61*6.09+4.12*(5.69+7.62)+4.74*1.37+4.98*3.37+13.05*1.5+13.81*1.22+1.83*(1.83+4.36+3.01+3.62+5.34+2.9)+1.83*1.2+1.93*(1.63+2.22+2.65+2.65)+1.48*2.59+3.05*1.95+3.2+2.75*1.62+7.47*1.37+2.38*2+5.84*(8.38+11.1)+16.04*0.45)*10.764</f>
        <v>6054.0664859999997</v>
      </c>
      <c r="E190" s="40">
        <f>(18.51*2.14+4.07*1.68)*10.764</f>
        <v>499.977036</v>
      </c>
      <c r="F190" s="40">
        <f>D190+E190</f>
        <v>6554.0435219999999</v>
      </c>
      <c r="G190" s="40">
        <v>0</v>
      </c>
      <c r="H190" s="40">
        <f>F190*(($H$162)+1)+(IF(G190&lt;101,G190,IF(G190&lt;201,G190/2,IF(G190&lt;=301,G190/3,G190/4))))</f>
        <v>9831.0652829999999</v>
      </c>
      <c r="I190" s="34"/>
      <c r="J190" s="35">
        <f t="shared" si="4"/>
        <v>452229003.01800001</v>
      </c>
      <c r="L190" s="125"/>
      <c r="M190" s="125"/>
      <c r="N190" s="34"/>
    </row>
    <row r="191" spans="1:14" s="35" customFormat="1" ht="15.75" customHeight="1" x14ac:dyDescent="0.25">
      <c r="A191" s="118">
        <f>A190+1</f>
        <v>2</v>
      </c>
      <c r="B191" s="120"/>
      <c r="C191" s="40" t="s">
        <v>387</v>
      </c>
      <c r="D191" s="118" t="s">
        <v>388</v>
      </c>
      <c r="E191" s="119"/>
      <c r="F191" s="119"/>
      <c r="G191" s="120"/>
      <c r="H191" s="40" t="s">
        <v>387</v>
      </c>
      <c r="I191" s="34"/>
      <c r="J191" s="35" t="e">
        <f t="shared" si="4"/>
        <v>#VALUE!</v>
      </c>
      <c r="L191" s="125"/>
      <c r="M191" s="125"/>
      <c r="N191" s="34"/>
    </row>
    <row r="192" spans="1:14" s="35" customFormat="1" x14ac:dyDescent="0.25">
      <c r="A192" s="115" t="s">
        <v>394</v>
      </c>
      <c r="B192" s="115"/>
      <c r="C192" s="115"/>
      <c r="D192" s="115"/>
      <c r="E192" s="115"/>
      <c r="F192" s="115"/>
      <c r="G192" s="115"/>
      <c r="H192" s="115"/>
      <c r="I192" s="34">
        <v>1</v>
      </c>
      <c r="J192" s="35">
        <f t="shared" si="4"/>
        <v>0</v>
      </c>
      <c r="L192" s="125"/>
      <c r="M192" s="125"/>
    </row>
    <row r="193" spans="1:20" s="35" customFormat="1" ht="15.75" customHeight="1" x14ac:dyDescent="0.25">
      <c r="A193" s="117">
        <v>1</v>
      </c>
      <c r="B193" s="117"/>
      <c r="C193" s="82" t="s">
        <v>383</v>
      </c>
      <c r="D193" s="82">
        <f>(12.8*6.56+4.27*4.57+3.96*(5.94+8.23)+3.61*6.09+4.12*(5.69+7.62)+1.83*(1.83+3.01+4.36+3.62+5.34+2.9)+1.83*1.2+4.74*6.24+13.81*1.22+1.93*(1.63+2.22+2.65+2.65)+1.48*2.59+3.05*1.95+3.2+2.75*1.62+7.47*1.37+2.38*2+5.84*8.38+10.26*0.45)*10.764</f>
        <v>4598.6402123999997</v>
      </c>
      <c r="E193" s="82">
        <f>(11.5*2.14+4.07*1.68)*10.764</f>
        <v>338.50196640000001</v>
      </c>
      <c r="F193" s="82">
        <f>D193+E193</f>
        <v>4937.1421787999998</v>
      </c>
      <c r="G193" s="82">
        <v>0</v>
      </c>
      <c r="H193" s="82">
        <f>F193*(($H$162)+1)+(IF(G193&lt;101,G193,IF(G193&lt;201,G193/2,IF(G193&lt;=301,G193/3,G193/4))))</f>
        <v>7405.7132681999992</v>
      </c>
      <c r="I193" s="34"/>
      <c r="J193" s="35">
        <f t="shared" si="4"/>
        <v>340662810.33719999</v>
      </c>
      <c r="L193" s="125"/>
      <c r="M193" s="125"/>
      <c r="N193" s="34"/>
    </row>
    <row r="194" spans="1:20" s="35" customFormat="1" ht="15.75" customHeight="1" x14ac:dyDescent="0.25">
      <c r="A194" s="117">
        <f>A193+1</f>
        <v>2</v>
      </c>
      <c r="B194" s="117"/>
      <c r="C194" s="82" t="s">
        <v>387</v>
      </c>
      <c r="D194" s="117" t="s">
        <v>395</v>
      </c>
      <c r="E194" s="117"/>
      <c r="F194" s="117"/>
      <c r="G194" s="117"/>
      <c r="H194" s="82" t="s">
        <v>387</v>
      </c>
      <c r="I194" s="34"/>
      <c r="J194" s="35" t="e">
        <f t="shared" si="4"/>
        <v>#VALUE!</v>
      </c>
      <c r="L194" s="125"/>
      <c r="M194" s="125"/>
      <c r="N194" s="34"/>
      <c r="T194" s="19"/>
    </row>
    <row r="195" spans="1:20" s="80" customFormat="1" x14ac:dyDescent="0.25">
      <c r="A195" s="116" t="s">
        <v>444</v>
      </c>
      <c r="B195" s="116"/>
      <c r="C195" s="116"/>
      <c r="D195" s="116"/>
      <c r="E195" s="116"/>
      <c r="F195" s="116"/>
      <c r="G195" s="116"/>
      <c r="H195" s="116"/>
      <c r="J195" s="81"/>
      <c r="K195" s="80">
        <f>3436*1.5</f>
        <v>5154</v>
      </c>
      <c r="L195" s="80">
        <f>274900000-1500000</f>
        <v>273400000</v>
      </c>
      <c r="M195" s="80">
        <f>L195/K195</f>
        <v>53046.177726038026</v>
      </c>
      <c r="N195" s="80">
        <f>274900000/K195</f>
        <v>53337.213814513001</v>
      </c>
    </row>
    <row r="196" spans="1:20" s="80" customFormat="1" x14ac:dyDescent="0.25">
      <c r="A196" s="115" t="s">
        <v>391</v>
      </c>
      <c r="B196" s="115"/>
      <c r="C196" s="115"/>
      <c r="D196" s="115"/>
      <c r="E196" s="115"/>
      <c r="F196" s="115"/>
      <c r="G196" s="115"/>
      <c r="H196" s="115"/>
      <c r="J196" s="81"/>
    </row>
    <row r="197" spans="1:20" s="80" customFormat="1" x14ac:dyDescent="0.25">
      <c r="A197" s="115" t="s">
        <v>377</v>
      </c>
      <c r="B197" s="115"/>
      <c r="C197" s="115"/>
      <c r="D197" s="115"/>
      <c r="E197" s="115"/>
      <c r="F197" s="115"/>
      <c r="G197" s="115"/>
      <c r="H197" s="115"/>
      <c r="J197" s="81"/>
    </row>
    <row r="198" spans="1:20" s="80" customFormat="1" x14ac:dyDescent="0.25">
      <c r="A198" s="115" t="s">
        <v>466</v>
      </c>
      <c r="B198" s="115"/>
      <c r="C198" s="115"/>
      <c r="D198" s="115"/>
      <c r="E198" s="115"/>
      <c r="F198" s="115"/>
      <c r="G198" s="115"/>
      <c r="H198" s="115"/>
      <c r="I198" s="80">
        <v>1</v>
      </c>
      <c r="J198" s="81"/>
    </row>
    <row r="199" spans="1:20" s="80" customFormat="1" ht="15.75" customHeight="1" x14ac:dyDescent="0.25">
      <c r="A199" s="115" t="s">
        <v>378</v>
      </c>
      <c r="B199" s="115"/>
      <c r="C199" s="115"/>
      <c r="D199" s="115"/>
      <c r="E199" s="115"/>
      <c r="F199" s="115"/>
      <c r="G199" s="115"/>
      <c r="H199" s="115"/>
      <c r="I199" s="80">
        <v>1</v>
      </c>
      <c r="J199" s="81"/>
    </row>
    <row r="200" spans="1:20" s="80" customFormat="1" ht="15.75" customHeight="1" x14ac:dyDescent="0.25">
      <c r="A200" s="115" t="s">
        <v>445</v>
      </c>
      <c r="B200" s="115"/>
      <c r="C200" s="115"/>
      <c r="D200" s="115"/>
      <c r="E200" s="115"/>
      <c r="F200" s="115"/>
      <c r="G200" s="115"/>
      <c r="H200" s="115"/>
      <c r="I200" s="80">
        <v>1</v>
      </c>
      <c r="J200" s="81"/>
    </row>
    <row r="201" spans="1:20" s="80" customFormat="1" x14ac:dyDescent="0.25">
      <c r="A201" s="115" t="s">
        <v>446</v>
      </c>
      <c r="B201" s="115"/>
      <c r="C201" s="115"/>
      <c r="D201" s="115"/>
      <c r="E201" s="115"/>
      <c r="F201" s="115"/>
      <c r="G201" s="115"/>
      <c r="H201" s="115"/>
      <c r="I201" s="81"/>
      <c r="L201" s="125"/>
      <c r="M201" s="125"/>
    </row>
    <row r="202" spans="1:20" s="80" customFormat="1" x14ac:dyDescent="0.25">
      <c r="A202" s="117">
        <f>LEFT(A201,SUM(LEN(A201)-LEN(SUBSTITUTE(A201,{"0","1","2","3","4","5","6","7","8","9"},""))))*100+1</f>
        <v>1101</v>
      </c>
      <c r="B202" s="117"/>
      <c r="C202" s="82" t="s">
        <v>447</v>
      </c>
      <c r="D202" s="82">
        <f>'Wing 3 (Area)'!D42</f>
        <v>2896.6376087999997</v>
      </c>
      <c r="E202" s="82">
        <f>'Wing 3 (Area)'!H42</f>
        <v>221.89985999999996</v>
      </c>
      <c r="F202" s="82">
        <f>D202+E202</f>
        <v>3118.5374687999997</v>
      </c>
      <c r="G202" s="82">
        <v>0</v>
      </c>
      <c r="H202" s="82">
        <f>F202*(($H$162)+1)+(IF(G202&lt;101,G202,IF(G202&lt;201,G202/2,IF(G202&lt;=301,G202/3,G202/4))))</f>
        <v>4677.8062031999998</v>
      </c>
      <c r="I202" s="81"/>
      <c r="N202" s="81"/>
    </row>
    <row r="203" spans="1:20" s="80" customFormat="1" x14ac:dyDescent="0.25">
      <c r="A203" s="117">
        <f>A202+1</f>
        <v>1102</v>
      </c>
      <c r="B203" s="117"/>
      <c r="C203" s="82" t="s">
        <v>447</v>
      </c>
      <c r="D203" s="82">
        <f>'Wing 3 (Area)'!D42</f>
        <v>2896.6376087999997</v>
      </c>
      <c r="E203" s="82">
        <f>'Wing 3 (Area)'!H42</f>
        <v>221.89985999999996</v>
      </c>
      <c r="F203" s="82">
        <f>D203+E203</f>
        <v>3118.5374687999997</v>
      </c>
      <c r="G203" s="82">
        <v>0</v>
      </c>
      <c r="H203" s="82">
        <f>F203*(($H$162)+1)+(IF(G203&lt;101,G203,IF(G203&lt;201,G203/2,IF(G203&lt;=301,G203/3,G203/4))))</f>
        <v>4677.8062031999998</v>
      </c>
      <c r="I203" s="81"/>
      <c r="N203" s="81"/>
    </row>
    <row r="204" spans="1:20" s="35" customFormat="1" hidden="1" x14ac:dyDescent="0.25">
      <c r="A204" s="115" t="s">
        <v>116</v>
      </c>
      <c r="B204" s="115"/>
      <c r="C204" s="115"/>
      <c r="D204" s="115"/>
      <c r="E204" s="115"/>
      <c r="F204" s="115"/>
      <c r="G204" s="115"/>
      <c r="H204" s="115"/>
      <c r="I204" s="34"/>
      <c r="L204" s="125"/>
      <c r="M204" s="125"/>
    </row>
    <row r="205" spans="1:20" s="35" customFormat="1" hidden="1" x14ac:dyDescent="0.25">
      <c r="A205" s="117">
        <f>LEFT(A204,SUM(LEN(A204)-LEN(SUBSTITUTE(A204,{"0","1","2","3","4","5","6","7","8","9"},""))))*100+1</f>
        <v>201</v>
      </c>
      <c r="B205" s="117"/>
      <c r="C205" s="82"/>
      <c r="D205" s="82"/>
      <c r="E205" s="82">
        <v>0</v>
      </c>
      <c r="F205" s="82">
        <f>D205+E205</f>
        <v>0</v>
      </c>
      <c r="G205" s="82">
        <v>0</v>
      </c>
      <c r="H205" s="82">
        <f>F205*(($H$162)+1)+(IF(G205&lt;101,G205,IF(G205&lt;201,G205/2,IF(G205&lt;=301,G205/3,G205/4))))</f>
        <v>0</v>
      </c>
      <c r="I205" s="34"/>
      <c r="N205" s="34"/>
    </row>
    <row r="206" spans="1:20" s="35" customFormat="1" hidden="1" x14ac:dyDescent="0.25">
      <c r="A206" s="117">
        <f>A205+1</f>
        <v>202</v>
      </c>
      <c r="B206" s="117"/>
      <c r="C206" s="82"/>
      <c r="D206" s="82"/>
      <c r="E206" s="82">
        <v>0</v>
      </c>
      <c r="F206" s="82">
        <f>D206+E206</f>
        <v>0</v>
      </c>
      <c r="G206" s="82">
        <v>0</v>
      </c>
      <c r="H206" s="82">
        <f>F206*(($H$162)+1)+(IF(G206&lt;101,G206,IF(G206&lt;201,G206/2,IF(G206&lt;=301,G206/3,G206/4))))</f>
        <v>0</v>
      </c>
      <c r="I206" s="34"/>
      <c r="N206" s="34"/>
    </row>
    <row r="207" spans="1:20" s="35" customFormat="1" hidden="1" x14ac:dyDescent="0.25">
      <c r="A207" s="117">
        <f>A206+1</f>
        <v>203</v>
      </c>
      <c r="B207" s="117"/>
      <c r="C207" s="82"/>
      <c r="D207" s="82"/>
      <c r="E207" s="82">
        <v>0</v>
      </c>
      <c r="F207" s="82">
        <f>D207+E207</f>
        <v>0</v>
      </c>
      <c r="G207" s="82">
        <v>0</v>
      </c>
      <c r="H207" s="82">
        <f>F207*(($H$162)+1)+(IF(G207&lt;101,G207,IF(G207&lt;201,G207/2,IF(G207&lt;=301,G207/3,G207/4))))</f>
        <v>0</v>
      </c>
      <c r="I207" s="34"/>
      <c r="N207" s="34"/>
    </row>
    <row r="208" spans="1:20" s="35" customFormat="1" hidden="1" x14ac:dyDescent="0.25">
      <c r="A208" s="117">
        <f>A207+1</f>
        <v>204</v>
      </c>
      <c r="B208" s="117"/>
      <c r="C208" s="82"/>
      <c r="D208" s="82"/>
      <c r="E208" s="82">
        <v>0</v>
      </c>
      <c r="F208" s="82">
        <f>D208+E208</f>
        <v>0</v>
      </c>
      <c r="G208" s="82">
        <v>0</v>
      </c>
      <c r="H208" s="82">
        <f>F208*(($H$162)+1)+(IF(G208&lt;101,G208,IF(G208&lt;201,G208/2,IF(G208&lt;=301,G208/3,G208/4))))</f>
        <v>0</v>
      </c>
      <c r="I208" s="34"/>
      <c r="N208" s="34"/>
    </row>
    <row r="209" spans="1:14" s="35" customFormat="1" hidden="1" x14ac:dyDescent="0.25">
      <c r="A209" s="117">
        <f>A208+1</f>
        <v>205</v>
      </c>
      <c r="B209" s="117"/>
      <c r="C209" s="82"/>
      <c r="D209" s="82"/>
      <c r="E209" s="82">
        <v>0</v>
      </c>
      <c r="F209" s="82">
        <f>D209+E209</f>
        <v>0</v>
      </c>
      <c r="G209" s="82">
        <v>0</v>
      </c>
      <c r="H209" s="82">
        <f>F209*(($H$162)+1)+(IF(G209&lt;101,G209,IF(G209&lt;201,G209/2,IF(G209&lt;=301,G209/3,G209/4))))</f>
        <v>0</v>
      </c>
      <c r="I209" s="34"/>
      <c r="N209" s="34"/>
    </row>
    <row r="210" spans="1:14" s="35" customFormat="1" ht="15.75" hidden="1" customHeight="1" x14ac:dyDescent="0.25">
      <c r="A210" s="115" t="s">
        <v>150</v>
      </c>
      <c r="B210" s="115"/>
      <c r="C210" s="115"/>
      <c r="D210" s="115"/>
      <c r="E210" s="115"/>
      <c r="F210" s="115"/>
      <c r="G210" s="115"/>
      <c r="H210" s="115"/>
      <c r="I210" s="34"/>
    </row>
    <row r="211" spans="1:14" s="35" customFormat="1" ht="15.75" hidden="1" customHeight="1" x14ac:dyDescent="0.25">
      <c r="A211" s="117" t="str">
        <f ca="1">(SUMPRODUCT(MID(0&amp;(LEFT(A210,SUM(LEN(A210)-LEN(SUBSTITUTE(A210,{"0","1","2"},""))))), LARGE(INDEX(ISNUMBER(--MID((LEFT(A210,SUM(LEN(A210)-LEN(SUBSTITUTE(A210,{"0","1","2"},""))))), ROW(INDIRECT("1:"&amp;LEN((LEFT(A210,SUM(LEN(A210)-LEN(SUBSTITUTE(A210,{"0","1","2"},"")))))))), 1)) * ROW(INDIRECT("1:"&amp;LEN((LEFT(A210,SUM(LEN(A210)-LEN(SUBSTITUTE(A210,{"0","1","2"},"")))))))), 0), ROW(INDIRECT("1:"&amp;LEN((LEFT(A210,SUM(LEN(A210)-LEN(SUBSTITUTE(A210,{"0","1","2"},"")))))))))+1, 1) * 10^ROW(INDIRECT("1:"&amp;LEN((LEFT(A210,SUM(LEN(A210)-LEN(SUBSTITUTE(A210,{"0","1","2"},""))))))))/10))*100+1&amp;""&amp;" ,.., "&amp;""&amp;(SUMPRODUCT(MID(0&amp;(--TRIM(RIGHT(SUBSTITUTE(LEFT(A210,_xlfn.AGGREGATE(16,6,FIND({0,1,2,3,4,5,6,7,8,9},A210,ROW(INDIRECT("1:"&amp;LEN(A210)))),1))," ",REPT(" ",LEN(A210))),LEN(A210)))), LARGE(INDEX(ISNUMBER(--MID((--TRIM(RIGHT(SUBSTITUTE(LEFT(A210,_xlfn.AGGREGATE(16,6,FIND({0,1,2,3,4,5,6,7,8,9},A210,ROW(INDIRECT("1:"&amp;LEN(A210)))),1))," ",REPT(" ",LEN(A210))),LEN(A210)))), ROW(INDIRECT("1:"&amp;LEN((--TRIM(RIGHT(SUBSTITUTE(LEFT(A210,_xlfn.AGGREGATE(16,6,FIND({0,1,2,3,4,5,6,7,8,9},A210,ROW(INDIRECT("1:"&amp;LEN(A210)))),1))," ",REPT(" ",LEN(A210))),LEN(A210))))))), 1)) * ROW(INDIRECT("1:"&amp;LEN((--TRIM(RIGHT(SUBSTITUTE(LEFT(A210,_xlfn.AGGREGATE(16,6,FIND({0,1,2,3,4,5,6,7,8,9},A210,ROW(INDIRECT("1:"&amp;LEN(A210)))),1))," ",REPT(" ",LEN(A210))),LEN(A210))))))), 0), ROW(INDIRECT("1:"&amp;LEN((--TRIM(RIGHT(SUBSTITUTE(LEFT(A210,_xlfn.AGGREGATE(16,6,FIND({0,1,2,3,4,5,6,7,8,9},A210,ROW(INDIRECT("1:"&amp;LEN(A210)))),1))," ",REPT(" ",LEN(A210))),LEN(A210))))))))+1, 1) * 10^ROW(INDIRECT("1:"&amp;LEN((--TRIM(RIGHT(SUBSTITUTE(LEFT(A210,_xlfn.AGGREGATE(16,6,FIND({0,1,2,3,4,5,6,7,8,9},A210,ROW(INDIRECT("1:"&amp;LEN(A210)))),1))," ",REPT(" ",LEN(A210))),LEN(A210)))))))/10))*100+1</f>
        <v>301 ,.., 1501</v>
      </c>
      <c r="B211" s="117"/>
      <c r="C211" s="82"/>
      <c r="D211" s="82"/>
      <c r="E211" s="82">
        <v>0</v>
      </c>
      <c r="F211" s="82">
        <f>D211+E211</f>
        <v>0</v>
      </c>
      <c r="G211" s="82">
        <v>0</v>
      </c>
      <c r="H211" s="82">
        <f>F211*(($H$162)+1)+(IF(G211&lt;101,G211,IF(G211&lt;201,G211/2,IF(G211&lt;=301,G211/3,G211/4))))</f>
        <v>0</v>
      </c>
      <c r="I211" s="34"/>
    </row>
    <row r="212" spans="1:14" s="35" customFormat="1" ht="15.75" hidden="1" customHeight="1" x14ac:dyDescent="0.25">
      <c r="A212" s="117" t="str">
        <f ca="1">(SUMPRODUCT(MID(0&amp;(LEFT(A211,SUM(LEN(A211)-LEN(SUBSTITUTE(A211,{"0","1","2"},""))))), LARGE(INDEX(ISNUMBER(--MID((LEFT(A211,SUM(LEN(A211)-LEN(SUBSTITUTE(A211,{"0","1","2"},""))))), ROW(INDIRECT("1:"&amp;LEN((LEFT(A211,SUM(LEN(A211)-LEN(SUBSTITUTE(A211,{"0","1","2"},"")))))))), 1)) * ROW(INDIRECT("1:"&amp;LEN((LEFT(A211,SUM(LEN(A211)-LEN(SUBSTITUTE(A211,{"0","1","2"},"")))))))), 0), ROW(INDIRECT("1:"&amp;LEN((LEFT(A211,SUM(LEN(A211)-LEN(SUBSTITUTE(A211,{"0","1","2"},"")))))))))+1, 1) * 10^ROW(INDIRECT("1:"&amp;LEN((LEFT(A211,SUM(LEN(A211)-LEN(SUBSTITUTE(A211,{"0","1","2"},""))))))))/10))*1+1&amp;""&amp;" ,.., "&amp;""&amp;(SUMPRODUCT(MID(0&amp;(--TRIM(RIGHT(SUBSTITUTE(LEFT(A211,_xlfn.AGGREGATE(16,6,FIND({0,1,2,3,4,5,6,7,8,9},A211,ROW(INDIRECT("1:"&amp;LEN(A211)))),1))," ",REPT(" ",LEN(A211))),LEN(A211)))), LARGE(INDEX(ISNUMBER(--MID((--TRIM(RIGHT(SUBSTITUTE(LEFT(A211,_xlfn.AGGREGATE(16,6,FIND({0,1,2,3,4,5,6,7,8,9},A211,ROW(INDIRECT("1:"&amp;LEN(A211)))),1))," ",REPT(" ",LEN(A211))),LEN(A211)))), ROW(INDIRECT("1:"&amp;LEN((--TRIM(RIGHT(SUBSTITUTE(LEFT(A211,_xlfn.AGGREGATE(16,6,FIND({0,1,2,3,4,5,6,7,8,9},A211,ROW(INDIRECT("1:"&amp;LEN(A211)))),1))," ",REPT(" ",LEN(A211))),LEN(A211))))))), 1)) * ROW(INDIRECT("1:"&amp;LEN((--TRIM(RIGHT(SUBSTITUTE(LEFT(A211,_xlfn.AGGREGATE(16,6,FIND({0,1,2,3,4,5,6,7,8,9},A211,ROW(INDIRECT("1:"&amp;LEN(A211)))),1))," ",REPT(" ",LEN(A211))),LEN(A211))))))), 0), ROW(INDIRECT("1:"&amp;LEN((--TRIM(RIGHT(SUBSTITUTE(LEFT(A211,_xlfn.AGGREGATE(16,6,FIND({0,1,2,3,4,5,6,7,8,9},A211,ROW(INDIRECT("1:"&amp;LEN(A211)))),1))," ",REPT(" ",LEN(A211))),LEN(A211))))))))+1, 1) * 10^ROW(INDIRECT("1:"&amp;LEN((--TRIM(RIGHT(SUBSTITUTE(LEFT(A211,_xlfn.AGGREGATE(16,6,FIND({0,1,2,3,4,5,6,7,8,9},A211,ROW(INDIRECT("1:"&amp;LEN(A211)))),1))," ",REPT(" ",LEN(A211))),LEN(A211)))))))/10))*1+1</f>
        <v>302 ,.., 1502</v>
      </c>
      <c r="B212" s="117"/>
      <c r="C212" s="82"/>
      <c r="D212" s="82"/>
      <c r="E212" s="82">
        <v>0</v>
      </c>
      <c r="F212" s="82">
        <f>D212+E212</f>
        <v>0</v>
      </c>
      <c r="G212" s="82">
        <v>0</v>
      </c>
      <c r="H212" s="82">
        <f>F212*(($H$162)+1)+(IF(G212&lt;101,G212,IF(G212&lt;201,G212/2,IF(G212&lt;=301,G212/3,G212/4))))</f>
        <v>0</v>
      </c>
      <c r="I212" s="34"/>
    </row>
    <row r="213" spans="1:14" s="35" customFormat="1" ht="15.75" hidden="1" customHeight="1" x14ac:dyDescent="0.25">
      <c r="A213" s="117" t="str">
        <f ca="1">(SUMPRODUCT(MID(0&amp;(LEFT(A212,SUM(LEN(A212)-LEN(SUBSTITUTE(A212,{"0","1","2"},""))))), LARGE(INDEX(ISNUMBER(--MID((LEFT(A212,SUM(LEN(A212)-LEN(SUBSTITUTE(A212,{"0","1","2"},""))))), ROW(INDIRECT("1:"&amp;LEN((LEFT(A212,SUM(LEN(A212)-LEN(SUBSTITUTE(A212,{"0","1","2"},"")))))))), 1)) * ROW(INDIRECT("1:"&amp;LEN((LEFT(A212,SUM(LEN(A212)-LEN(SUBSTITUTE(A212,{"0","1","2"},"")))))))), 0), ROW(INDIRECT("1:"&amp;LEN((LEFT(A212,SUM(LEN(A212)-LEN(SUBSTITUTE(A212,{"0","1","2"},"")))))))))+1, 1) * 10^ROW(INDIRECT("1:"&amp;LEN((LEFT(A212,SUM(LEN(A212)-LEN(SUBSTITUTE(A212,{"0","1","2"},""))))))))/10))*1+1&amp;""&amp;" ,.., "&amp;""&amp;(SUMPRODUCT(MID(0&amp;(--TRIM(RIGHT(SUBSTITUTE(LEFT(A212,_xlfn.AGGREGATE(16,6,FIND({0,1,2,3,4,5,6,7,8,9},A212,ROW(INDIRECT("1:"&amp;LEN(A212)))),1))," ",REPT(" ",LEN(A212))),LEN(A212)))), LARGE(INDEX(ISNUMBER(--MID((--TRIM(RIGHT(SUBSTITUTE(LEFT(A212,_xlfn.AGGREGATE(16,6,FIND({0,1,2,3,4,5,6,7,8,9},A212,ROW(INDIRECT("1:"&amp;LEN(A212)))),1))," ",REPT(" ",LEN(A212))),LEN(A212)))), ROW(INDIRECT("1:"&amp;LEN((--TRIM(RIGHT(SUBSTITUTE(LEFT(A212,_xlfn.AGGREGATE(16,6,FIND({0,1,2,3,4,5,6,7,8,9},A212,ROW(INDIRECT("1:"&amp;LEN(A212)))),1))," ",REPT(" ",LEN(A212))),LEN(A212))))))), 1)) * ROW(INDIRECT("1:"&amp;LEN((--TRIM(RIGHT(SUBSTITUTE(LEFT(A212,_xlfn.AGGREGATE(16,6,FIND({0,1,2,3,4,5,6,7,8,9},A212,ROW(INDIRECT("1:"&amp;LEN(A212)))),1))," ",REPT(" ",LEN(A212))),LEN(A212))))))), 0), ROW(INDIRECT("1:"&amp;LEN((--TRIM(RIGHT(SUBSTITUTE(LEFT(A212,_xlfn.AGGREGATE(16,6,FIND({0,1,2,3,4,5,6,7,8,9},A212,ROW(INDIRECT("1:"&amp;LEN(A212)))),1))," ",REPT(" ",LEN(A212))),LEN(A212))))))))+1, 1) * 10^ROW(INDIRECT("1:"&amp;LEN((--TRIM(RIGHT(SUBSTITUTE(LEFT(A212,_xlfn.AGGREGATE(16,6,FIND({0,1,2,3,4,5,6,7,8,9},A212,ROW(INDIRECT("1:"&amp;LEN(A212)))),1))," ",REPT(" ",LEN(A212))),LEN(A212)))))))/10))*1+1</f>
        <v>303 ,.., 1503</v>
      </c>
      <c r="B213" s="117"/>
      <c r="C213" s="82"/>
      <c r="D213" s="82"/>
      <c r="E213" s="82">
        <v>0</v>
      </c>
      <c r="F213" s="82">
        <f>D213+E213</f>
        <v>0</v>
      </c>
      <c r="G213" s="82">
        <v>0</v>
      </c>
      <c r="H213" s="82">
        <f>F213*(($H$162)+1)+(IF(G213&lt;101,G213,IF(G213&lt;201,G213/2,IF(G213&lt;=301,G213/3,G213/4))))</f>
        <v>0</v>
      </c>
      <c r="I213" s="34"/>
    </row>
    <row r="214" spans="1:14" s="35" customFormat="1" ht="15.75" hidden="1" customHeight="1" x14ac:dyDescent="0.25">
      <c r="A214" s="117" t="str">
        <f ca="1">(SUMPRODUCT(MID(0&amp;(LEFT(A213,SUM(LEN(A213)-LEN(SUBSTITUTE(A213,{"0","1","2"},""))))), LARGE(INDEX(ISNUMBER(--MID((LEFT(A213,SUM(LEN(A213)-LEN(SUBSTITUTE(A213,{"0","1","2"},""))))), ROW(INDIRECT("1:"&amp;LEN((LEFT(A213,SUM(LEN(A213)-LEN(SUBSTITUTE(A213,{"0","1","2"},"")))))))), 1)) * ROW(INDIRECT("1:"&amp;LEN((LEFT(A213,SUM(LEN(A213)-LEN(SUBSTITUTE(A213,{"0","1","2"},"")))))))), 0), ROW(INDIRECT("1:"&amp;LEN((LEFT(A213,SUM(LEN(A213)-LEN(SUBSTITUTE(A213,{"0","1","2"},"")))))))))+1, 1) * 10^ROW(INDIRECT("1:"&amp;LEN((LEFT(A213,SUM(LEN(A213)-LEN(SUBSTITUTE(A213,{"0","1","2"},""))))))))/10))*1+1&amp;""&amp;" ,.., "&amp;""&amp;(SUMPRODUCT(MID(0&amp;(--TRIM(RIGHT(SUBSTITUTE(LEFT(A213,_xlfn.AGGREGATE(16,6,FIND({0,1,2,3,4,5,6,7,8,9},A213,ROW(INDIRECT("1:"&amp;LEN(A213)))),1))," ",REPT(" ",LEN(A213))),LEN(A213)))), LARGE(INDEX(ISNUMBER(--MID((--TRIM(RIGHT(SUBSTITUTE(LEFT(A213,_xlfn.AGGREGATE(16,6,FIND({0,1,2,3,4,5,6,7,8,9},A213,ROW(INDIRECT("1:"&amp;LEN(A213)))),1))," ",REPT(" ",LEN(A213))),LEN(A213)))), ROW(INDIRECT("1:"&amp;LEN((--TRIM(RIGHT(SUBSTITUTE(LEFT(A213,_xlfn.AGGREGATE(16,6,FIND({0,1,2,3,4,5,6,7,8,9},A213,ROW(INDIRECT("1:"&amp;LEN(A213)))),1))," ",REPT(" ",LEN(A213))),LEN(A213))))))), 1)) * ROW(INDIRECT("1:"&amp;LEN((--TRIM(RIGHT(SUBSTITUTE(LEFT(A213,_xlfn.AGGREGATE(16,6,FIND({0,1,2,3,4,5,6,7,8,9},A213,ROW(INDIRECT("1:"&amp;LEN(A213)))),1))," ",REPT(" ",LEN(A213))),LEN(A213))))))), 0), ROW(INDIRECT("1:"&amp;LEN((--TRIM(RIGHT(SUBSTITUTE(LEFT(A213,_xlfn.AGGREGATE(16,6,FIND({0,1,2,3,4,5,6,7,8,9},A213,ROW(INDIRECT("1:"&amp;LEN(A213)))),1))," ",REPT(" ",LEN(A213))),LEN(A213))))))))+1, 1) * 10^ROW(INDIRECT("1:"&amp;LEN((--TRIM(RIGHT(SUBSTITUTE(LEFT(A213,_xlfn.AGGREGATE(16,6,FIND({0,1,2,3,4,5,6,7,8,9},A213,ROW(INDIRECT("1:"&amp;LEN(A213)))),1))," ",REPT(" ",LEN(A213))),LEN(A213)))))))/10))*1+1</f>
        <v>304 ,.., 1504</v>
      </c>
      <c r="B214" s="117"/>
      <c r="C214" s="82"/>
      <c r="D214" s="82"/>
      <c r="E214" s="82">
        <v>0</v>
      </c>
      <c r="F214" s="82">
        <f>D214+E214</f>
        <v>0</v>
      </c>
      <c r="G214" s="82">
        <v>0</v>
      </c>
      <c r="H214" s="82">
        <f>F214*(($H$162)+1)+(IF(G214&lt;101,G214,IF(G214&lt;201,G214/2,IF(G214&lt;=301,G214/3,G214/4))))</f>
        <v>0</v>
      </c>
      <c r="I214" s="34"/>
    </row>
    <row r="215" spans="1:14" s="35" customFormat="1" ht="15.75" hidden="1" customHeight="1" x14ac:dyDescent="0.25">
      <c r="A215" s="117" t="str">
        <f ca="1">(SUMPRODUCT(MID(0&amp;(LEFT(A214,SUM(LEN(A214)-LEN(SUBSTITUTE(A214,{"0","1","2"},""))))), LARGE(INDEX(ISNUMBER(--MID((LEFT(A214,SUM(LEN(A214)-LEN(SUBSTITUTE(A214,{"0","1","2"},""))))), ROW(INDIRECT("1:"&amp;LEN((LEFT(A214,SUM(LEN(A214)-LEN(SUBSTITUTE(A214,{"0","1","2"},"")))))))), 1)) * ROW(INDIRECT("1:"&amp;LEN((LEFT(A214,SUM(LEN(A214)-LEN(SUBSTITUTE(A214,{"0","1","2"},"")))))))), 0), ROW(INDIRECT("1:"&amp;LEN((LEFT(A214,SUM(LEN(A214)-LEN(SUBSTITUTE(A214,{"0","1","2"},"")))))))))+1, 1) * 10^ROW(INDIRECT("1:"&amp;LEN((LEFT(A214,SUM(LEN(A214)-LEN(SUBSTITUTE(A214,{"0","1","2"},""))))))))/10))*1+1&amp;""&amp;" ,.., "&amp;""&amp;(SUMPRODUCT(MID(0&amp;(--TRIM(RIGHT(SUBSTITUTE(LEFT(A214,_xlfn.AGGREGATE(16,6,FIND({0,1,2,3,4,5,6,7,8,9},A214,ROW(INDIRECT("1:"&amp;LEN(A214)))),1))," ",REPT(" ",LEN(A214))),LEN(A214)))), LARGE(INDEX(ISNUMBER(--MID((--TRIM(RIGHT(SUBSTITUTE(LEFT(A214,_xlfn.AGGREGATE(16,6,FIND({0,1,2,3,4,5,6,7,8,9},A214,ROW(INDIRECT("1:"&amp;LEN(A214)))),1))," ",REPT(" ",LEN(A214))),LEN(A214)))), ROW(INDIRECT("1:"&amp;LEN((--TRIM(RIGHT(SUBSTITUTE(LEFT(A214,_xlfn.AGGREGATE(16,6,FIND({0,1,2,3,4,5,6,7,8,9},A214,ROW(INDIRECT("1:"&amp;LEN(A214)))),1))," ",REPT(" ",LEN(A214))),LEN(A214))))))), 1)) * ROW(INDIRECT("1:"&amp;LEN((--TRIM(RIGHT(SUBSTITUTE(LEFT(A214,_xlfn.AGGREGATE(16,6,FIND({0,1,2,3,4,5,6,7,8,9},A214,ROW(INDIRECT("1:"&amp;LEN(A214)))),1))," ",REPT(" ",LEN(A214))),LEN(A214))))))), 0), ROW(INDIRECT("1:"&amp;LEN((--TRIM(RIGHT(SUBSTITUTE(LEFT(A214,_xlfn.AGGREGATE(16,6,FIND({0,1,2,3,4,5,6,7,8,9},A214,ROW(INDIRECT("1:"&amp;LEN(A214)))),1))," ",REPT(" ",LEN(A214))),LEN(A214))))))))+1, 1) * 10^ROW(INDIRECT("1:"&amp;LEN((--TRIM(RIGHT(SUBSTITUTE(LEFT(A214,_xlfn.AGGREGATE(16,6,FIND({0,1,2,3,4,5,6,7,8,9},A214,ROW(INDIRECT("1:"&amp;LEN(A214)))),1))," ",REPT(" ",LEN(A214))),LEN(A214)))))))/10))*1+1</f>
        <v>305 ,.., 1505</v>
      </c>
      <c r="B215" s="117"/>
      <c r="C215" s="82"/>
      <c r="D215" s="82"/>
      <c r="E215" s="82">
        <v>0</v>
      </c>
      <c r="F215" s="82">
        <f>D215+E215</f>
        <v>0</v>
      </c>
      <c r="G215" s="82">
        <v>0</v>
      </c>
      <c r="H215" s="82">
        <f>F215*(($H$162)+1)+(IF(G215&lt;101,G215,IF(G215&lt;201,G215/2,IF(G215&lt;=301,G215/3,G215/4))))</f>
        <v>0</v>
      </c>
      <c r="I215" s="34"/>
    </row>
    <row r="216" spans="1:14" s="35" customFormat="1" hidden="1" x14ac:dyDescent="0.25">
      <c r="A216" s="115" t="s">
        <v>144</v>
      </c>
      <c r="B216" s="115"/>
      <c r="C216" s="115"/>
      <c r="D216" s="115"/>
      <c r="E216" s="115"/>
      <c r="F216" s="115"/>
      <c r="G216" s="115"/>
      <c r="H216" s="115"/>
      <c r="I216" s="34"/>
    </row>
    <row r="217" spans="1:14" s="35" customFormat="1" ht="15.75" hidden="1" customHeight="1" x14ac:dyDescent="0.25">
      <c r="A217" s="117" t="str">
        <f ca="1">(SUMPRODUCT(MID(0&amp;(LEFT(A216,SUM(LEN(A216)-LEN(SUBSTITUTE(A216,{"0","1","2"},""))))), LARGE(INDEX(ISNUMBER(--MID((LEFT(A216,SUM(LEN(A216)-LEN(SUBSTITUTE(A216,{"0","1","2"},""))))), ROW(INDIRECT("1:"&amp;LEN((LEFT(A216,SUM(LEN(A216)-LEN(SUBSTITUTE(A216,{"0","1","2"},"")))))))), 1)) * ROW(INDIRECT("1:"&amp;LEN((LEFT(A216,SUM(LEN(A216)-LEN(SUBSTITUTE(A216,{"0","1","2"},"")))))))), 0), ROW(INDIRECT("1:"&amp;LEN((LEFT(A216,SUM(LEN(A216)-LEN(SUBSTITUTE(A216,{"0","1","2"},"")))))))))+1, 1) * 10^ROW(INDIRECT("1:"&amp;LEN((LEFT(A216,SUM(LEN(A216)-LEN(SUBSTITUTE(A216,{"0","1","2"},""))))))))/10))*100+1&amp;""&amp;" to "&amp;""&amp;(SUMPRODUCT(MID(0&amp;(--TRIM(RIGHT(SUBSTITUTE(LEFT(A216,_xlfn.AGGREGATE(16,6,FIND({0,1,2,3,4,5,6,7,8,9},A216,ROW(INDIRECT("1:"&amp;LEN(A216)))),1))," ",REPT(" ",LEN(A216))),LEN(A216)))), LARGE(INDEX(ISNUMBER(--MID((--TRIM(RIGHT(SUBSTITUTE(LEFT(A216,_xlfn.AGGREGATE(16,6,FIND({0,1,2,3,4,5,6,7,8,9},A216,ROW(INDIRECT("1:"&amp;LEN(A216)))),1))," ",REPT(" ",LEN(A216))),LEN(A216)))), ROW(INDIRECT("1:"&amp;LEN((--TRIM(RIGHT(SUBSTITUTE(LEFT(A216,_xlfn.AGGREGATE(16,6,FIND({0,1,2,3,4,5,6,7,8,9},A216,ROW(INDIRECT("1:"&amp;LEN(A216)))),1))," ",REPT(" ",LEN(A216))),LEN(A216))))))), 1)) * ROW(INDIRECT("1:"&amp;LEN((--TRIM(RIGHT(SUBSTITUTE(LEFT(A216,_xlfn.AGGREGATE(16,6,FIND({0,1,2,3,4,5,6,7,8,9},A216,ROW(INDIRECT("1:"&amp;LEN(A216)))),1))," ",REPT(" ",LEN(A216))),LEN(A216))))))), 0), ROW(INDIRECT("1:"&amp;LEN((--TRIM(RIGHT(SUBSTITUTE(LEFT(A216,_xlfn.AGGREGATE(16,6,FIND({0,1,2,3,4,5,6,7,8,9},A216,ROW(INDIRECT("1:"&amp;LEN(A216)))),1))," ",REPT(" ",LEN(A216))),LEN(A216))))))))+1, 1) * 10^ROW(INDIRECT("1:"&amp;LEN((--TRIM(RIGHT(SUBSTITUTE(LEFT(A216,_xlfn.AGGREGATE(16,6,FIND({0,1,2,3,4,5,6,7,8,9},A216,ROW(INDIRECT("1:"&amp;LEN(A216)))),1))," ",REPT(" ",LEN(A216))),LEN(A216)))))))/10))*100+1</f>
        <v>201 to 501</v>
      </c>
      <c r="B217" s="117"/>
      <c r="C217" s="82"/>
      <c r="D217" s="82"/>
      <c r="E217" s="82">
        <v>0</v>
      </c>
      <c r="F217" s="82">
        <f>D217+E217</f>
        <v>0</v>
      </c>
      <c r="G217" s="82">
        <v>0</v>
      </c>
      <c r="H217" s="82">
        <f>F217*(($H$162)+1)+(IF(G217&lt;101,G217,IF(G217&lt;201,G217/2,IF(G217&lt;=301,G217/3,G217/4))))</f>
        <v>0</v>
      </c>
      <c r="I217" s="34"/>
    </row>
    <row r="218" spans="1:14" s="35" customFormat="1" ht="15.75" hidden="1" customHeight="1" x14ac:dyDescent="0.25">
      <c r="A218" s="117" t="str">
        <f ca="1">(SUMPRODUCT(MID(0&amp;(LEFT(A217,SUM(LEN(A217)-LEN(SUBSTITUTE(A217,{"0","1","2"},""))))), LARGE(INDEX(ISNUMBER(--MID((LEFT(A217,SUM(LEN(A217)-LEN(SUBSTITUTE(A217,{"0","1","2"},""))))), ROW(INDIRECT("1:"&amp;LEN((LEFT(A217,SUM(LEN(A217)-LEN(SUBSTITUTE(A217,{"0","1","2"},"")))))))), 1)) * ROW(INDIRECT("1:"&amp;LEN((LEFT(A217,SUM(LEN(A217)-LEN(SUBSTITUTE(A217,{"0","1","2"},"")))))))), 0), ROW(INDIRECT("1:"&amp;LEN((LEFT(A217,SUM(LEN(A217)-LEN(SUBSTITUTE(A217,{"0","1","2"},"")))))))))+1, 1) * 10^ROW(INDIRECT("1:"&amp;LEN((LEFT(A217,SUM(LEN(A217)-LEN(SUBSTITUTE(A217,{"0","1","2"},""))))))))/10))*1+1&amp;""&amp;" to "&amp;""&amp;(SUMPRODUCT(MID(0&amp;(--TRIM(RIGHT(SUBSTITUTE(LEFT(A217,_xlfn.AGGREGATE(16,6,FIND({0,1,2,3,4,5,6,7,8,9},A217,ROW(INDIRECT("1:"&amp;LEN(A217)))),1))," ",REPT(" ",LEN(A217))),LEN(A217)))), LARGE(INDEX(ISNUMBER(--MID((--TRIM(RIGHT(SUBSTITUTE(LEFT(A217,_xlfn.AGGREGATE(16,6,FIND({0,1,2,3,4,5,6,7,8,9},A217,ROW(INDIRECT("1:"&amp;LEN(A217)))),1))," ",REPT(" ",LEN(A217))),LEN(A217)))), ROW(INDIRECT("1:"&amp;LEN((--TRIM(RIGHT(SUBSTITUTE(LEFT(A217,_xlfn.AGGREGATE(16,6,FIND({0,1,2,3,4,5,6,7,8,9},A217,ROW(INDIRECT("1:"&amp;LEN(A217)))),1))," ",REPT(" ",LEN(A217))),LEN(A217))))))), 1)) * ROW(INDIRECT("1:"&amp;LEN((--TRIM(RIGHT(SUBSTITUTE(LEFT(A217,_xlfn.AGGREGATE(16,6,FIND({0,1,2,3,4,5,6,7,8,9},A217,ROW(INDIRECT("1:"&amp;LEN(A217)))),1))," ",REPT(" ",LEN(A217))),LEN(A217))))))), 0), ROW(INDIRECT("1:"&amp;LEN((--TRIM(RIGHT(SUBSTITUTE(LEFT(A217,_xlfn.AGGREGATE(16,6,FIND({0,1,2,3,4,5,6,7,8,9},A217,ROW(INDIRECT("1:"&amp;LEN(A217)))),1))," ",REPT(" ",LEN(A217))),LEN(A217))))))))+1, 1) * 10^ROW(INDIRECT("1:"&amp;LEN((--TRIM(RIGHT(SUBSTITUTE(LEFT(A217,_xlfn.AGGREGATE(16,6,FIND({0,1,2,3,4,5,6,7,8,9},A217,ROW(INDIRECT("1:"&amp;LEN(A217)))),1))," ",REPT(" ",LEN(A217))),LEN(A217)))))))/10))*1+1</f>
        <v>202 to 502</v>
      </c>
      <c r="B218" s="117"/>
      <c r="C218" s="82"/>
      <c r="D218" s="82"/>
      <c r="E218" s="82">
        <v>0</v>
      </c>
      <c r="F218" s="82">
        <f>D218+E218</f>
        <v>0</v>
      </c>
      <c r="G218" s="82">
        <v>0</v>
      </c>
      <c r="H218" s="82">
        <f>F218*(($H$162)+1)+(IF(G218&lt;101,G218,IF(G218&lt;201,G218/2,IF(G218&lt;=301,G218/3,G218/4))))</f>
        <v>0</v>
      </c>
      <c r="I218" s="34"/>
    </row>
    <row r="219" spans="1:14" s="35" customFormat="1" ht="15.75" hidden="1" customHeight="1" x14ac:dyDescent="0.25">
      <c r="A219" s="117" t="str">
        <f ca="1">(SUMPRODUCT(MID(0&amp;(LEFT(A218,SUM(LEN(A218)-LEN(SUBSTITUTE(A218,{"0","1","2"},""))))), LARGE(INDEX(ISNUMBER(--MID((LEFT(A218,SUM(LEN(A218)-LEN(SUBSTITUTE(A218,{"0","1","2"},""))))), ROW(INDIRECT("1:"&amp;LEN((LEFT(A218,SUM(LEN(A218)-LEN(SUBSTITUTE(A218,{"0","1","2"},"")))))))), 1)) * ROW(INDIRECT("1:"&amp;LEN((LEFT(A218,SUM(LEN(A218)-LEN(SUBSTITUTE(A218,{"0","1","2"},"")))))))), 0), ROW(INDIRECT("1:"&amp;LEN((LEFT(A218,SUM(LEN(A218)-LEN(SUBSTITUTE(A218,{"0","1","2"},"")))))))))+1, 1) * 10^ROW(INDIRECT("1:"&amp;LEN((LEFT(A218,SUM(LEN(A218)-LEN(SUBSTITUTE(A218,{"0","1","2"},""))))))))/10))*1+1&amp;""&amp;" to "&amp;""&amp;(SUMPRODUCT(MID(0&amp;(--TRIM(RIGHT(SUBSTITUTE(LEFT(A218,_xlfn.AGGREGATE(16,6,FIND({0,1,2,3,4,5,6,7,8,9},A218,ROW(INDIRECT("1:"&amp;LEN(A218)))),1))," ",REPT(" ",LEN(A218))),LEN(A218)))), LARGE(INDEX(ISNUMBER(--MID((--TRIM(RIGHT(SUBSTITUTE(LEFT(A218,_xlfn.AGGREGATE(16,6,FIND({0,1,2,3,4,5,6,7,8,9},A218,ROW(INDIRECT("1:"&amp;LEN(A218)))),1))," ",REPT(" ",LEN(A218))),LEN(A218)))), ROW(INDIRECT("1:"&amp;LEN((--TRIM(RIGHT(SUBSTITUTE(LEFT(A218,_xlfn.AGGREGATE(16,6,FIND({0,1,2,3,4,5,6,7,8,9},A218,ROW(INDIRECT("1:"&amp;LEN(A218)))),1))," ",REPT(" ",LEN(A218))),LEN(A218))))))), 1)) * ROW(INDIRECT("1:"&amp;LEN((--TRIM(RIGHT(SUBSTITUTE(LEFT(A218,_xlfn.AGGREGATE(16,6,FIND({0,1,2,3,4,5,6,7,8,9},A218,ROW(INDIRECT("1:"&amp;LEN(A218)))),1))," ",REPT(" ",LEN(A218))),LEN(A218))))))), 0), ROW(INDIRECT("1:"&amp;LEN((--TRIM(RIGHT(SUBSTITUTE(LEFT(A218,_xlfn.AGGREGATE(16,6,FIND({0,1,2,3,4,5,6,7,8,9},A218,ROW(INDIRECT("1:"&amp;LEN(A218)))),1))," ",REPT(" ",LEN(A218))),LEN(A218))))))))+1, 1) * 10^ROW(INDIRECT("1:"&amp;LEN((--TRIM(RIGHT(SUBSTITUTE(LEFT(A218,_xlfn.AGGREGATE(16,6,FIND({0,1,2,3,4,5,6,7,8,9},A218,ROW(INDIRECT("1:"&amp;LEN(A218)))),1))," ",REPT(" ",LEN(A218))),LEN(A218)))))))/10))*1+1</f>
        <v>203 to 503</v>
      </c>
      <c r="B219" s="117"/>
      <c r="C219" s="82"/>
      <c r="D219" s="82"/>
      <c r="E219" s="82">
        <v>0</v>
      </c>
      <c r="F219" s="82">
        <f>D219+E219</f>
        <v>0</v>
      </c>
      <c r="G219" s="82">
        <v>0</v>
      </c>
      <c r="H219" s="82">
        <f>F219*(($H$162)+1)+(IF(G219&lt;101,G219,IF(G219&lt;201,G219/2,IF(G219&lt;=301,G219/3,G219/4))))</f>
        <v>0</v>
      </c>
      <c r="I219" s="34"/>
    </row>
    <row r="220" spans="1:14" s="35" customFormat="1" ht="15.75" hidden="1" customHeight="1" x14ac:dyDescent="0.25">
      <c r="A220" s="117" t="str">
        <f ca="1">(SUMPRODUCT(MID(0&amp;(LEFT(A219,SUM(LEN(A219)-LEN(SUBSTITUTE(A219,{"0","1","2"},""))))), LARGE(INDEX(ISNUMBER(--MID((LEFT(A219,SUM(LEN(A219)-LEN(SUBSTITUTE(A219,{"0","1","2"},""))))), ROW(INDIRECT("1:"&amp;LEN((LEFT(A219,SUM(LEN(A219)-LEN(SUBSTITUTE(A219,{"0","1","2"},"")))))))), 1)) * ROW(INDIRECT("1:"&amp;LEN((LEFT(A219,SUM(LEN(A219)-LEN(SUBSTITUTE(A219,{"0","1","2"},"")))))))), 0), ROW(INDIRECT("1:"&amp;LEN((LEFT(A219,SUM(LEN(A219)-LEN(SUBSTITUTE(A219,{"0","1","2"},"")))))))))+1, 1) * 10^ROW(INDIRECT("1:"&amp;LEN((LEFT(A219,SUM(LEN(A219)-LEN(SUBSTITUTE(A219,{"0","1","2"},""))))))))/10))*1+1&amp;""&amp;" to "&amp;""&amp;(SUMPRODUCT(MID(0&amp;(--TRIM(RIGHT(SUBSTITUTE(LEFT(A219,_xlfn.AGGREGATE(16,6,FIND({0,1,2,3,4,5,6,7,8,9},A219,ROW(INDIRECT("1:"&amp;LEN(A219)))),1))," ",REPT(" ",LEN(A219))),LEN(A219)))), LARGE(INDEX(ISNUMBER(--MID((--TRIM(RIGHT(SUBSTITUTE(LEFT(A219,_xlfn.AGGREGATE(16,6,FIND({0,1,2,3,4,5,6,7,8,9},A219,ROW(INDIRECT("1:"&amp;LEN(A219)))),1))," ",REPT(" ",LEN(A219))),LEN(A219)))), ROW(INDIRECT("1:"&amp;LEN((--TRIM(RIGHT(SUBSTITUTE(LEFT(A219,_xlfn.AGGREGATE(16,6,FIND({0,1,2,3,4,5,6,7,8,9},A219,ROW(INDIRECT("1:"&amp;LEN(A219)))),1))," ",REPT(" ",LEN(A219))),LEN(A219))))))), 1)) * ROW(INDIRECT("1:"&amp;LEN((--TRIM(RIGHT(SUBSTITUTE(LEFT(A219,_xlfn.AGGREGATE(16,6,FIND({0,1,2,3,4,5,6,7,8,9},A219,ROW(INDIRECT("1:"&amp;LEN(A219)))),1))," ",REPT(" ",LEN(A219))),LEN(A219))))))), 0), ROW(INDIRECT("1:"&amp;LEN((--TRIM(RIGHT(SUBSTITUTE(LEFT(A219,_xlfn.AGGREGATE(16,6,FIND({0,1,2,3,4,5,6,7,8,9},A219,ROW(INDIRECT("1:"&amp;LEN(A219)))),1))," ",REPT(" ",LEN(A219))),LEN(A219))))))))+1, 1) * 10^ROW(INDIRECT("1:"&amp;LEN((--TRIM(RIGHT(SUBSTITUTE(LEFT(A219,_xlfn.AGGREGATE(16,6,FIND({0,1,2,3,4,5,6,7,8,9},A219,ROW(INDIRECT("1:"&amp;LEN(A219)))),1))," ",REPT(" ",LEN(A219))),LEN(A219)))))))/10))*1+1</f>
        <v>204 to 504</v>
      </c>
      <c r="B220" s="117"/>
      <c r="C220" s="82"/>
      <c r="D220" s="82"/>
      <c r="E220" s="82">
        <v>0</v>
      </c>
      <c r="F220" s="82">
        <f>D220+E220</f>
        <v>0</v>
      </c>
      <c r="G220" s="82">
        <v>0</v>
      </c>
      <c r="H220" s="82">
        <f>F220*(($H$162)+1)+(IF(G220&lt;101,G220,IF(G220&lt;201,G220/2,IF(G220&lt;=301,G220/3,G220/4))))</f>
        <v>0</v>
      </c>
      <c r="I220" s="34"/>
    </row>
    <row r="221" spans="1:14" s="35" customFormat="1" ht="15.75" hidden="1" customHeight="1" x14ac:dyDescent="0.25">
      <c r="A221" s="117" t="str">
        <f ca="1">(SUMPRODUCT(MID(0&amp;(LEFT(A220,SUM(LEN(A220)-LEN(SUBSTITUTE(A220,{"0","1","2"},""))))), LARGE(INDEX(ISNUMBER(--MID((LEFT(A220,SUM(LEN(A220)-LEN(SUBSTITUTE(A220,{"0","1","2"},""))))), ROW(INDIRECT("1:"&amp;LEN((LEFT(A220,SUM(LEN(A220)-LEN(SUBSTITUTE(A220,{"0","1","2"},"")))))))), 1)) * ROW(INDIRECT("1:"&amp;LEN((LEFT(A220,SUM(LEN(A220)-LEN(SUBSTITUTE(A220,{"0","1","2"},"")))))))), 0), ROW(INDIRECT("1:"&amp;LEN((LEFT(A220,SUM(LEN(A220)-LEN(SUBSTITUTE(A220,{"0","1","2"},"")))))))))+1, 1) * 10^ROW(INDIRECT("1:"&amp;LEN((LEFT(A220,SUM(LEN(A220)-LEN(SUBSTITUTE(A220,{"0","1","2"},""))))))))/10))*1+1&amp;""&amp;" to "&amp;""&amp;(SUMPRODUCT(MID(0&amp;(--TRIM(RIGHT(SUBSTITUTE(LEFT(A220,_xlfn.AGGREGATE(16,6,FIND({0,1,2,3,4,5,6,7,8,9},A220,ROW(INDIRECT("1:"&amp;LEN(A220)))),1))," ",REPT(" ",LEN(A220))),LEN(A220)))), LARGE(INDEX(ISNUMBER(--MID((--TRIM(RIGHT(SUBSTITUTE(LEFT(A220,_xlfn.AGGREGATE(16,6,FIND({0,1,2,3,4,5,6,7,8,9},A220,ROW(INDIRECT("1:"&amp;LEN(A220)))),1))," ",REPT(" ",LEN(A220))),LEN(A220)))), ROW(INDIRECT("1:"&amp;LEN((--TRIM(RIGHT(SUBSTITUTE(LEFT(A220,_xlfn.AGGREGATE(16,6,FIND({0,1,2,3,4,5,6,7,8,9},A220,ROW(INDIRECT("1:"&amp;LEN(A220)))),1))," ",REPT(" ",LEN(A220))),LEN(A220))))))), 1)) * ROW(INDIRECT("1:"&amp;LEN((--TRIM(RIGHT(SUBSTITUTE(LEFT(A220,_xlfn.AGGREGATE(16,6,FIND({0,1,2,3,4,5,6,7,8,9},A220,ROW(INDIRECT("1:"&amp;LEN(A220)))),1))," ",REPT(" ",LEN(A220))),LEN(A220))))))), 0), ROW(INDIRECT("1:"&amp;LEN((--TRIM(RIGHT(SUBSTITUTE(LEFT(A220,_xlfn.AGGREGATE(16,6,FIND({0,1,2,3,4,5,6,7,8,9},A220,ROW(INDIRECT("1:"&amp;LEN(A220)))),1))," ",REPT(" ",LEN(A220))),LEN(A220))))))))+1, 1) * 10^ROW(INDIRECT("1:"&amp;LEN((--TRIM(RIGHT(SUBSTITUTE(LEFT(A220,_xlfn.AGGREGATE(16,6,FIND({0,1,2,3,4,5,6,7,8,9},A220,ROW(INDIRECT("1:"&amp;LEN(A220)))),1))," ",REPT(" ",LEN(A220))),LEN(A220)))))))/10))*1+1</f>
        <v>205 to 505</v>
      </c>
      <c r="B221" s="117"/>
      <c r="C221" s="82"/>
      <c r="D221" s="82"/>
      <c r="E221" s="82">
        <v>0</v>
      </c>
      <c r="F221" s="82">
        <f>D221+E221</f>
        <v>0</v>
      </c>
      <c r="G221" s="82">
        <v>0</v>
      </c>
      <c r="H221" s="82">
        <f>F221*(($H$162)+1)+(IF(G221&lt;101,G221,IF(G221&lt;201,G221/2,IF(G221&lt;=301,G221/3,G221/4))))</f>
        <v>0</v>
      </c>
      <c r="I221" s="34"/>
    </row>
    <row r="222" spans="1:14" s="35" customFormat="1" hidden="1" x14ac:dyDescent="0.25">
      <c r="A222" s="115" t="s">
        <v>145</v>
      </c>
      <c r="B222" s="115"/>
      <c r="C222" s="115"/>
      <c r="D222" s="115"/>
      <c r="E222" s="115"/>
      <c r="F222" s="115"/>
      <c r="G222" s="115"/>
      <c r="H222" s="115"/>
      <c r="I222" s="34"/>
    </row>
    <row r="223" spans="1:14" s="35" customFormat="1" ht="15.75" hidden="1" customHeight="1" x14ac:dyDescent="0.25">
      <c r="A223" s="117" t="str">
        <f ca="1">(SUMPRODUCT(MID(0&amp;(LEFT(A222,SUM(LEN(A222)-LEN(SUBSTITUTE(A222,{"0","1","2"},""))))), LARGE(INDEX(ISNUMBER(--MID((LEFT(A222,SUM(LEN(A222)-LEN(SUBSTITUTE(A222,{"0","1","2"},""))))), ROW(INDIRECT("1:"&amp;LEN((LEFT(A222,SUM(LEN(A222)-LEN(SUBSTITUTE(A222,{"0","1","2"},"")))))))), 1)) * ROW(INDIRECT("1:"&amp;LEN((LEFT(A222,SUM(LEN(A222)-LEN(SUBSTITUTE(A222,{"0","1","2"},"")))))))), 0), ROW(INDIRECT("1:"&amp;LEN((LEFT(A222,SUM(LEN(A222)-LEN(SUBSTITUTE(A222,{"0","1","2"},"")))))))))+1, 1) * 10^ROW(INDIRECT("1:"&amp;LEN((LEFT(A222,SUM(LEN(A222)-LEN(SUBSTITUTE(A222,{"0","1","2"},""))))))))/10))*100+1&amp;""&amp;" &amp; "&amp;""&amp;(SUMPRODUCT(MID(0&amp;(--TRIM(RIGHT(SUBSTITUTE(LEFT(A222,_xlfn.AGGREGATE(16,6,FIND({0,1,2,3,4,5,6,7,8,9},A222,ROW(INDIRECT("1:"&amp;LEN(A222)))),1))," ",REPT(" ",LEN(A222))),LEN(A222)))), LARGE(INDEX(ISNUMBER(--MID((--TRIM(RIGHT(SUBSTITUTE(LEFT(A222,_xlfn.AGGREGATE(16,6,FIND({0,1,2,3,4,5,6,7,8,9},A222,ROW(INDIRECT("1:"&amp;LEN(A222)))),1))," ",REPT(" ",LEN(A222))),LEN(A222)))), ROW(INDIRECT("1:"&amp;LEN((--TRIM(RIGHT(SUBSTITUTE(LEFT(A222,_xlfn.AGGREGATE(16,6,FIND({0,1,2,3,4,5,6,7,8,9},A222,ROW(INDIRECT("1:"&amp;LEN(A222)))),1))," ",REPT(" ",LEN(A222))),LEN(A222))))))), 1)) * ROW(INDIRECT("1:"&amp;LEN((--TRIM(RIGHT(SUBSTITUTE(LEFT(A222,_xlfn.AGGREGATE(16,6,FIND({0,1,2,3,4,5,6,7,8,9},A222,ROW(INDIRECT("1:"&amp;LEN(A222)))),1))," ",REPT(" ",LEN(A222))),LEN(A222))))))), 0), ROW(INDIRECT("1:"&amp;LEN((--TRIM(RIGHT(SUBSTITUTE(LEFT(A222,_xlfn.AGGREGATE(16,6,FIND({0,1,2,3,4,5,6,7,8,9},A222,ROW(INDIRECT("1:"&amp;LEN(A222)))),1))," ",REPT(" ",LEN(A222))),LEN(A222))))))))+1, 1) * 10^ROW(INDIRECT("1:"&amp;LEN((--TRIM(RIGHT(SUBSTITUTE(LEFT(A222,_xlfn.AGGREGATE(16,6,FIND({0,1,2,3,4,5,6,7,8,9},A222,ROW(INDIRECT("1:"&amp;LEN(A222)))),1))," ",REPT(" ",LEN(A222))),LEN(A222)))))))/10))*100+1</f>
        <v>201 &amp; 501</v>
      </c>
      <c r="B223" s="117"/>
      <c r="C223" s="82"/>
      <c r="D223" s="82"/>
      <c r="E223" s="82">
        <v>0</v>
      </c>
      <c r="F223" s="82">
        <f>D223+E223</f>
        <v>0</v>
      </c>
      <c r="G223" s="82">
        <v>0</v>
      </c>
      <c r="H223" s="82">
        <f>F223*(($H$162)+1)+(IF(G223&lt;101,G223,IF(G223&lt;201,G223/2,IF(G223&lt;=301,G223/3,G223/4))))</f>
        <v>0</v>
      </c>
      <c r="I223" s="34"/>
    </row>
    <row r="224" spans="1:14" s="35" customFormat="1" ht="15.75" hidden="1" customHeight="1" x14ac:dyDescent="0.25">
      <c r="A224" s="117" t="str">
        <f ca="1">(SUMPRODUCT(MID(0&amp;(LEFT(A223,SUM(LEN(A223)-LEN(SUBSTITUTE(A223,{"0","1","2"},""))))), LARGE(INDEX(ISNUMBER(--MID((LEFT(A223,SUM(LEN(A223)-LEN(SUBSTITUTE(A223,{"0","1","2"},""))))), ROW(INDIRECT("1:"&amp;LEN((LEFT(A223,SUM(LEN(A223)-LEN(SUBSTITUTE(A223,{"0","1","2"},"")))))))), 1)) * ROW(INDIRECT("1:"&amp;LEN((LEFT(A223,SUM(LEN(A223)-LEN(SUBSTITUTE(A223,{"0","1","2"},"")))))))), 0), ROW(INDIRECT("1:"&amp;LEN((LEFT(A223,SUM(LEN(A223)-LEN(SUBSTITUTE(A223,{"0","1","2"},"")))))))))+1, 1) * 10^ROW(INDIRECT("1:"&amp;LEN((LEFT(A223,SUM(LEN(A223)-LEN(SUBSTITUTE(A223,{"0","1","2"},""))))))))/10))*1+1&amp;""&amp;" &amp; "&amp;""&amp;(SUMPRODUCT(MID(0&amp;(--TRIM(RIGHT(SUBSTITUTE(LEFT(A223,_xlfn.AGGREGATE(16,6,FIND({0,1,2,3,4,5,6,7,8,9},A223,ROW(INDIRECT("1:"&amp;LEN(A223)))),1))," ",REPT(" ",LEN(A223))),LEN(A223)))), LARGE(INDEX(ISNUMBER(--MID((--TRIM(RIGHT(SUBSTITUTE(LEFT(A223,_xlfn.AGGREGATE(16,6,FIND({0,1,2,3,4,5,6,7,8,9},A223,ROW(INDIRECT("1:"&amp;LEN(A223)))),1))," ",REPT(" ",LEN(A223))),LEN(A223)))), ROW(INDIRECT("1:"&amp;LEN((--TRIM(RIGHT(SUBSTITUTE(LEFT(A223,_xlfn.AGGREGATE(16,6,FIND({0,1,2,3,4,5,6,7,8,9},A223,ROW(INDIRECT("1:"&amp;LEN(A223)))),1))," ",REPT(" ",LEN(A223))),LEN(A223))))))), 1)) * ROW(INDIRECT("1:"&amp;LEN((--TRIM(RIGHT(SUBSTITUTE(LEFT(A223,_xlfn.AGGREGATE(16,6,FIND({0,1,2,3,4,5,6,7,8,9},A223,ROW(INDIRECT("1:"&amp;LEN(A223)))),1))," ",REPT(" ",LEN(A223))),LEN(A223))))))), 0), ROW(INDIRECT("1:"&amp;LEN((--TRIM(RIGHT(SUBSTITUTE(LEFT(A223,_xlfn.AGGREGATE(16,6,FIND({0,1,2,3,4,5,6,7,8,9},A223,ROW(INDIRECT("1:"&amp;LEN(A223)))),1))," ",REPT(" ",LEN(A223))),LEN(A223))))))))+1, 1) * 10^ROW(INDIRECT("1:"&amp;LEN((--TRIM(RIGHT(SUBSTITUTE(LEFT(A223,_xlfn.AGGREGATE(16,6,FIND({0,1,2,3,4,5,6,7,8,9},A223,ROW(INDIRECT("1:"&amp;LEN(A223)))),1))," ",REPT(" ",LEN(A223))),LEN(A223)))))))/10))*1+1</f>
        <v>202 &amp; 502</v>
      </c>
      <c r="B224" s="117"/>
      <c r="C224" s="82"/>
      <c r="D224" s="82"/>
      <c r="E224" s="82">
        <v>0</v>
      </c>
      <c r="F224" s="82">
        <f>D224+E224</f>
        <v>0</v>
      </c>
      <c r="G224" s="82">
        <v>0</v>
      </c>
      <c r="H224" s="82">
        <f>F224*(($H$162)+1)+(IF(G224&lt;101,G224,IF(G224&lt;201,G224/2,IF(G224&lt;=301,G224/3,G224/4))))</f>
        <v>0</v>
      </c>
      <c r="I224" s="34"/>
    </row>
    <row r="225" spans="1:20" s="35" customFormat="1" ht="15.75" hidden="1" customHeight="1" x14ac:dyDescent="0.25">
      <c r="A225" s="117" t="str">
        <f ca="1">(SUMPRODUCT(MID(0&amp;(LEFT(A224,SUM(LEN(A224)-LEN(SUBSTITUTE(A224,{"0","1","2"},""))))), LARGE(INDEX(ISNUMBER(--MID((LEFT(A224,SUM(LEN(A224)-LEN(SUBSTITUTE(A224,{"0","1","2"},""))))), ROW(INDIRECT("1:"&amp;LEN((LEFT(A224,SUM(LEN(A224)-LEN(SUBSTITUTE(A224,{"0","1","2"},"")))))))), 1)) * ROW(INDIRECT("1:"&amp;LEN((LEFT(A224,SUM(LEN(A224)-LEN(SUBSTITUTE(A224,{"0","1","2"},"")))))))), 0), ROW(INDIRECT("1:"&amp;LEN((LEFT(A224,SUM(LEN(A224)-LEN(SUBSTITUTE(A224,{"0","1","2"},"")))))))))+1, 1) * 10^ROW(INDIRECT("1:"&amp;LEN((LEFT(A224,SUM(LEN(A224)-LEN(SUBSTITUTE(A224,{"0","1","2"},""))))))))/10))*1+1&amp;""&amp;" &amp; "&amp;""&amp;(SUMPRODUCT(MID(0&amp;(--TRIM(RIGHT(SUBSTITUTE(LEFT(A224,_xlfn.AGGREGATE(16,6,FIND({0,1,2,3,4,5,6,7,8,9},A224,ROW(INDIRECT("1:"&amp;LEN(A224)))),1))," ",REPT(" ",LEN(A224))),LEN(A224)))), LARGE(INDEX(ISNUMBER(--MID((--TRIM(RIGHT(SUBSTITUTE(LEFT(A224,_xlfn.AGGREGATE(16,6,FIND({0,1,2,3,4,5,6,7,8,9},A224,ROW(INDIRECT("1:"&amp;LEN(A224)))),1))," ",REPT(" ",LEN(A224))),LEN(A224)))), ROW(INDIRECT("1:"&amp;LEN((--TRIM(RIGHT(SUBSTITUTE(LEFT(A224,_xlfn.AGGREGATE(16,6,FIND({0,1,2,3,4,5,6,7,8,9},A224,ROW(INDIRECT("1:"&amp;LEN(A224)))),1))," ",REPT(" ",LEN(A224))),LEN(A224))))))), 1)) * ROW(INDIRECT("1:"&amp;LEN((--TRIM(RIGHT(SUBSTITUTE(LEFT(A224,_xlfn.AGGREGATE(16,6,FIND({0,1,2,3,4,5,6,7,8,9},A224,ROW(INDIRECT("1:"&amp;LEN(A224)))),1))," ",REPT(" ",LEN(A224))),LEN(A224))))))), 0), ROW(INDIRECT("1:"&amp;LEN((--TRIM(RIGHT(SUBSTITUTE(LEFT(A224,_xlfn.AGGREGATE(16,6,FIND({0,1,2,3,4,5,6,7,8,9},A224,ROW(INDIRECT("1:"&amp;LEN(A224)))),1))," ",REPT(" ",LEN(A224))),LEN(A224))))))))+1, 1) * 10^ROW(INDIRECT("1:"&amp;LEN((--TRIM(RIGHT(SUBSTITUTE(LEFT(A224,_xlfn.AGGREGATE(16,6,FIND({0,1,2,3,4,5,6,7,8,9},A224,ROW(INDIRECT("1:"&amp;LEN(A224)))),1))," ",REPT(" ",LEN(A224))),LEN(A224)))))))/10))*1+1</f>
        <v>203 &amp; 503</v>
      </c>
      <c r="B225" s="117"/>
      <c r="C225" s="82"/>
      <c r="D225" s="82"/>
      <c r="E225" s="82">
        <v>0</v>
      </c>
      <c r="F225" s="82">
        <f>D225+E225</f>
        <v>0</v>
      </c>
      <c r="G225" s="82">
        <v>0</v>
      </c>
      <c r="H225" s="82">
        <f>F225*(($H$162)+1)+(IF(G225&lt;101,G225,IF(G225&lt;201,G225/2,IF(G225&lt;=301,G225/3,G225/4))))</f>
        <v>0</v>
      </c>
      <c r="I225" s="34"/>
    </row>
    <row r="226" spans="1:20" s="35" customFormat="1" ht="15.75" hidden="1" customHeight="1" x14ac:dyDescent="0.25">
      <c r="A226" s="117" t="str">
        <f ca="1">(SUMPRODUCT(MID(0&amp;(LEFT(A225,SUM(LEN(A225)-LEN(SUBSTITUTE(A225,{"0","1","2"},""))))), LARGE(INDEX(ISNUMBER(--MID((LEFT(A225,SUM(LEN(A225)-LEN(SUBSTITUTE(A225,{"0","1","2"},""))))), ROW(INDIRECT("1:"&amp;LEN((LEFT(A225,SUM(LEN(A225)-LEN(SUBSTITUTE(A225,{"0","1","2"},"")))))))), 1)) * ROW(INDIRECT("1:"&amp;LEN((LEFT(A225,SUM(LEN(A225)-LEN(SUBSTITUTE(A225,{"0","1","2"},"")))))))), 0), ROW(INDIRECT("1:"&amp;LEN((LEFT(A225,SUM(LEN(A225)-LEN(SUBSTITUTE(A225,{"0","1","2"},"")))))))))+1, 1) * 10^ROW(INDIRECT("1:"&amp;LEN((LEFT(A225,SUM(LEN(A225)-LEN(SUBSTITUTE(A225,{"0","1","2"},""))))))))/10))*1+1&amp;""&amp;" &amp; "&amp;""&amp;(SUMPRODUCT(MID(0&amp;(--TRIM(RIGHT(SUBSTITUTE(LEFT(A225,_xlfn.AGGREGATE(16,6,FIND({0,1,2,3,4,5,6,7,8,9},A225,ROW(INDIRECT("1:"&amp;LEN(A225)))),1))," ",REPT(" ",LEN(A225))),LEN(A225)))), LARGE(INDEX(ISNUMBER(--MID((--TRIM(RIGHT(SUBSTITUTE(LEFT(A225,_xlfn.AGGREGATE(16,6,FIND({0,1,2,3,4,5,6,7,8,9},A225,ROW(INDIRECT("1:"&amp;LEN(A225)))),1))," ",REPT(" ",LEN(A225))),LEN(A225)))), ROW(INDIRECT("1:"&amp;LEN((--TRIM(RIGHT(SUBSTITUTE(LEFT(A225,_xlfn.AGGREGATE(16,6,FIND({0,1,2,3,4,5,6,7,8,9},A225,ROW(INDIRECT("1:"&amp;LEN(A225)))),1))," ",REPT(" ",LEN(A225))),LEN(A225))))))), 1)) * ROW(INDIRECT("1:"&amp;LEN((--TRIM(RIGHT(SUBSTITUTE(LEFT(A225,_xlfn.AGGREGATE(16,6,FIND({0,1,2,3,4,5,6,7,8,9},A225,ROW(INDIRECT("1:"&amp;LEN(A225)))),1))," ",REPT(" ",LEN(A225))),LEN(A225))))))), 0), ROW(INDIRECT("1:"&amp;LEN((--TRIM(RIGHT(SUBSTITUTE(LEFT(A225,_xlfn.AGGREGATE(16,6,FIND({0,1,2,3,4,5,6,7,8,9},A225,ROW(INDIRECT("1:"&amp;LEN(A225)))),1))," ",REPT(" ",LEN(A225))),LEN(A225))))))))+1, 1) * 10^ROW(INDIRECT("1:"&amp;LEN((--TRIM(RIGHT(SUBSTITUTE(LEFT(A225,_xlfn.AGGREGATE(16,6,FIND({0,1,2,3,4,5,6,7,8,9},A225,ROW(INDIRECT("1:"&amp;LEN(A225)))),1))," ",REPT(" ",LEN(A225))),LEN(A225)))))))/10))*1+1</f>
        <v>204 &amp; 504</v>
      </c>
      <c r="B226" s="117"/>
      <c r="C226" s="82"/>
      <c r="D226" s="82"/>
      <c r="E226" s="82">
        <v>0</v>
      </c>
      <c r="F226" s="82">
        <f>D226+E226</f>
        <v>0</v>
      </c>
      <c r="G226" s="82">
        <v>0</v>
      </c>
      <c r="H226" s="82">
        <f>F226*(($H$162)+1)+(IF(G226&lt;101,G226,IF(G226&lt;201,G226/2,IF(G226&lt;=301,G226/3,G226/4))))</f>
        <v>0</v>
      </c>
      <c r="I226" s="34"/>
    </row>
    <row r="227" spans="1:20" s="35" customFormat="1" ht="15.75" hidden="1" customHeight="1" x14ac:dyDescent="0.25">
      <c r="A227" s="117" t="str">
        <f ca="1">(SUMPRODUCT(MID(0&amp;(LEFT(A226,SUM(LEN(A226)-LEN(SUBSTITUTE(A226,{"0","1","2"},""))))), LARGE(INDEX(ISNUMBER(--MID((LEFT(A226,SUM(LEN(A226)-LEN(SUBSTITUTE(A226,{"0","1","2"},""))))), ROW(INDIRECT("1:"&amp;LEN((LEFT(A226,SUM(LEN(A226)-LEN(SUBSTITUTE(A226,{"0","1","2"},"")))))))), 1)) * ROW(INDIRECT("1:"&amp;LEN((LEFT(A226,SUM(LEN(A226)-LEN(SUBSTITUTE(A226,{"0","1","2"},"")))))))), 0), ROW(INDIRECT("1:"&amp;LEN((LEFT(A226,SUM(LEN(A226)-LEN(SUBSTITUTE(A226,{"0","1","2"},"")))))))))+1, 1) * 10^ROW(INDIRECT("1:"&amp;LEN((LEFT(A226,SUM(LEN(A226)-LEN(SUBSTITUTE(A226,{"0","1","2"},""))))))))/10))*1+1&amp;""&amp;" &amp; "&amp;""&amp;(SUMPRODUCT(MID(0&amp;(--TRIM(RIGHT(SUBSTITUTE(LEFT(A226,_xlfn.AGGREGATE(16,6,FIND({0,1,2,3,4,5,6,7,8,9},A226,ROW(INDIRECT("1:"&amp;LEN(A226)))),1))," ",REPT(" ",LEN(A226))),LEN(A226)))), LARGE(INDEX(ISNUMBER(--MID((--TRIM(RIGHT(SUBSTITUTE(LEFT(A226,_xlfn.AGGREGATE(16,6,FIND({0,1,2,3,4,5,6,7,8,9},A226,ROW(INDIRECT("1:"&amp;LEN(A226)))),1))," ",REPT(" ",LEN(A226))),LEN(A226)))), ROW(INDIRECT("1:"&amp;LEN((--TRIM(RIGHT(SUBSTITUTE(LEFT(A226,_xlfn.AGGREGATE(16,6,FIND({0,1,2,3,4,5,6,7,8,9},A226,ROW(INDIRECT("1:"&amp;LEN(A226)))),1))," ",REPT(" ",LEN(A226))),LEN(A226))))))), 1)) * ROW(INDIRECT("1:"&amp;LEN((--TRIM(RIGHT(SUBSTITUTE(LEFT(A226,_xlfn.AGGREGATE(16,6,FIND({0,1,2,3,4,5,6,7,8,9},A226,ROW(INDIRECT("1:"&amp;LEN(A226)))),1))," ",REPT(" ",LEN(A226))),LEN(A226))))))), 0), ROW(INDIRECT("1:"&amp;LEN((--TRIM(RIGHT(SUBSTITUTE(LEFT(A226,_xlfn.AGGREGATE(16,6,FIND({0,1,2,3,4,5,6,7,8,9},A226,ROW(INDIRECT("1:"&amp;LEN(A226)))),1))," ",REPT(" ",LEN(A226))),LEN(A226))))))))+1, 1) * 10^ROW(INDIRECT("1:"&amp;LEN((--TRIM(RIGHT(SUBSTITUTE(LEFT(A226,_xlfn.AGGREGATE(16,6,FIND({0,1,2,3,4,5,6,7,8,9},A226,ROW(INDIRECT("1:"&amp;LEN(A226)))),1))," ",REPT(" ",LEN(A226))),LEN(A226)))))))/10))*1+1</f>
        <v>205 &amp; 505</v>
      </c>
      <c r="B227" s="117"/>
      <c r="C227" s="82"/>
      <c r="D227" s="82"/>
      <c r="E227" s="82">
        <v>0</v>
      </c>
      <c r="F227" s="82">
        <f>D227+E227</f>
        <v>0</v>
      </c>
      <c r="G227" s="82">
        <v>0</v>
      </c>
      <c r="H227" s="82">
        <f>F227*(($H$162)+1)+(IF(G227&lt;101,G227,IF(G227&lt;201,G227/2,IF(G227&lt;=301,G227/3,G227/4))))</f>
        <v>0</v>
      </c>
      <c r="I227" s="34"/>
    </row>
    <row r="228" spans="1:20" s="33" customFormat="1" x14ac:dyDescent="0.25">
      <c r="A228" s="220" t="s">
        <v>65</v>
      </c>
      <c r="B228" s="220"/>
      <c r="C228" s="220"/>
      <c r="D228" s="220"/>
      <c r="E228" s="220"/>
      <c r="F228" s="220"/>
      <c r="G228" s="220"/>
      <c r="H228" s="220"/>
      <c r="T228" s="35"/>
    </row>
    <row r="229" spans="1:20" s="33" customFormat="1" x14ac:dyDescent="0.25">
      <c r="A229" s="84" t="s">
        <v>154</v>
      </c>
      <c r="B229" s="126" t="s">
        <v>424</v>
      </c>
      <c r="C229" s="126"/>
      <c r="D229" s="126"/>
      <c r="E229" s="126"/>
      <c r="F229" s="126"/>
      <c r="G229" s="126"/>
      <c r="H229" s="126"/>
      <c r="J229" s="33" t="s">
        <v>412</v>
      </c>
      <c r="T229" s="35"/>
    </row>
    <row r="230" spans="1:20" s="33" customFormat="1" x14ac:dyDescent="0.25">
      <c r="A230" s="84" t="s">
        <v>154</v>
      </c>
      <c r="B230" s="127" t="str">
        <f>(IF(H161="Saleable area Loading :","We have considered Saleable area of Flats as per our Calculation.","We considered Saleable area of Flat as per Builder area Sheet."))</f>
        <v>We have considered Saleable area of Flats as per our Calculation.</v>
      </c>
      <c r="C230" s="127"/>
      <c r="D230" s="127"/>
      <c r="E230" s="127"/>
      <c r="F230" s="127"/>
      <c r="G230" s="127"/>
      <c r="H230" s="127"/>
      <c r="T230" s="35"/>
    </row>
    <row r="231" spans="1:20" s="33" customFormat="1" x14ac:dyDescent="0.25">
      <c r="A231" s="79" t="s">
        <v>154</v>
      </c>
      <c r="B231" s="126" t="str">
        <f>(IF(H146="Saleable area Loading :","We have considered Saleable area of Commercial as per our Calculation.","We considered Saleable area of Commercial as per Builder area Sheet."))</f>
        <v>We have considered Saleable area of Commercial as per our Calculation.</v>
      </c>
      <c r="C231" s="126"/>
      <c r="D231" s="126"/>
      <c r="E231" s="126"/>
      <c r="F231" s="126"/>
      <c r="G231" s="126"/>
      <c r="H231" s="126"/>
      <c r="T231" s="35"/>
    </row>
    <row r="232" spans="1:20" s="33" customFormat="1" x14ac:dyDescent="0.25">
      <c r="A232" s="79" t="s">
        <v>154</v>
      </c>
      <c r="B232" s="128" t="s">
        <v>121</v>
      </c>
      <c r="C232" s="128"/>
      <c r="D232" s="128"/>
      <c r="E232" s="128"/>
      <c r="F232" s="128"/>
      <c r="G232" s="128"/>
      <c r="H232" s="128"/>
      <c r="T232" s="35"/>
    </row>
    <row r="233" spans="1:20" s="33" customFormat="1" x14ac:dyDescent="0.25">
      <c r="A233" s="79" t="s">
        <v>154</v>
      </c>
      <c r="B233" s="126" t="s">
        <v>405</v>
      </c>
      <c r="C233" s="126"/>
      <c r="D233" s="126"/>
      <c r="E233" s="126"/>
      <c r="F233" s="126"/>
      <c r="G233" s="126"/>
      <c r="H233" s="126"/>
      <c r="T233" s="35"/>
    </row>
    <row r="234" spans="1:20" s="33" customFormat="1" x14ac:dyDescent="0.25">
      <c r="A234" s="42" t="s">
        <v>154</v>
      </c>
      <c r="B234" s="122" t="s">
        <v>153</v>
      </c>
      <c r="C234" s="123"/>
      <c r="D234" s="123"/>
      <c r="E234" s="123"/>
      <c r="F234" s="123"/>
      <c r="G234" s="123"/>
      <c r="H234" s="124"/>
    </row>
    <row r="235" spans="1:20" s="33" customFormat="1" x14ac:dyDescent="0.25">
      <c r="A235" s="42" t="s">
        <v>154</v>
      </c>
      <c r="B235" s="122" t="s">
        <v>122</v>
      </c>
      <c r="C235" s="123"/>
      <c r="D235" s="123"/>
      <c r="E235" s="123"/>
      <c r="F235" s="123"/>
      <c r="G235" s="123"/>
      <c r="H235" s="124"/>
    </row>
    <row r="236" spans="1:20" s="33" customFormat="1" ht="34.5" customHeight="1" x14ac:dyDescent="0.25">
      <c r="A236" s="42" t="s">
        <v>154</v>
      </c>
      <c r="B236" s="94" t="s">
        <v>155</v>
      </c>
      <c r="C236" s="95"/>
      <c r="D236" s="95"/>
      <c r="E236" s="95"/>
      <c r="F236" s="95"/>
      <c r="G236" s="95"/>
      <c r="H236" s="96"/>
    </row>
    <row r="237" spans="1:20" s="33" customFormat="1" x14ac:dyDescent="0.25">
      <c r="A237" s="42" t="s">
        <v>154</v>
      </c>
      <c r="B237" s="122" t="s">
        <v>123</v>
      </c>
      <c r="C237" s="123"/>
      <c r="D237" s="123"/>
      <c r="E237" s="123"/>
      <c r="F237" s="123"/>
      <c r="G237" s="123"/>
      <c r="H237" s="124"/>
    </row>
    <row r="238" spans="1:20" s="33" customFormat="1" x14ac:dyDescent="0.25">
      <c r="A238" s="42" t="s">
        <v>154</v>
      </c>
      <c r="B238" s="94" t="s">
        <v>353</v>
      </c>
      <c r="C238" s="95"/>
      <c r="D238" s="95"/>
      <c r="E238" s="95"/>
      <c r="F238" s="95"/>
      <c r="G238" s="95"/>
      <c r="H238" s="96"/>
    </row>
    <row r="239" spans="1:20" s="33" customFormat="1" x14ac:dyDescent="0.25">
      <c r="A239" s="42" t="s">
        <v>154</v>
      </c>
      <c r="B239" s="94" t="s">
        <v>417</v>
      </c>
      <c r="C239" s="95"/>
      <c r="D239" s="95"/>
      <c r="E239" s="95"/>
      <c r="F239" s="95"/>
      <c r="G239" s="95"/>
      <c r="H239" s="96"/>
    </row>
    <row r="240" spans="1:20" s="33" customFormat="1" x14ac:dyDescent="0.25">
      <c r="A240" s="42" t="s">
        <v>154</v>
      </c>
      <c r="B240" s="94" t="s">
        <v>435</v>
      </c>
      <c r="C240" s="95"/>
      <c r="D240" s="95"/>
      <c r="E240" s="95"/>
      <c r="F240" s="95"/>
      <c r="G240" s="95"/>
      <c r="H240" s="96"/>
    </row>
    <row r="241" spans="1:20" s="33" customFormat="1" x14ac:dyDescent="0.25">
      <c r="A241" s="42" t="s">
        <v>154</v>
      </c>
      <c r="B241" s="94" t="s">
        <v>434</v>
      </c>
      <c r="C241" s="95"/>
      <c r="D241" s="95"/>
      <c r="E241" s="95"/>
      <c r="F241" s="95"/>
      <c r="G241" s="95"/>
      <c r="H241" s="96"/>
    </row>
    <row r="242" spans="1:20" s="33" customFormat="1" hidden="1" x14ac:dyDescent="0.25">
      <c r="A242" s="42" t="s">
        <v>154</v>
      </c>
      <c r="B242" s="94" t="str">
        <f ca="1">IF(G52&gt;EDATE(E3,-48),"NO REMARK FOR CC","REMARK FOR CC")</f>
        <v>NO REMARK FOR CC</v>
      </c>
      <c r="C242" s="95"/>
      <c r="D242" s="95"/>
      <c r="E242" s="95"/>
      <c r="F242" s="95"/>
      <c r="G242" s="95"/>
      <c r="H242" s="96"/>
    </row>
    <row r="243" spans="1:20" s="33" customFormat="1" ht="31.5" customHeight="1" x14ac:dyDescent="0.25">
      <c r="A243" s="42" t="s">
        <v>154</v>
      </c>
      <c r="B243" s="94" t="s">
        <v>299</v>
      </c>
      <c r="C243" s="95"/>
      <c r="D243" s="95"/>
      <c r="E243" s="95"/>
      <c r="F243" s="95"/>
      <c r="G243" s="95"/>
      <c r="H243" s="96"/>
    </row>
    <row r="244" spans="1:20" s="33" customFormat="1" x14ac:dyDescent="0.25">
      <c r="A244" s="79" t="s">
        <v>154</v>
      </c>
      <c r="B244" s="94" t="s">
        <v>437</v>
      </c>
      <c r="C244" s="95"/>
      <c r="D244" s="95"/>
      <c r="E244" s="95"/>
      <c r="F244" s="95"/>
      <c r="G244" s="95"/>
      <c r="H244" s="96"/>
    </row>
    <row r="245" spans="1:20" s="33" customFormat="1" x14ac:dyDescent="0.25">
      <c r="A245" s="84" t="s">
        <v>154</v>
      </c>
      <c r="B245" s="94" t="s">
        <v>467</v>
      </c>
      <c r="C245" s="95"/>
      <c r="D245" s="95"/>
      <c r="E245" s="95"/>
      <c r="F245" s="95"/>
      <c r="G245" s="95"/>
      <c r="H245" s="96"/>
    </row>
    <row r="246" spans="1:20" s="33" customFormat="1" x14ac:dyDescent="0.25">
      <c r="A246" s="84" t="s">
        <v>154</v>
      </c>
      <c r="B246" s="94" t="s">
        <v>458</v>
      </c>
      <c r="C246" s="95"/>
      <c r="D246" s="95"/>
      <c r="E246" s="95"/>
      <c r="F246" s="95"/>
      <c r="G246" s="95"/>
      <c r="H246" s="96"/>
    </row>
    <row r="247" spans="1:20" x14ac:dyDescent="0.25">
      <c r="A247" s="191" t="s">
        <v>58</v>
      </c>
      <c r="B247" s="191"/>
      <c r="C247" s="191"/>
      <c r="D247" s="191"/>
      <c r="E247" s="191"/>
      <c r="F247" s="191"/>
      <c r="G247" s="191"/>
      <c r="H247" s="191"/>
      <c r="T247" s="33"/>
    </row>
    <row r="248" spans="1:20" x14ac:dyDescent="0.25">
      <c r="A248" s="129" t="s">
        <v>59</v>
      </c>
      <c r="B248" s="129"/>
      <c r="C248" s="129"/>
      <c r="D248" s="129"/>
      <c r="E248" s="129"/>
      <c r="F248" s="129"/>
      <c r="G248" s="129"/>
      <c r="H248" s="129"/>
      <c r="T248" s="33"/>
    </row>
    <row r="249" spans="1:20" ht="15.75" customHeight="1" x14ac:dyDescent="0.25">
      <c r="A249" s="207" t="s">
        <v>60</v>
      </c>
      <c r="B249" s="207"/>
      <c r="C249" s="207"/>
      <c r="D249" s="207"/>
      <c r="E249" s="207"/>
      <c r="F249" s="207"/>
      <c r="G249" s="207"/>
      <c r="H249" s="207"/>
      <c r="T249" s="33"/>
    </row>
    <row r="250" spans="1:20" x14ac:dyDescent="0.25">
      <c r="A250" s="129" t="s">
        <v>61</v>
      </c>
      <c r="B250" s="129"/>
      <c r="C250" s="129"/>
      <c r="D250" s="129"/>
      <c r="E250" s="129"/>
      <c r="F250" s="129"/>
      <c r="G250" s="129"/>
      <c r="H250" s="129"/>
      <c r="T250" s="33"/>
    </row>
    <row r="251" spans="1:20" x14ac:dyDescent="0.25">
      <c r="A251" s="129" t="s">
        <v>62</v>
      </c>
      <c r="B251" s="129"/>
      <c r="C251" s="129"/>
      <c r="D251" s="129"/>
      <c r="E251" s="129"/>
      <c r="F251" s="129"/>
      <c r="G251" s="129"/>
      <c r="H251" s="129"/>
      <c r="T251" s="33"/>
    </row>
    <row r="252" spans="1:20" x14ac:dyDescent="0.25">
      <c r="A252" s="129" t="s">
        <v>124</v>
      </c>
      <c r="B252" s="129"/>
      <c r="C252" s="129"/>
      <c r="D252" s="129"/>
      <c r="E252" s="129"/>
      <c r="F252" s="129"/>
      <c r="G252" s="129"/>
      <c r="H252" s="129"/>
      <c r="T252" s="33"/>
    </row>
    <row r="253" spans="1:20" ht="33.950000000000003" customHeight="1" x14ac:dyDescent="0.25">
      <c r="A253" s="175" t="s">
        <v>125</v>
      </c>
      <c r="B253" s="175"/>
      <c r="C253" s="175"/>
      <c r="D253" s="175"/>
      <c r="E253" s="175"/>
      <c r="F253" s="175"/>
      <c r="G253" s="175"/>
      <c r="H253" s="175"/>
    </row>
    <row r="254" spans="1:20" x14ac:dyDescent="0.25">
      <c r="A254" s="202" t="s">
        <v>74</v>
      </c>
      <c r="B254" s="202"/>
      <c r="C254" s="202" t="s">
        <v>406</v>
      </c>
      <c r="D254" s="202"/>
      <c r="E254" s="202" t="s">
        <v>102</v>
      </c>
      <c r="F254" s="202"/>
      <c r="G254" s="203" t="s">
        <v>422</v>
      </c>
      <c r="H254" s="203"/>
    </row>
    <row r="255" spans="1:20" x14ac:dyDescent="0.25">
      <c r="A255" s="201" t="s">
        <v>76</v>
      </c>
      <c r="B255" s="201"/>
      <c r="C255" s="201"/>
      <c r="D255" s="201"/>
      <c r="E255" s="201"/>
      <c r="F255" s="201"/>
      <c r="G255" s="201"/>
      <c r="H255" s="201"/>
    </row>
    <row r="256" spans="1:20" x14ac:dyDescent="0.25">
      <c r="A256" s="201"/>
      <c r="B256" s="201"/>
      <c r="C256" s="201"/>
      <c r="D256" s="201"/>
      <c r="E256" s="201"/>
      <c r="F256" s="201"/>
      <c r="G256" s="201"/>
      <c r="H256" s="201"/>
    </row>
    <row r="257" spans="1:8" x14ac:dyDescent="0.25">
      <c r="A257" s="201"/>
      <c r="B257" s="201"/>
      <c r="C257" s="201"/>
      <c r="D257" s="201"/>
      <c r="E257" s="201"/>
      <c r="F257" s="201"/>
      <c r="G257" s="201"/>
      <c r="H257" s="201"/>
    </row>
    <row r="258" spans="1:8" x14ac:dyDescent="0.25">
      <c r="A258" s="201"/>
      <c r="B258" s="201"/>
      <c r="C258" s="201"/>
      <c r="D258" s="201"/>
      <c r="E258" s="201"/>
      <c r="F258" s="201"/>
      <c r="G258" s="201"/>
      <c r="H258" s="201"/>
    </row>
    <row r="259" spans="1:8" x14ac:dyDescent="0.25">
      <c r="A259" s="36" t="s">
        <v>63</v>
      </c>
      <c r="B259" s="37"/>
      <c r="C259" s="37"/>
      <c r="D259" s="36" t="str">
        <f>E9</f>
        <v>25 Downtown</v>
      </c>
      <c r="F259" s="37"/>
      <c r="G259" s="37"/>
      <c r="H259" s="37"/>
    </row>
    <row r="260" spans="1:8" x14ac:dyDescent="0.25">
      <c r="A260" s="37"/>
      <c r="B260" s="37"/>
      <c r="C260" s="37"/>
      <c r="D260" s="37"/>
      <c r="E260" s="37"/>
      <c r="F260" s="37"/>
      <c r="G260" s="37"/>
      <c r="H260" s="37"/>
    </row>
    <row r="261" spans="1:8" x14ac:dyDescent="0.25">
      <c r="A261" s="37"/>
      <c r="B261" s="37"/>
      <c r="C261" s="37"/>
      <c r="D261" s="37"/>
      <c r="E261" s="37"/>
      <c r="F261" s="37"/>
      <c r="G261" s="37"/>
      <c r="H261" s="37"/>
    </row>
    <row r="262" spans="1:8" ht="15" customHeight="1" x14ac:dyDescent="0.25"/>
    <row r="302" spans="1:1" x14ac:dyDescent="0.25">
      <c r="A302" s="39" t="s">
        <v>165</v>
      </c>
    </row>
    <row r="325" spans="10:10" x14ac:dyDescent="0.25">
      <c r="J325" s="19">
        <f>5+6+33+33+6</f>
        <v>83</v>
      </c>
    </row>
    <row r="327" spans="10:10" x14ac:dyDescent="0.25">
      <c r="J327" s="19">
        <f>4+25+25+1</f>
        <v>55</v>
      </c>
    </row>
    <row r="345" spans="1:1" x14ac:dyDescent="0.25">
      <c r="A345" s="39" t="s">
        <v>64</v>
      </c>
    </row>
  </sheetData>
  <mergeCells count="436">
    <mergeCell ref="L177:M177"/>
    <mergeCell ref="L153:M153"/>
    <mergeCell ref="A155:H155"/>
    <mergeCell ref="B245:H245"/>
    <mergeCell ref="B246:H246"/>
    <mergeCell ref="A152:B152"/>
    <mergeCell ref="L152:M152"/>
    <mergeCell ref="A141:B141"/>
    <mergeCell ref="C141:D141"/>
    <mergeCell ref="E141:F141"/>
    <mergeCell ref="G141:H141"/>
    <mergeCell ref="A148:H148"/>
    <mergeCell ref="A196:H196"/>
    <mergeCell ref="A197:H197"/>
    <mergeCell ref="A195:H195"/>
    <mergeCell ref="A198:H198"/>
    <mergeCell ref="A199:H199"/>
    <mergeCell ref="A200:H200"/>
    <mergeCell ref="A201:H201"/>
    <mergeCell ref="L201:M201"/>
    <mergeCell ref="A202:B202"/>
    <mergeCell ref="A203:B203"/>
    <mergeCell ref="B240:H240"/>
    <mergeCell ref="L176:M176"/>
    <mergeCell ref="L154:M154"/>
    <mergeCell ref="A171:H171"/>
    <mergeCell ref="A170:H170"/>
    <mergeCell ref="A172:H172"/>
    <mergeCell ref="A173:B173"/>
    <mergeCell ref="L173:M173"/>
    <mergeCell ref="A174:B174"/>
    <mergeCell ref="L174:M174"/>
    <mergeCell ref="A163:H163"/>
    <mergeCell ref="B161:B162"/>
    <mergeCell ref="A166:H166"/>
    <mergeCell ref="A165:H165"/>
    <mergeCell ref="A164:H164"/>
    <mergeCell ref="A167:H167"/>
    <mergeCell ref="A168:H168"/>
    <mergeCell ref="L193:M193"/>
    <mergeCell ref="A194:B194"/>
    <mergeCell ref="L194:M194"/>
    <mergeCell ref="A178:H178"/>
    <mergeCell ref="A181:H181"/>
    <mergeCell ref="A182:H182"/>
    <mergeCell ref="A183:H183"/>
    <mergeCell ref="A184:H184"/>
    <mergeCell ref="A185:H185"/>
    <mergeCell ref="D191:G191"/>
    <mergeCell ref="A192:H192"/>
    <mergeCell ref="L192:M192"/>
    <mergeCell ref="D194:G194"/>
    <mergeCell ref="J185:K185"/>
    <mergeCell ref="A189:H189"/>
    <mergeCell ref="A180:H180"/>
    <mergeCell ref="A179:H179"/>
    <mergeCell ref="L190:M190"/>
    <mergeCell ref="A191:B191"/>
    <mergeCell ref="L191:M191"/>
    <mergeCell ref="L187:M187"/>
    <mergeCell ref="L188:M188"/>
    <mergeCell ref="C54:E54"/>
    <mergeCell ref="G54:H54"/>
    <mergeCell ref="C55:E55"/>
    <mergeCell ref="G55:H55"/>
    <mergeCell ref="A77:B77"/>
    <mergeCell ref="C77:H77"/>
    <mergeCell ref="A72:C72"/>
    <mergeCell ref="D72:H72"/>
    <mergeCell ref="C79:H79"/>
    <mergeCell ref="A73:C73"/>
    <mergeCell ref="D73:H73"/>
    <mergeCell ref="A76:C76"/>
    <mergeCell ref="D76:H76"/>
    <mergeCell ref="A75:C75"/>
    <mergeCell ref="G56:H56"/>
    <mergeCell ref="A58:B59"/>
    <mergeCell ref="C58:E58"/>
    <mergeCell ref="A88:B88"/>
    <mergeCell ref="A120:E120"/>
    <mergeCell ref="A160:H160"/>
    <mergeCell ref="A122:E122"/>
    <mergeCell ref="A79:B79"/>
    <mergeCell ref="L159:M159"/>
    <mergeCell ref="L158:M158"/>
    <mergeCell ref="L157:M157"/>
    <mergeCell ref="L156:M156"/>
    <mergeCell ref="E80:F80"/>
    <mergeCell ref="A87:B87"/>
    <mergeCell ref="A82:B82"/>
    <mergeCell ref="A159:B159"/>
    <mergeCell ref="A158:B158"/>
    <mergeCell ref="A125:E125"/>
    <mergeCell ref="F125:H125"/>
    <mergeCell ref="A127:E127"/>
    <mergeCell ref="F122:H122"/>
    <mergeCell ref="A126:E126"/>
    <mergeCell ref="A91:B91"/>
    <mergeCell ref="C91:H91"/>
    <mergeCell ref="G81:H90"/>
    <mergeCell ref="E146:E147"/>
    <mergeCell ref="A150:H150"/>
    <mergeCell ref="C93:H93"/>
    <mergeCell ref="A96:B96"/>
    <mergeCell ref="B242:H242"/>
    <mergeCell ref="B238:H238"/>
    <mergeCell ref="E43:H43"/>
    <mergeCell ref="A43:D43"/>
    <mergeCell ref="A86:B86"/>
    <mergeCell ref="A50:B50"/>
    <mergeCell ref="D69:H69"/>
    <mergeCell ref="C52:E52"/>
    <mergeCell ref="A228:H228"/>
    <mergeCell ref="A220:B220"/>
    <mergeCell ref="A221:B221"/>
    <mergeCell ref="A216:H216"/>
    <mergeCell ref="A210:H210"/>
    <mergeCell ref="A225:B225"/>
    <mergeCell ref="A222:H222"/>
    <mergeCell ref="A74:C74"/>
    <mergeCell ref="D75:H75"/>
    <mergeCell ref="A81:B81"/>
    <mergeCell ref="G80:H80"/>
    <mergeCell ref="A89:B89"/>
    <mergeCell ref="A90:B90"/>
    <mergeCell ref="A80:B80"/>
    <mergeCell ref="A85:B85"/>
    <mergeCell ref="A54:B55"/>
    <mergeCell ref="A84:B84"/>
    <mergeCell ref="I15:P15"/>
    <mergeCell ref="F129:H129"/>
    <mergeCell ref="F127:H127"/>
    <mergeCell ref="A212:B212"/>
    <mergeCell ref="A145:H145"/>
    <mergeCell ref="G133:H133"/>
    <mergeCell ref="A128:E128"/>
    <mergeCell ref="A157:B157"/>
    <mergeCell ref="A62:B62"/>
    <mergeCell ref="C62:E62"/>
    <mergeCell ref="D64:H64"/>
    <mergeCell ref="F128:H128"/>
    <mergeCell ref="E133:F133"/>
    <mergeCell ref="A133:B133"/>
    <mergeCell ref="A135:B135"/>
    <mergeCell ref="C138:D138"/>
    <mergeCell ref="D74:H74"/>
    <mergeCell ref="D65:H65"/>
    <mergeCell ref="G62:H62"/>
    <mergeCell ref="A56:B57"/>
    <mergeCell ref="C61:E61"/>
    <mergeCell ref="A252:H252"/>
    <mergeCell ref="A249:H249"/>
    <mergeCell ref="A205:B205"/>
    <mergeCell ref="D161:D162"/>
    <mergeCell ref="E161:E162"/>
    <mergeCell ref="A186:H186"/>
    <mergeCell ref="A214:B214"/>
    <mergeCell ref="B233:H233"/>
    <mergeCell ref="A223:B223"/>
    <mergeCell ref="A224:B224"/>
    <mergeCell ref="A227:B227"/>
    <mergeCell ref="A248:H248"/>
    <mergeCell ref="A187:B187"/>
    <mergeCell ref="A193:B193"/>
    <mergeCell ref="A175:H175"/>
    <mergeCell ref="B244:H244"/>
    <mergeCell ref="B243:H243"/>
    <mergeCell ref="A255:H258"/>
    <mergeCell ref="A254:B254"/>
    <mergeCell ref="E254:F254"/>
    <mergeCell ref="C254:D254"/>
    <mergeCell ref="G254:H254"/>
    <mergeCell ref="A132:H132"/>
    <mergeCell ref="A130:E130"/>
    <mergeCell ref="F130:H130"/>
    <mergeCell ref="A131:E131"/>
    <mergeCell ref="F131:H131"/>
    <mergeCell ref="A204:H204"/>
    <mergeCell ref="A139:B139"/>
    <mergeCell ref="A213:B213"/>
    <mergeCell ref="A134:B134"/>
    <mergeCell ref="A250:H250"/>
    <mergeCell ref="A137:H137"/>
    <mergeCell ref="A253:H253"/>
    <mergeCell ref="A251:H251"/>
    <mergeCell ref="A247:H247"/>
    <mergeCell ref="G138:H138"/>
    <mergeCell ref="B234:H234"/>
    <mergeCell ref="A219:B219"/>
    <mergeCell ref="A208:B208"/>
    <mergeCell ref="C143:D14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46:D46"/>
    <mergeCell ref="A47:D47"/>
    <mergeCell ref="D71:H71"/>
    <mergeCell ref="A44:D44"/>
    <mergeCell ref="E44:H44"/>
    <mergeCell ref="E45:H45"/>
    <mergeCell ref="E46:H46"/>
    <mergeCell ref="E47:H47"/>
    <mergeCell ref="C59:H59"/>
    <mergeCell ref="A48:H48"/>
    <mergeCell ref="D66:H66"/>
    <mergeCell ref="A66:C66"/>
    <mergeCell ref="A45:D45"/>
    <mergeCell ref="A49:B49"/>
    <mergeCell ref="C49:H49"/>
    <mergeCell ref="A67:C69"/>
    <mergeCell ref="D67:H67"/>
    <mergeCell ref="D68:H68"/>
    <mergeCell ref="C53:E53"/>
    <mergeCell ref="G53:H53"/>
    <mergeCell ref="G52:H52"/>
    <mergeCell ref="A63:H63"/>
    <mergeCell ref="A64:C64"/>
    <mergeCell ref="G61:H61"/>
    <mergeCell ref="A38:H38"/>
    <mergeCell ref="A37:B37"/>
    <mergeCell ref="C37:E37"/>
    <mergeCell ref="A42:D42"/>
    <mergeCell ref="E42:H42"/>
    <mergeCell ref="A41:H41"/>
    <mergeCell ref="A70:C70"/>
    <mergeCell ref="A71:C71"/>
    <mergeCell ref="D70:H70"/>
    <mergeCell ref="F37:H37"/>
    <mergeCell ref="C51:E51"/>
    <mergeCell ref="C50:E50"/>
    <mergeCell ref="G50:H50"/>
    <mergeCell ref="A51:B51"/>
    <mergeCell ref="G58:H58"/>
    <mergeCell ref="A60:B61"/>
    <mergeCell ref="C60:E60"/>
    <mergeCell ref="G60:H60"/>
    <mergeCell ref="G51:H51"/>
    <mergeCell ref="A52:B53"/>
    <mergeCell ref="A39:B39"/>
    <mergeCell ref="C39:H39"/>
    <mergeCell ref="A65:C65"/>
    <mergeCell ref="C56:E56"/>
    <mergeCell ref="A95:B95"/>
    <mergeCell ref="E143:F143"/>
    <mergeCell ref="A124:E124"/>
    <mergeCell ref="A142:B142"/>
    <mergeCell ref="E142:F142"/>
    <mergeCell ref="A129:E129"/>
    <mergeCell ref="G142:H142"/>
    <mergeCell ref="C135:D135"/>
    <mergeCell ref="E135:F135"/>
    <mergeCell ref="G135:H135"/>
    <mergeCell ref="A136:B136"/>
    <mergeCell ref="C136:D136"/>
    <mergeCell ref="C139:D139"/>
    <mergeCell ref="E139:F139"/>
    <mergeCell ref="G139:H139"/>
    <mergeCell ref="A138:B138"/>
    <mergeCell ref="A99:B99"/>
    <mergeCell ref="A101:B101"/>
    <mergeCell ref="F120:H120"/>
    <mergeCell ref="G134:H134"/>
    <mergeCell ref="A104:B104"/>
    <mergeCell ref="F126:H126"/>
    <mergeCell ref="C133:D133"/>
    <mergeCell ref="C142:D142"/>
    <mergeCell ref="A102:B102"/>
    <mergeCell ref="A103:B103"/>
    <mergeCell ref="A123:E123"/>
    <mergeCell ref="G146:G147"/>
    <mergeCell ref="A115:B115"/>
    <mergeCell ref="A119:E119"/>
    <mergeCell ref="F123:H123"/>
    <mergeCell ref="A114:B114"/>
    <mergeCell ref="E138:F138"/>
    <mergeCell ref="A144:H144"/>
    <mergeCell ref="A143:B143"/>
    <mergeCell ref="F119:H119"/>
    <mergeCell ref="F124:H124"/>
    <mergeCell ref="A118:B118"/>
    <mergeCell ref="C146:C147"/>
    <mergeCell ref="A40:B40"/>
    <mergeCell ref="C40:H40"/>
    <mergeCell ref="F146:F147"/>
    <mergeCell ref="C134:D134"/>
    <mergeCell ref="E134:F134"/>
    <mergeCell ref="B146:B147"/>
    <mergeCell ref="A146:A147"/>
    <mergeCell ref="C161:C162"/>
    <mergeCell ref="G161:G162"/>
    <mergeCell ref="G143:H143"/>
    <mergeCell ref="C57:H57"/>
    <mergeCell ref="A116:B116"/>
    <mergeCell ref="A117:B117"/>
    <mergeCell ref="A83:B83"/>
    <mergeCell ref="E81:F90"/>
    <mergeCell ref="A97:B97"/>
    <mergeCell ref="G95:H104"/>
    <mergeCell ref="A98:B98"/>
    <mergeCell ref="F121:H121"/>
    <mergeCell ref="A121:E121"/>
    <mergeCell ref="D146:D147"/>
    <mergeCell ref="G140:H140"/>
    <mergeCell ref="A93:B93"/>
    <mergeCell ref="A100:B100"/>
    <mergeCell ref="L204:M204"/>
    <mergeCell ref="A209:B209"/>
    <mergeCell ref="A206:B206"/>
    <mergeCell ref="A207:B207"/>
    <mergeCell ref="A217:B217"/>
    <mergeCell ref="B229:H229"/>
    <mergeCell ref="B230:H230"/>
    <mergeCell ref="B232:H232"/>
    <mergeCell ref="A211:B211"/>
    <mergeCell ref="B231:H231"/>
    <mergeCell ref="A110:B110"/>
    <mergeCell ref="A111:B111"/>
    <mergeCell ref="A112:B112"/>
    <mergeCell ref="A113:B113"/>
    <mergeCell ref="B237:H237"/>
    <mergeCell ref="B235:H235"/>
    <mergeCell ref="B239:H239"/>
    <mergeCell ref="A215:B215"/>
    <mergeCell ref="B236:H236"/>
    <mergeCell ref="A218:B218"/>
    <mergeCell ref="A226:B226"/>
    <mergeCell ref="A176:B176"/>
    <mergeCell ref="A190:B190"/>
    <mergeCell ref="A153:B153"/>
    <mergeCell ref="A177:B177"/>
    <mergeCell ref="A188:B188"/>
    <mergeCell ref="A161:A162"/>
    <mergeCell ref="F161:F162"/>
    <mergeCell ref="A156:B156"/>
    <mergeCell ref="A169:H169"/>
    <mergeCell ref="B241:H241"/>
    <mergeCell ref="A94:B94"/>
    <mergeCell ref="E94:F94"/>
    <mergeCell ref="E95:F104"/>
    <mergeCell ref="A105:B105"/>
    <mergeCell ref="C105:H105"/>
    <mergeCell ref="A107:B107"/>
    <mergeCell ref="C107:H107"/>
    <mergeCell ref="A108:B108"/>
    <mergeCell ref="E108:F108"/>
    <mergeCell ref="G108:H108"/>
    <mergeCell ref="E136:F136"/>
    <mergeCell ref="G136:H136"/>
    <mergeCell ref="A140:B140"/>
    <mergeCell ref="C140:D140"/>
    <mergeCell ref="E140:F140"/>
    <mergeCell ref="G94:H94"/>
    <mergeCell ref="A151:H151"/>
    <mergeCell ref="A149:H149"/>
    <mergeCell ref="A154:B154"/>
    <mergeCell ref="D177:G177"/>
    <mergeCell ref="A109:B109"/>
    <mergeCell ref="E109:F118"/>
    <mergeCell ref="G109:H118"/>
  </mergeCells>
  <phoneticPr fontId="30" type="noConversion"/>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6:E147">
      <formula1>"Attached Loft area,Attached Otla area,Attached Mezzanine area"</formula1>
    </dataValidation>
    <dataValidation type="list" allowBlank="1" showInputMessage="1" showErrorMessage="1" sqref="G254:H254">
      <formula1>"Kunal Kadam,Pranita Mhatre,Shruti Fule,Pooja Kawale,Gaurav Panchal,Shruti Tathare, Hitakshi Mhatre, Sachin Sawant"</formula1>
    </dataValidation>
    <dataValidation type="list" allowBlank="1" showInputMessage="1" showErrorMessage="1" sqref="F119:H119">
      <formula1>"On Saleable Area,On Builtup Area,On Carpet Area,On Plot Area"</formula1>
    </dataValidation>
    <dataValidation type="list" allowBlank="1" showInputMessage="1" showErrorMessage="1" sqref="F130:H130">
      <formula1>OFFSET($S$119,1,MATCH($G20,$S$119:$W$119,0)-1,15,1)</formula1>
    </dataValidation>
    <dataValidation type="list" allowBlank="1" showInputMessage="1" showErrorMessage="1" sqref="B146:B147">
      <formula1>"Shop No. (Sale Plan),Sale / Rehab,Sale / Mhada"</formula1>
    </dataValidation>
    <dataValidation type="list" allowBlank="1" showInputMessage="1" showErrorMessage="1" sqref="B161:B16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61:E162">
      <formula1>"Deck Area,Balcony Area,Chajja Area,Cornice Area,AP Area,WS Area"</formula1>
    </dataValidation>
    <dataValidation type="list" allowBlank="1" showInputMessage="1" showErrorMessage="1" sqref="H162 H147">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6 H161">
      <formula1>"Saleable area Loading :,Builder Saleable Area"</formula1>
    </dataValidation>
    <dataValidation type="list" allowBlank="1" showInputMessage="1" showErrorMessage="1" sqref="D146:D147">
      <formula1>"Carpet area,RERA Carpet area"</formula1>
    </dataValidation>
    <dataValidation type="list" allowBlank="1" showInputMessage="1" showErrorMessage="1" sqref="D161:D162">
      <formula1>"Carpet area + Utility Area,RERA Carpet area"</formula1>
    </dataValidation>
  </dataValidations>
  <hyperlinks>
    <hyperlink ref="C40" r:id="rId1"/>
    <hyperlink ref="J73"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4" manualBreakCount="4">
    <brk id="177" max="7" man="1"/>
    <brk id="258" max="16383" man="1"/>
    <brk id="301" max="16383" man="1"/>
    <brk id="344"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3" zoomScale="85" zoomScaleNormal="85" workbookViewId="0">
      <selection activeCell="G16" sqref="G16"/>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34" t="s">
        <v>103</v>
      </c>
      <c r="C3" s="234"/>
      <c r="D3" s="234"/>
      <c r="E3" s="234"/>
      <c r="F3" s="234"/>
      <c r="G3" s="234"/>
      <c r="H3" s="234"/>
    </row>
    <row r="4" spans="1:9" x14ac:dyDescent="0.25">
      <c r="A4" s="2"/>
      <c r="B4" s="3" t="s">
        <v>104</v>
      </c>
      <c r="C4" s="3" t="s">
        <v>105</v>
      </c>
      <c r="D4" s="3" t="s">
        <v>66</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8"/>
      <c r="C4" s="48" t="s">
        <v>11</v>
      </c>
      <c r="D4" s="49" t="s">
        <v>181</v>
      </c>
      <c r="E4" s="49" t="s">
        <v>191</v>
      </c>
      <c r="F4" s="49" t="s">
        <v>174</v>
      </c>
      <c r="G4" s="49" t="s">
        <v>196</v>
      </c>
      <c r="H4" s="49" t="s">
        <v>214</v>
      </c>
      <c r="J4" t="s">
        <v>196</v>
      </c>
      <c r="K4" t="s">
        <v>212</v>
      </c>
    </row>
    <row r="5" spans="2:11" x14ac:dyDescent="0.25">
      <c r="B5" s="48"/>
      <c r="C5" s="48"/>
      <c r="D5" s="49" t="s">
        <v>182</v>
      </c>
      <c r="E5" s="49" t="s">
        <v>189</v>
      </c>
      <c r="F5" s="49" t="s">
        <v>211</v>
      </c>
      <c r="G5" s="49" t="s">
        <v>197</v>
      </c>
      <c r="H5" s="49" t="s">
        <v>215</v>
      </c>
    </row>
    <row r="6" spans="2:11" x14ac:dyDescent="0.25">
      <c r="B6" s="48"/>
      <c r="C6" s="48"/>
      <c r="D6" s="49" t="s">
        <v>183</v>
      </c>
      <c r="E6" s="49" t="s">
        <v>190</v>
      </c>
      <c r="F6" s="49" t="s">
        <v>212</v>
      </c>
      <c r="G6" s="49" t="s">
        <v>198</v>
      </c>
      <c r="H6" s="49" t="s">
        <v>228</v>
      </c>
    </row>
    <row r="7" spans="2:11" x14ac:dyDescent="0.25">
      <c r="B7" s="48"/>
      <c r="C7" s="48"/>
      <c r="D7" s="49" t="s">
        <v>184</v>
      </c>
      <c r="E7" s="49" t="s">
        <v>192</v>
      </c>
      <c r="F7" s="49" t="s">
        <v>213</v>
      </c>
      <c r="G7" s="49" t="s">
        <v>199</v>
      </c>
      <c r="H7" s="49" t="s">
        <v>216</v>
      </c>
    </row>
    <row r="8" spans="2:11" x14ac:dyDescent="0.25">
      <c r="B8" s="48"/>
      <c r="C8" s="48"/>
      <c r="D8" s="49" t="s">
        <v>185</v>
      </c>
      <c r="E8" s="49" t="s">
        <v>193</v>
      </c>
      <c r="F8" s="49"/>
      <c r="G8" s="49" t="s">
        <v>200</v>
      </c>
      <c r="H8" s="49" t="s">
        <v>217</v>
      </c>
    </row>
    <row r="9" spans="2:11" x14ac:dyDescent="0.25">
      <c r="B9" s="48"/>
      <c r="C9" s="48"/>
      <c r="D9" s="49" t="s">
        <v>186</v>
      </c>
      <c r="E9" s="49" t="s">
        <v>191</v>
      </c>
      <c r="F9" s="49"/>
      <c r="G9" s="49" t="s">
        <v>201</v>
      </c>
      <c r="H9" s="49" t="s">
        <v>218</v>
      </c>
    </row>
    <row r="10" spans="2:11" x14ac:dyDescent="0.25">
      <c r="B10" s="48"/>
      <c r="C10" s="48"/>
      <c r="D10" s="49" t="s">
        <v>187</v>
      </c>
      <c r="E10" s="49" t="s">
        <v>194</v>
      </c>
      <c r="F10" s="49"/>
      <c r="G10" s="49" t="s">
        <v>202</v>
      </c>
      <c r="H10" s="49" t="s">
        <v>219</v>
      </c>
    </row>
    <row r="11" spans="2:11" x14ac:dyDescent="0.25">
      <c r="B11" s="48"/>
      <c r="C11" s="48"/>
      <c r="D11" s="49" t="s">
        <v>188</v>
      </c>
      <c r="E11" s="49" t="s">
        <v>195</v>
      </c>
      <c r="F11" s="49"/>
      <c r="G11" s="49" t="s">
        <v>203</v>
      </c>
      <c r="H11" s="49" t="s">
        <v>220</v>
      </c>
    </row>
    <row r="12" spans="2:11" x14ac:dyDescent="0.25">
      <c r="B12" s="48"/>
      <c r="C12" s="48"/>
      <c r="D12" s="49"/>
      <c r="E12" s="49"/>
      <c r="F12" s="49"/>
      <c r="G12" s="49" t="s">
        <v>204</v>
      </c>
      <c r="H12" s="49" t="s">
        <v>221</v>
      </c>
    </row>
    <row r="13" spans="2:11" x14ac:dyDescent="0.25">
      <c r="B13" s="48"/>
      <c r="C13" s="48"/>
      <c r="D13" s="49"/>
      <c r="E13" s="49"/>
      <c r="F13" s="49"/>
      <c r="G13" s="49" t="s">
        <v>205</v>
      </c>
      <c r="H13" s="49" t="s">
        <v>222</v>
      </c>
    </row>
    <row r="14" spans="2:11" x14ac:dyDescent="0.25">
      <c r="B14" s="48"/>
      <c r="C14" s="48"/>
      <c r="D14" s="49"/>
      <c r="E14" s="49"/>
      <c r="F14" s="49"/>
      <c r="G14" s="49" t="s">
        <v>206</v>
      </c>
      <c r="H14" s="49" t="s">
        <v>223</v>
      </c>
    </row>
    <row r="15" spans="2:11" x14ac:dyDescent="0.25">
      <c r="B15" s="48"/>
      <c r="C15" s="48"/>
      <c r="D15" s="49"/>
      <c r="E15" s="49"/>
      <c r="F15" s="49"/>
      <c r="G15" s="49" t="s">
        <v>207</v>
      </c>
      <c r="H15" s="49" t="s">
        <v>224</v>
      </c>
    </row>
    <row r="16" spans="2:11" x14ac:dyDescent="0.25">
      <c r="B16" s="48"/>
      <c r="C16" s="48"/>
      <c r="D16" s="49"/>
      <c r="E16" s="49"/>
      <c r="F16" s="49"/>
      <c r="G16" s="49" t="s">
        <v>208</v>
      </c>
      <c r="H16" s="49" t="s">
        <v>225</v>
      </c>
    </row>
    <row r="17" spans="2:8" x14ac:dyDescent="0.25">
      <c r="B17" s="48"/>
      <c r="C17" s="48"/>
      <c r="D17" s="49"/>
      <c r="E17" s="49"/>
      <c r="F17" s="49"/>
      <c r="G17" s="49" t="s">
        <v>209</v>
      </c>
      <c r="H17" s="49" t="s">
        <v>226</v>
      </c>
    </row>
    <row r="18" spans="2:8" x14ac:dyDescent="0.25">
      <c r="B18" s="48"/>
      <c r="C18" s="48"/>
      <c r="D18" s="49"/>
      <c r="E18" s="49"/>
      <c r="F18" s="49"/>
      <c r="G18" s="49" t="s">
        <v>210</v>
      </c>
      <c r="H18" s="49" t="s">
        <v>227</v>
      </c>
    </row>
    <row r="24" spans="2:8" x14ac:dyDescent="0.25">
      <c r="C24" t="s">
        <v>171</v>
      </c>
    </row>
    <row r="25" spans="2:8" x14ac:dyDescent="0.25">
      <c r="C25" t="s">
        <v>229</v>
      </c>
    </row>
    <row r="26" spans="2:8" x14ac:dyDescent="0.25">
      <c r="C26" t="s">
        <v>230</v>
      </c>
    </row>
    <row r="27" spans="2:8" x14ac:dyDescent="0.25">
      <c r="C27" t="s">
        <v>231</v>
      </c>
    </row>
    <row r="28" spans="2:8" x14ac:dyDescent="0.25">
      <c r="C28" t="s">
        <v>232</v>
      </c>
    </row>
    <row r="29" spans="2:8" x14ac:dyDescent="0.25">
      <c r="C29" t="s">
        <v>233</v>
      </c>
    </row>
    <row r="30" spans="2:8" x14ac:dyDescent="0.25">
      <c r="C30" t="s">
        <v>171</v>
      </c>
    </row>
    <row r="33" spans="3:11" x14ac:dyDescent="0.25">
      <c r="J33">
        <v>1</v>
      </c>
      <c r="K33">
        <v>2</v>
      </c>
    </row>
    <row r="34" spans="3:11" x14ac:dyDescent="0.25">
      <c r="C34" s="50" t="s">
        <v>238</v>
      </c>
      <c r="D34" s="49" t="s">
        <v>236</v>
      </c>
      <c r="E34" s="49" t="s">
        <v>241</v>
      </c>
      <c r="F34" s="49" t="s">
        <v>239</v>
      </c>
      <c r="G34" s="49" t="s">
        <v>240</v>
      </c>
      <c r="H34" s="49" t="s">
        <v>242</v>
      </c>
      <c r="J34" t="s">
        <v>196</v>
      </c>
      <c r="K34" t="s">
        <v>212</v>
      </c>
    </row>
    <row r="35" spans="3:11" x14ac:dyDescent="0.25">
      <c r="C35" s="48" t="s">
        <v>237</v>
      </c>
      <c r="D35" s="49" t="s">
        <v>172</v>
      </c>
      <c r="E35" s="49" t="s">
        <v>246</v>
      </c>
      <c r="F35" s="49" t="s">
        <v>248</v>
      </c>
      <c r="G35" s="49" t="s">
        <v>250</v>
      </c>
      <c r="H35" s="49"/>
    </row>
    <row r="36" spans="3:11" x14ac:dyDescent="0.25">
      <c r="C36" s="48"/>
      <c r="D36" s="49" t="s">
        <v>243</v>
      </c>
      <c r="E36" s="49" t="s">
        <v>247</v>
      </c>
      <c r="F36" s="49" t="s">
        <v>249</v>
      </c>
      <c r="G36" s="49" t="s">
        <v>251</v>
      </c>
      <c r="H36" s="49"/>
    </row>
    <row r="37" spans="3:11" x14ac:dyDescent="0.25">
      <c r="C37" s="48"/>
      <c r="D37" s="49" t="s">
        <v>244</v>
      </c>
      <c r="E37" s="49"/>
      <c r="F37" s="49"/>
      <c r="G37" s="49" t="s">
        <v>252</v>
      </c>
      <c r="H37" s="49"/>
    </row>
    <row r="38" spans="3:11" x14ac:dyDescent="0.25">
      <c r="C38" s="48"/>
      <c r="D38" s="49" t="s">
        <v>245</v>
      </c>
      <c r="E38" s="49"/>
      <c r="F38" s="49"/>
      <c r="G38" s="49" t="s">
        <v>252</v>
      </c>
      <c r="H38" s="49"/>
    </row>
    <row r="39" spans="3:11" x14ac:dyDescent="0.25">
      <c r="C39" s="48"/>
      <c r="D39" s="49"/>
      <c r="E39" s="49"/>
      <c r="F39" s="49"/>
      <c r="G39" s="49" t="s">
        <v>253</v>
      </c>
      <c r="H39" s="49"/>
    </row>
    <row r="40" spans="3:11" x14ac:dyDescent="0.25">
      <c r="C40" s="48"/>
      <c r="D40" s="49"/>
      <c r="E40" s="49"/>
      <c r="F40" s="49"/>
      <c r="G40" s="49" t="s">
        <v>254</v>
      </c>
      <c r="H40" s="49"/>
    </row>
    <row r="41" spans="3:11" x14ac:dyDescent="0.25">
      <c r="C41" s="48"/>
      <c r="D41" s="49"/>
      <c r="E41" s="49"/>
      <c r="F41" s="49"/>
      <c r="G41" s="49"/>
      <c r="H41" s="49"/>
    </row>
    <row r="43" spans="3:11" x14ac:dyDescent="0.25">
      <c r="C43" t="s">
        <v>255</v>
      </c>
    </row>
    <row r="44" spans="3:11" x14ac:dyDescent="0.25">
      <c r="C44" t="s">
        <v>174</v>
      </c>
      <c r="D44" t="s">
        <v>256</v>
      </c>
    </row>
    <row r="45" spans="3:11" x14ac:dyDescent="0.25">
      <c r="D45" t="s">
        <v>257</v>
      </c>
    </row>
    <row r="46" spans="3:11" x14ac:dyDescent="0.25">
      <c r="D46" t="s">
        <v>258</v>
      </c>
    </row>
    <row r="47" spans="3:11" x14ac:dyDescent="0.25">
      <c r="D47" t="s">
        <v>259</v>
      </c>
    </row>
    <row r="48" spans="3:11" x14ac:dyDescent="0.25">
      <c r="D48" t="s">
        <v>260</v>
      </c>
    </row>
    <row r="49" spans="3:4" x14ac:dyDescent="0.25">
      <c r="C49" t="s">
        <v>181</v>
      </c>
      <c r="D49" t="s">
        <v>261</v>
      </c>
    </row>
    <row r="50" spans="3:4" x14ac:dyDescent="0.25">
      <c r="D50" t="s">
        <v>262</v>
      </c>
    </row>
    <row r="51" spans="3:4" x14ac:dyDescent="0.25">
      <c r="D51" t="s">
        <v>263</v>
      </c>
    </row>
    <row r="52" spans="3:4" x14ac:dyDescent="0.25">
      <c r="D52" t="s">
        <v>266</v>
      </c>
    </row>
    <row r="53" spans="3:4" x14ac:dyDescent="0.25">
      <c r="D53" t="s">
        <v>264</v>
      </c>
    </row>
    <row r="54" spans="3:4" x14ac:dyDescent="0.25">
      <c r="D54" t="s">
        <v>265</v>
      </c>
    </row>
    <row r="55" spans="3:4" x14ac:dyDescent="0.25">
      <c r="D55" t="s">
        <v>267</v>
      </c>
    </row>
    <row r="56" spans="3:4" x14ac:dyDescent="0.25">
      <c r="D56" t="s">
        <v>268</v>
      </c>
    </row>
    <row r="57" spans="3:4" x14ac:dyDescent="0.25">
      <c r="D57" t="s">
        <v>269</v>
      </c>
    </row>
    <row r="58" spans="3:4" x14ac:dyDescent="0.25">
      <c r="D58" t="s">
        <v>271</v>
      </c>
    </row>
    <row r="59" spans="3:4" x14ac:dyDescent="0.25">
      <c r="D59" t="s">
        <v>280</v>
      </c>
    </row>
    <row r="60" spans="3:4" x14ac:dyDescent="0.25">
      <c r="C60" t="s">
        <v>196</v>
      </c>
      <c r="D60" t="s">
        <v>272</v>
      </c>
    </row>
    <row r="61" spans="3:4" x14ac:dyDescent="0.25">
      <c r="D61" t="s">
        <v>270</v>
      </c>
    </row>
    <row r="62" spans="3:4" x14ac:dyDescent="0.25">
      <c r="D62" t="s">
        <v>260</v>
      </c>
    </row>
    <row r="63" spans="3:4" x14ac:dyDescent="0.25">
      <c r="D63" t="s">
        <v>273</v>
      </c>
    </row>
    <row r="64" spans="3:4" x14ac:dyDescent="0.25">
      <c r="D64" t="s">
        <v>274</v>
      </c>
    </row>
    <row r="65" spans="3:4" x14ac:dyDescent="0.25">
      <c r="D65" t="s">
        <v>275</v>
      </c>
    </row>
    <row r="66" spans="3:4" x14ac:dyDescent="0.25">
      <c r="D66" t="s">
        <v>276</v>
      </c>
    </row>
    <row r="67" spans="3:4" x14ac:dyDescent="0.25">
      <c r="C67" t="s">
        <v>191</v>
      </c>
      <c r="D67" t="s">
        <v>277</v>
      </c>
    </row>
    <row r="68" spans="3:4" x14ac:dyDescent="0.25">
      <c r="D68" t="s">
        <v>278</v>
      </c>
    </row>
    <row r="69" spans="3:4" x14ac:dyDescent="0.25">
      <c r="D69" t="s">
        <v>279</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sqref="A1:XFD1048576"/>
    </sheetView>
  </sheetViews>
  <sheetFormatPr defaultRowHeight="15" x14ac:dyDescent="0.25"/>
  <cols>
    <col min="2" max="2" width="3" bestFit="1" customWidth="1"/>
    <col min="3" max="3" width="155.28515625" customWidth="1"/>
  </cols>
  <sheetData>
    <row r="2" spans="2:3" ht="15" customHeight="1" x14ac:dyDescent="0.25">
      <c r="B2" s="51">
        <v>1</v>
      </c>
      <c r="C2" s="53" t="s">
        <v>285</v>
      </c>
    </row>
    <row r="3" spans="2:3" x14ac:dyDescent="0.25">
      <c r="B3" s="51">
        <v>2</v>
      </c>
      <c r="C3" s="52" t="s">
        <v>286</v>
      </c>
    </row>
    <row r="4" spans="2:3" x14ac:dyDescent="0.25">
      <c r="B4" s="51">
        <v>3</v>
      </c>
      <c r="C4" s="51" t="s">
        <v>287</v>
      </c>
    </row>
    <row r="5" spans="2:3" x14ac:dyDescent="0.25">
      <c r="B5" s="51">
        <v>4</v>
      </c>
      <c r="C5" s="52" t="s">
        <v>288</v>
      </c>
    </row>
    <row r="6" spans="2:3" x14ac:dyDescent="0.25">
      <c r="B6" s="51">
        <v>5</v>
      </c>
      <c r="C6" s="51" t="s">
        <v>289</v>
      </c>
    </row>
    <row r="7" spans="2:3" ht="30" x14ac:dyDescent="0.25">
      <c r="B7" s="51">
        <v>6</v>
      </c>
      <c r="C7" s="52" t="s">
        <v>290</v>
      </c>
    </row>
    <row r="8" spans="2:3" ht="75" x14ac:dyDescent="0.25">
      <c r="B8" s="51">
        <v>7</v>
      </c>
      <c r="C8" s="52" t="s">
        <v>291</v>
      </c>
    </row>
    <row r="9" spans="2:3" x14ac:dyDescent="0.25">
      <c r="B9" s="51">
        <v>8</v>
      </c>
      <c r="C9" s="51" t="s">
        <v>292</v>
      </c>
    </row>
    <row r="10" spans="2:3" x14ac:dyDescent="0.25">
      <c r="B10" s="51">
        <v>9</v>
      </c>
      <c r="C10" s="51" t="s">
        <v>293</v>
      </c>
    </row>
    <row r="11" spans="2:3" x14ac:dyDescent="0.25">
      <c r="B11" s="51">
        <v>10</v>
      </c>
      <c r="C11" s="51" t="s">
        <v>294</v>
      </c>
    </row>
    <row r="12" spans="2:3" x14ac:dyDescent="0.25">
      <c r="B12" s="51">
        <v>11</v>
      </c>
      <c r="C12" s="51" t="s">
        <v>295</v>
      </c>
    </row>
    <row r="13" spans="2:3" x14ac:dyDescent="0.25">
      <c r="B13" s="51">
        <v>12</v>
      </c>
      <c r="C13" s="51" t="s">
        <v>296</v>
      </c>
    </row>
    <row r="14" spans="2:3" x14ac:dyDescent="0.25">
      <c r="B14" s="51">
        <v>13</v>
      </c>
      <c r="C14" s="51" t="s">
        <v>297</v>
      </c>
    </row>
    <row r="15" spans="2:3" x14ac:dyDescent="0.25">
      <c r="B15" s="51">
        <v>14</v>
      </c>
      <c r="C15" s="51" t="s">
        <v>287</v>
      </c>
    </row>
    <row r="16" spans="2:3" x14ac:dyDescent="0.25">
      <c r="B16" s="51">
        <v>15</v>
      </c>
      <c r="C16" s="51" t="s">
        <v>299</v>
      </c>
    </row>
    <row r="17" spans="2:3" x14ac:dyDescent="0.25">
      <c r="B17" s="69">
        <v>16</v>
      </c>
      <c r="C17" s="56" t="s">
        <v>300</v>
      </c>
    </row>
    <row r="18" spans="2:3" x14ac:dyDescent="0.25">
      <c r="B18" s="55">
        <v>17</v>
      </c>
      <c r="C18" s="56" t="s">
        <v>301</v>
      </c>
    </row>
    <row r="19" spans="2:3" x14ac:dyDescent="0.25">
      <c r="B19" s="54">
        <v>18</v>
      </c>
      <c r="C19" s="51" t="s">
        <v>302</v>
      </c>
    </row>
    <row r="20" spans="2:3" x14ac:dyDescent="0.25">
      <c r="B20" s="55">
        <v>19</v>
      </c>
      <c r="C20" s="51" t="s">
        <v>338</v>
      </c>
    </row>
    <row r="21" spans="2:3" x14ac:dyDescent="0.25">
      <c r="B21" s="51">
        <v>20</v>
      </c>
      <c r="C21" s="51" t="s">
        <v>303</v>
      </c>
    </row>
    <row r="22" spans="2:3" x14ac:dyDescent="0.25">
      <c r="B22" s="55">
        <v>21</v>
      </c>
      <c r="C22" s="51" t="s">
        <v>302</v>
      </c>
    </row>
    <row r="23" spans="2:3" s="64" customFormat="1" ht="29.25" customHeight="1" x14ac:dyDescent="0.25">
      <c r="B23" s="63">
        <v>22</v>
      </c>
      <c r="C23" s="53" t="s">
        <v>330</v>
      </c>
    </row>
    <row r="24" spans="2:3" s="64" customFormat="1" ht="30.75" customHeight="1" x14ac:dyDescent="0.25">
      <c r="B24" s="65">
        <v>23</v>
      </c>
      <c r="C24" s="53" t="s">
        <v>331</v>
      </c>
    </row>
    <row r="25" spans="2:3" x14ac:dyDescent="0.25">
      <c r="B25" s="51">
        <v>24</v>
      </c>
      <c r="C25" s="51" t="s">
        <v>334</v>
      </c>
    </row>
    <row r="26" spans="2:3" x14ac:dyDescent="0.25">
      <c r="B26" s="55">
        <v>25</v>
      </c>
      <c r="C26" s="51" t="s">
        <v>332</v>
      </c>
    </row>
    <row r="27" spans="2:3" x14ac:dyDescent="0.25">
      <c r="B27" s="65">
        <v>26</v>
      </c>
      <c r="C27" s="51" t="s">
        <v>333</v>
      </c>
    </row>
    <row r="28" spans="2:3" x14ac:dyDescent="0.25">
      <c r="B28" s="55">
        <v>27</v>
      </c>
      <c r="C28" s="51" t="s">
        <v>335</v>
      </c>
    </row>
    <row r="29" spans="2:3" ht="60" x14ac:dyDescent="0.25">
      <c r="B29" s="68">
        <v>28</v>
      </c>
      <c r="C29" s="52" t="s">
        <v>336</v>
      </c>
    </row>
    <row r="30" spans="2:3" x14ac:dyDescent="0.25">
      <c r="B30" s="65">
        <v>29</v>
      </c>
      <c r="C30" s="51" t="s">
        <v>337</v>
      </c>
    </row>
    <row r="31" spans="2:3" ht="30" x14ac:dyDescent="0.25">
      <c r="B31" s="65">
        <v>30</v>
      </c>
      <c r="C31" s="52" t="s">
        <v>339</v>
      </c>
    </row>
    <row r="32" spans="2:3" x14ac:dyDescent="0.25">
      <c r="B32" s="65">
        <v>31</v>
      </c>
      <c r="C32" s="51" t="s">
        <v>340</v>
      </c>
    </row>
    <row r="33" spans="2:3" x14ac:dyDescent="0.25">
      <c r="B33" s="65">
        <v>32</v>
      </c>
      <c r="C33" s="51" t="s">
        <v>341</v>
      </c>
    </row>
    <row r="34" spans="2:3" ht="36.75" customHeight="1" x14ac:dyDescent="0.25">
      <c r="B34" s="65">
        <v>33</v>
      </c>
      <c r="C34" s="56" t="s">
        <v>342</v>
      </c>
    </row>
    <row r="35" spans="2:3" x14ac:dyDescent="0.25">
      <c r="B35" s="63">
        <v>34</v>
      </c>
      <c r="C35" s="51" t="s">
        <v>351</v>
      </c>
    </row>
    <row r="36" spans="2:3" ht="60" x14ac:dyDescent="0.25">
      <c r="B36" s="63">
        <v>35</v>
      </c>
      <c r="C36" s="52" t="s">
        <v>354</v>
      </c>
    </row>
    <row r="37" spans="2:3" x14ac:dyDescent="0.25">
      <c r="B37" s="51"/>
      <c r="C37" s="51"/>
    </row>
    <row r="38" spans="2:3" x14ac:dyDescent="0.25">
      <c r="B38" s="51"/>
      <c r="C38" s="51"/>
    </row>
    <row r="39" spans="2:3" x14ac:dyDescent="0.25">
      <c r="B39" s="51"/>
      <c r="C39" s="51"/>
    </row>
    <row r="40" spans="2:3" x14ac:dyDescent="0.25">
      <c r="B40" s="51"/>
      <c r="C40" s="51"/>
    </row>
    <row r="41" spans="2:3" x14ac:dyDescent="0.25">
      <c r="B41" s="51"/>
      <c r="C41" s="51"/>
    </row>
    <row r="42" spans="2:3" x14ac:dyDescent="0.25">
      <c r="B42" s="51"/>
      <c r="C42" s="51"/>
    </row>
    <row r="43" spans="2:3" x14ac:dyDescent="0.25">
      <c r="B43" s="51"/>
      <c r="C43" s="51"/>
    </row>
    <row r="44" spans="2:3" x14ac:dyDescent="0.25">
      <c r="B44" s="51"/>
      <c r="C44" s="51"/>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88"/>
  <sheetViews>
    <sheetView topLeftCell="A37" workbookViewId="0">
      <selection activeCell="B44" sqref="B44"/>
    </sheetView>
  </sheetViews>
  <sheetFormatPr defaultColWidth="9.140625" defaultRowHeight="15" x14ac:dyDescent="0.25"/>
  <cols>
    <col min="1" max="1" width="9.140625" style="48"/>
    <col min="2" max="2" width="12.28515625" style="48" customWidth="1"/>
    <col min="3" max="16384" width="9.140625" style="48"/>
  </cols>
  <sheetData>
    <row r="2" spans="1:12" x14ac:dyDescent="0.25">
      <c r="B2" s="57" t="s">
        <v>304</v>
      </c>
      <c r="C2" s="238" t="s">
        <v>448</v>
      </c>
      <c r="D2" s="238"/>
    </row>
    <row r="3" spans="1:12" x14ac:dyDescent="0.25">
      <c r="D3" s="58"/>
      <c r="E3" s="58"/>
      <c r="F3" s="58"/>
      <c r="G3" s="58"/>
      <c r="H3" s="58"/>
      <c r="I3" s="58"/>
    </row>
    <row r="4" spans="1:12" x14ac:dyDescent="0.25">
      <c r="A4" s="57" t="s">
        <v>66</v>
      </c>
      <c r="B4" s="59" t="s">
        <v>305</v>
      </c>
      <c r="C4" s="235" t="s">
        <v>306</v>
      </c>
      <c r="D4" s="235"/>
      <c r="E4" s="235"/>
      <c r="F4" s="59"/>
      <c r="G4" s="236" t="s">
        <v>307</v>
      </c>
      <c r="H4" s="236"/>
      <c r="I4" s="236"/>
      <c r="J4" s="237" t="s">
        <v>308</v>
      </c>
      <c r="K4" s="237"/>
      <c r="L4" s="237"/>
    </row>
    <row r="5" spans="1:12" x14ac:dyDescent="0.25">
      <c r="A5" s="57" t="s">
        <v>449</v>
      </c>
      <c r="B5" s="59"/>
      <c r="C5" s="59" t="s">
        <v>309</v>
      </c>
      <c r="D5" s="59" t="s">
        <v>310</v>
      </c>
      <c r="E5" s="59" t="s">
        <v>311</v>
      </c>
      <c r="F5" s="59"/>
      <c r="G5" s="59" t="s">
        <v>309</v>
      </c>
      <c r="H5" s="59" t="s">
        <v>310</v>
      </c>
      <c r="I5" s="59" t="s">
        <v>311</v>
      </c>
      <c r="J5" s="59" t="s">
        <v>309</v>
      </c>
      <c r="K5" s="59" t="s">
        <v>310</v>
      </c>
      <c r="L5" s="59" t="s">
        <v>311</v>
      </c>
    </row>
    <row r="6" spans="1:12" x14ac:dyDescent="0.25">
      <c r="B6" s="49" t="s">
        <v>450</v>
      </c>
      <c r="C6" s="49">
        <v>2.14</v>
      </c>
      <c r="D6" s="49">
        <v>6.24</v>
      </c>
      <c r="E6" s="49">
        <f>C6*D6</f>
        <v>13.353600000000002</v>
      </c>
      <c r="F6" s="49" t="s">
        <v>457</v>
      </c>
      <c r="G6" s="49">
        <v>8.6</v>
      </c>
      <c r="H6" s="49">
        <v>2.14</v>
      </c>
      <c r="I6" s="49">
        <f>G6*H6</f>
        <v>18.404</v>
      </c>
      <c r="J6" s="49"/>
      <c r="K6" s="49"/>
      <c r="L6" s="49">
        <f>J6*K6</f>
        <v>0</v>
      </c>
    </row>
    <row r="7" spans="1:12" x14ac:dyDescent="0.25">
      <c r="B7" s="49" t="s">
        <v>312</v>
      </c>
      <c r="C7" s="49">
        <v>6.11</v>
      </c>
      <c r="D7" s="49">
        <v>6.56</v>
      </c>
      <c r="E7" s="49">
        <f t="shared" ref="E7:E41" si="0">C7*D7</f>
        <v>40.081600000000002</v>
      </c>
      <c r="F7" s="49"/>
      <c r="G7" s="49">
        <v>7.37</v>
      </c>
      <c r="H7" s="49">
        <v>0.3</v>
      </c>
      <c r="I7" s="49">
        <f t="shared" ref="I7:I41" si="1">G7*H7</f>
        <v>2.2109999999999999</v>
      </c>
      <c r="J7" s="49"/>
      <c r="K7" s="49"/>
      <c r="L7" s="49">
        <f t="shared" ref="L7:L41" si="2">J7*K7</f>
        <v>0</v>
      </c>
    </row>
    <row r="8" spans="1:12" x14ac:dyDescent="0.25">
      <c r="B8" s="49"/>
      <c r="C8" s="49">
        <v>7.34</v>
      </c>
      <c r="D8" s="49">
        <v>0.45</v>
      </c>
      <c r="E8" s="49">
        <f t="shared" si="0"/>
        <v>3.3029999999999999</v>
      </c>
      <c r="F8" s="49"/>
      <c r="G8" s="49"/>
      <c r="H8" s="49"/>
      <c r="I8" s="49">
        <f t="shared" si="1"/>
        <v>0</v>
      </c>
      <c r="J8" s="49"/>
      <c r="K8" s="49"/>
      <c r="L8" s="49">
        <f t="shared" si="2"/>
        <v>0</v>
      </c>
    </row>
    <row r="9" spans="1:12" x14ac:dyDescent="0.25">
      <c r="B9" s="49" t="s">
        <v>451</v>
      </c>
      <c r="C9" s="49">
        <v>3.37</v>
      </c>
      <c r="D9" s="49">
        <v>1.95</v>
      </c>
      <c r="E9" s="49">
        <f t="shared" si="0"/>
        <v>6.5715000000000003</v>
      </c>
      <c r="F9" s="49" t="s">
        <v>313</v>
      </c>
      <c r="G9" s="49"/>
      <c r="H9" s="49"/>
      <c r="I9" s="49">
        <f t="shared" si="1"/>
        <v>0</v>
      </c>
      <c r="J9" s="49"/>
      <c r="K9" s="49"/>
      <c r="L9" s="49">
        <f t="shared" si="2"/>
        <v>0</v>
      </c>
    </row>
    <row r="10" spans="1:12" x14ac:dyDescent="0.25">
      <c r="B10" s="49" t="s">
        <v>314</v>
      </c>
      <c r="C10" s="49">
        <v>3.61</v>
      </c>
      <c r="D10" s="49">
        <v>4.57</v>
      </c>
      <c r="E10" s="49">
        <f t="shared" si="0"/>
        <v>16.497700000000002</v>
      </c>
      <c r="F10" s="49" t="s">
        <v>313</v>
      </c>
      <c r="G10" s="49"/>
      <c r="H10" s="49"/>
      <c r="I10" s="49">
        <f t="shared" si="1"/>
        <v>0</v>
      </c>
      <c r="J10" s="49"/>
      <c r="K10" s="49"/>
      <c r="L10" s="49">
        <f t="shared" si="2"/>
        <v>0</v>
      </c>
    </row>
    <row r="11" spans="1:12" x14ac:dyDescent="0.25">
      <c r="B11" s="49"/>
      <c r="C11" s="49">
        <v>0.3</v>
      </c>
      <c r="D11" s="49">
        <v>3.5</v>
      </c>
      <c r="E11" s="49">
        <f t="shared" si="0"/>
        <v>1.05</v>
      </c>
      <c r="F11" s="49" t="s">
        <v>315</v>
      </c>
      <c r="G11" s="49"/>
      <c r="H11" s="49"/>
      <c r="I11" s="49">
        <f t="shared" si="1"/>
        <v>0</v>
      </c>
      <c r="J11" s="49"/>
      <c r="K11" s="49"/>
      <c r="L11" s="49">
        <f t="shared" si="2"/>
        <v>0</v>
      </c>
    </row>
    <row r="12" spans="1:12" x14ac:dyDescent="0.25">
      <c r="B12" s="49" t="s">
        <v>452</v>
      </c>
      <c r="C12" s="49">
        <v>3.61</v>
      </c>
      <c r="D12" s="49">
        <v>5.34</v>
      </c>
      <c r="E12" s="49">
        <f t="shared" si="0"/>
        <v>19.2774</v>
      </c>
      <c r="F12" s="49"/>
      <c r="G12" s="49"/>
      <c r="H12" s="49"/>
      <c r="I12" s="49">
        <f t="shared" si="1"/>
        <v>0</v>
      </c>
      <c r="J12" s="49"/>
      <c r="K12" s="49"/>
      <c r="L12" s="49">
        <f t="shared" si="2"/>
        <v>0</v>
      </c>
    </row>
    <row r="13" spans="1:12" x14ac:dyDescent="0.25">
      <c r="B13" s="49" t="s">
        <v>316</v>
      </c>
      <c r="C13" s="49">
        <v>3.66</v>
      </c>
      <c r="D13" s="49">
        <v>6.09</v>
      </c>
      <c r="E13" s="49">
        <f t="shared" si="0"/>
        <v>22.289400000000001</v>
      </c>
      <c r="F13" s="49"/>
      <c r="G13" s="49"/>
      <c r="H13" s="49"/>
      <c r="I13" s="49">
        <f t="shared" si="1"/>
        <v>0</v>
      </c>
      <c r="J13" s="49"/>
      <c r="K13" s="49"/>
      <c r="L13" s="49">
        <f t="shared" si="2"/>
        <v>0</v>
      </c>
    </row>
    <row r="14" spans="1:12" x14ac:dyDescent="0.25">
      <c r="B14" s="49" t="s">
        <v>317</v>
      </c>
      <c r="C14" s="49">
        <v>3.96</v>
      </c>
      <c r="D14" s="49">
        <v>4.01</v>
      </c>
      <c r="E14" s="49">
        <f t="shared" si="0"/>
        <v>15.879599999999998</v>
      </c>
      <c r="F14" s="49" t="s">
        <v>313</v>
      </c>
      <c r="G14" s="49"/>
      <c r="H14" s="49"/>
      <c r="I14" s="49">
        <f t="shared" si="1"/>
        <v>0</v>
      </c>
      <c r="J14" s="49"/>
      <c r="K14" s="49"/>
      <c r="L14" s="49">
        <f t="shared" si="2"/>
        <v>0</v>
      </c>
    </row>
    <row r="15" spans="1:12" x14ac:dyDescent="0.25">
      <c r="B15" s="49"/>
      <c r="C15" s="49">
        <v>3.31</v>
      </c>
      <c r="D15" s="49">
        <v>0.15</v>
      </c>
      <c r="E15" s="49">
        <f t="shared" si="0"/>
        <v>0.4965</v>
      </c>
      <c r="F15" s="49" t="s">
        <v>315</v>
      </c>
      <c r="G15" s="49"/>
      <c r="H15" s="49"/>
      <c r="I15" s="49">
        <f t="shared" si="1"/>
        <v>0</v>
      </c>
      <c r="J15" s="49"/>
      <c r="K15" s="49"/>
      <c r="L15" s="49">
        <f t="shared" si="2"/>
        <v>0</v>
      </c>
    </row>
    <row r="16" spans="1:12" x14ac:dyDescent="0.25">
      <c r="B16" s="49"/>
      <c r="C16" s="49">
        <v>1.07</v>
      </c>
      <c r="D16" s="49">
        <v>1.93</v>
      </c>
      <c r="E16" s="49">
        <f t="shared" si="0"/>
        <v>2.0651000000000002</v>
      </c>
      <c r="F16" s="49"/>
      <c r="G16" s="49"/>
      <c r="H16" s="49"/>
      <c r="I16" s="49">
        <f t="shared" si="1"/>
        <v>0</v>
      </c>
      <c r="J16" s="49"/>
      <c r="K16" s="49"/>
      <c r="L16" s="49">
        <f t="shared" si="2"/>
        <v>0</v>
      </c>
    </row>
    <row r="17" spans="2:12" x14ac:dyDescent="0.25">
      <c r="B17" s="49" t="s">
        <v>318</v>
      </c>
      <c r="C17" s="49">
        <v>3.96</v>
      </c>
      <c r="D17" s="49">
        <v>5.54</v>
      </c>
      <c r="E17" s="49">
        <f t="shared" si="0"/>
        <v>21.938400000000001</v>
      </c>
      <c r="F17" s="49"/>
      <c r="G17" s="49"/>
      <c r="H17" s="49"/>
      <c r="I17" s="49">
        <f t="shared" si="1"/>
        <v>0</v>
      </c>
      <c r="J17" s="49"/>
      <c r="K17" s="49"/>
      <c r="L17" s="49">
        <f t="shared" si="2"/>
        <v>0</v>
      </c>
    </row>
    <row r="18" spans="2:12" x14ac:dyDescent="0.25">
      <c r="B18" s="49"/>
      <c r="C18" s="49">
        <v>1.07</v>
      </c>
      <c r="D18" s="49">
        <v>2.54</v>
      </c>
      <c r="E18" s="49">
        <f t="shared" si="0"/>
        <v>2.7178</v>
      </c>
      <c r="F18" s="49" t="s">
        <v>313</v>
      </c>
      <c r="G18" s="49"/>
      <c r="H18" s="49"/>
      <c r="I18" s="49">
        <f t="shared" si="1"/>
        <v>0</v>
      </c>
      <c r="J18" s="49"/>
      <c r="K18" s="49"/>
      <c r="L18" s="49">
        <f t="shared" si="2"/>
        <v>0</v>
      </c>
    </row>
    <row r="19" spans="2:12" x14ac:dyDescent="0.25">
      <c r="B19" s="49" t="s">
        <v>319</v>
      </c>
      <c r="C19" s="49">
        <v>3.66</v>
      </c>
      <c r="D19" s="49">
        <v>5.39</v>
      </c>
      <c r="E19" s="49">
        <f t="shared" si="0"/>
        <v>19.727399999999999</v>
      </c>
      <c r="F19" s="49" t="s">
        <v>315</v>
      </c>
      <c r="G19" s="49"/>
      <c r="H19" s="49"/>
      <c r="I19" s="49">
        <f t="shared" si="1"/>
        <v>0</v>
      </c>
      <c r="J19" s="49"/>
      <c r="K19" s="49"/>
      <c r="L19" s="49">
        <f t="shared" si="2"/>
        <v>0</v>
      </c>
    </row>
    <row r="20" spans="2:12" x14ac:dyDescent="0.25">
      <c r="B20" s="49"/>
      <c r="C20" s="49">
        <v>1.2</v>
      </c>
      <c r="D20" s="49">
        <v>0.92</v>
      </c>
      <c r="E20" s="49">
        <f t="shared" si="0"/>
        <v>1.1040000000000001</v>
      </c>
      <c r="F20" s="49"/>
      <c r="G20" s="49"/>
      <c r="H20" s="49"/>
      <c r="I20" s="49">
        <f t="shared" si="1"/>
        <v>0</v>
      </c>
      <c r="J20" s="49"/>
      <c r="K20" s="49"/>
      <c r="L20" s="49">
        <f t="shared" si="2"/>
        <v>0</v>
      </c>
    </row>
    <row r="21" spans="2:12" x14ac:dyDescent="0.25">
      <c r="B21" s="49"/>
      <c r="C21" s="49"/>
      <c r="D21" s="49"/>
      <c r="E21" s="49">
        <f t="shared" si="0"/>
        <v>0</v>
      </c>
      <c r="F21" s="49" t="s">
        <v>313</v>
      </c>
      <c r="G21" s="49"/>
      <c r="H21" s="49"/>
      <c r="I21" s="49">
        <f t="shared" si="1"/>
        <v>0</v>
      </c>
      <c r="J21" s="49"/>
      <c r="K21" s="49"/>
      <c r="L21" s="49">
        <f t="shared" si="2"/>
        <v>0</v>
      </c>
    </row>
    <row r="22" spans="2:12" x14ac:dyDescent="0.25">
      <c r="B22" s="49" t="s">
        <v>453</v>
      </c>
      <c r="C22" s="49">
        <v>1.83</v>
      </c>
      <c r="D22" s="49">
        <v>3.2</v>
      </c>
      <c r="E22" s="49">
        <f t="shared" si="0"/>
        <v>5.8560000000000008</v>
      </c>
      <c r="F22" s="49" t="s">
        <v>315</v>
      </c>
      <c r="G22" s="49"/>
      <c r="H22" s="49"/>
      <c r="I22" s="49">
        <f t="shared" si="1"/>
        <v>0</v>
      </c>
      <c r="J22" s="49"/>
      <c r="K22" s="49"/>
      <c r="L22" s="49">
        <f t="shared" si="2"/>
        <v>0</v>
      </c>
    </row>
    <row r="23" spans="2:12" x14ac:dyDescent="0.25">
      <c r="B23" s="49"/>
      <c r="C23" s="49">
        <v>1.28</v>
      </c>
      <c r="D23" s="49">
        <v>0.15</v>
      </c>
      <c r="E23" s="49">
        <f t="shared" si="0"/>
        <v>0.192</v>
      </c>
      <c r="F23" s="49"/>
      <c r="G23" s="49"/>
      <c r="H23" s="49"/>
      <c r="I23" s="49">
        <f t="shared" si="1"/>
        <v>0</v>
      </c>
      <c r="J23" s="49"/>
      <c r="K23" s="49"/>
      <c r="L23" s="49">
        <f t="shared" si="2"/>
        <v>0</v>
      </c>
    </row>
    <row r="24" spans="2:12" x14ac:dyDescent="0.25">
      <c r="B24" s="49"/>
      <c r="C24" s="49">
        <v>1.93</v>
      </c>
      <c r="D24" s="49">
        <v>2.64</v>
      </c>
      <c r="E24" s="49">
        <f t="shared" si="0"/>
        <v>5.0952000000000002</v>
      </c>
      <c r="F24" s="49" t="s">
        <v>320</v>
      </c>
      <c r="G24" s="49"/>
      <c r="H24" s="49"/>
      <c r="I24" s="49">
        <f t="shared" si="1"/>
        <v>0</v>
      </c>
      <c r="J24" s="49"/>
      <c r="K24" s="49"/>
      <c r="L24" s="49">
        <f t="shared" si="2"/>
        <v>0</v>
      </c>
    </row>
    <row r="25" spans="2:12" x14ac:dyDescent="0.25">
      <c r="B25" s="49" t="s">
        <v>321</v>
      </c>
      <c r="C25" s="49">
        <v>2.75</v>
      </c>
      <c r="D25" s="49">
        <v>1.58</v>
      </c>
      <c r="E25" s="49">
        <f>C25*D25</f>
        <v>4.3450000000000006</v>
      </c>
      <c r="F25" s="49" t="s">
        <v>320</v>
      </c>
      <c r="G25" s="49"/>
      <c r="H25" s="49"/>
      <c r="I25" s="49">
        <f>G25*H25</f>
        <v>0</v>
      </c>
      <c r="J25" s="49"/>
      <c r="K25" s="49"/>
      <c r="L25" s="49">
        <f>J25*K25</f>
        <v>0</v>
      </c>
    </row>
    <row r="26" spans="2:12" x14ac:dyDescent="0.25">
      <c r="B26" s="49" t="s">
        <v>322</v>
      </c>
      <c r="C26" s="49">
        <v>2.75</v>
      </c>
      <c r="D26" s="49">
        <v>2.19</v>
      </c>
      <c r="E26" s="49">
        <f>C26*D26</f>
        <v>6.0225</v>
      </c>
      <c r="F26" s="49" t="s">
        <v>320</v>
      </c>
      <c r="G26" s="49"/>
      <c r="H26" s="49"/>
      <c r="I26" s="49">
        <f>G26*H26</f>
        <v>0</v>
      </c>
      <c r="J26" s="49"/>
      <c r="K26" s="49"/>
      <c r="L26" s="49">
        <f>J26*K26</f>
        <v>0</v>
      </c>
    </row>
    <row r="27" spans="2:12" x14ac:dyDescent="0.25">
      <c r="B27" s="49"/>
      <c r="C27" s="49">
        <v>2.36</v>
      </c>
      <c r="D27" s="49">
        <v>2.75</v>
      </c>
      <c r="E27" s="49">
        <f>C27*D27</f>
        <v>6.4899999999999993</v>
      </c>
      <c r="F27" s="49" t="s">
        <v>320</v>
      </c>
      <c r="G27" s="49"/>
      <c r="H27" s="49"/>
      <c r="I27" s="49">
        <f>G27*H27</f>
        <v>0</v>
      </c>
      <c r="J27" s="49"/>
      <c r="K27" s="49"/>
      <c r="L27" s="49">
        <f>J27*K27</f>
        <v>0</v>
      </c>
    </row>
    <row r="28" spans="2:12" x14ac:dyDescent="0.25">
      <c r="B28" s="49" t="s">
        <v>326</v>
      </c>
      <c r="C28" s="49">
        <v>1.83</v>
      </c>
      <c r="D28" s="49">
        <v>3.15</v>
      </c>
      <c r="E28" s="49">
        <f t="shared" si="0"/>
        <v>5.7645</v>
      </c>
      <c r="F28" s="49" t="s">
        <v>320</v>
      </c>
      <c r="G28" s="49"/>
      <c r="H28" s="49"/>
      <c r="I28" s="49">
        <f t="shared" si="1"/>
        <v>0</v>
      </c>
      <c r="J28" s="49"/>
      <c r="K28" s="49"/>
      <c r="L28" s="49">
        <f t="shared" si="2"/>
        <v>0</v>
      </c>
    </row>
    <row r="29" spans="2:12" x14ac:dyDescent="0.25">
      <c r="B29" s="49"/>
      <c r="C29" s="49">
        <v>1.83</v>
      </c>
      <c r="D29" s="49">
        <v>3.05</v>
      </c>
      <c r="E29" s="49">
        <f t="shared" si="0"/>
        <v>5.5815000000000001</v>
      </c>
      <c r="F29" s="49" t="s">
        <v>320</v>
      </c>
      <c r="G29" s="49"/>
      <c r="H29" s="49"/>
      <c r="I29" s="49">
        <f t="shared" si="1"/>
        <v>0</v>
      </c>
      <c r="J29" s="49"/>
      <c r="K29" s="49"/>
      <c r="L29" s="49">
        <f t="shared" si="2"/>
        <v>0</v>
      </c>
    </row>
    <row r="30" spans="2:12" x14ac:dyDescent="0.25">
      <c r="B30" s="49" t="s">
        <v>454</v>
      </c>
      <c r="C30" s="49">
        <v>1.83</v>
      </c>
      <c r="D30" s="49">
        <v>1.83</v>
      </c>
      <c r="E30" s="49">
        <f t="shared" si="0"/>
        <v>3.3489000000000004</v>
      </c>
      <c r="F30" s="49"/>
      <c r="G30" s="49"/>
      <c r="H30" s="49"/>
      <c r="I30" s="49">
        <f t="shared" si="1"/>
        <v>0</v>
      </c>
      <c r="J30" s="49"/>
      <c r="K30" s="49"/>
      <c r="L30" s="49">
        <f t="shared" si="2"/>
        <v>0</v>
      </c>
    </row>
    <row r="31" spans="2:12" x14ac:dyDescent="0.25">
      <c r="B31" s="49" t="s">
        <v>455</v>
      </c>
      <c r="C31" s="49">
        <v>3.07</v>
      </c>
      <c r="D31" s="49">
        <v>2.62</v>
      </c>
      <c r="E31" s="49">
        <f>C31*D31</f>
        <v>8.0434000000000001</v>
      </c>
      <c r="F31" s="49"/>
      <c r="G31" s="49"/>
      <c r="H31" s="49"/>
      <c r="I31" s="49">
        <f>G31*H31</f>
        <v>0</v>
      </c>
      <c r="J31" s="49"/>
      <c r="K31" s="49"/>
      <c r="L31" s="49">
        <f>J31*K31</f>
        <v>0</v>
      </c>
    </row>
    <row r="32" spans="2:12" x14ac:dyDescent="0.25">
      <c r="B32" s="49"/>
      <c r="C32" s="49">
        <v>3.42</v>
      </c>
      <c r="D32" s="49">
        <v>1</v>
      </c>
      <c r="E32" s="49">
        <f>C32*D32</f>
        <v>3.42</v>
      </c>
      <c r="F32" s="49"/>
      <c r="G32" s="49"/>
      <c r="H32" s="49"/>
      <c r="I32" s="49">
        <f>G32*H32</f>
        <v>0</v>
      </c>
      <c r="J32" s="49"/>
      <c r="K32" s="49"/>
      <c r="L32" s="49">
        <f>J32*K32</f>
        <v>0</v>
      </c>
    </row>
    <row r="33" spans="1:12" x14ac:dyDescent="0.25">
      <c r="B33" s="49" t="s">
        <v>323</v>
      </c>
      <c r="C33" s="49">
        <v>10.52</v>
      </c>
      <c r="D33" s="49">
        <v>1.22</v>
      </c>
      <c r="E33" s="49">
        <f t="shared" si="0"/>
        <v>12.834399999999999</v>
      </c>
      <c r="F33" s="49"/>
      <c r="G33" s="49"/>
      <c r="H33" s="49"/>
      <c r="I33" s="49">
        <f t="shared" si="1"/>
        <v>0</v>
      </c>
      <c r="J33" s="49"/>
      <c r="K33" s="49"/>
      <c r="L33" s="49">
        <f t="shared" si="2"/>
        <v>0</v>
      </c>
    </row>
    <row r="34" spans="1:12" x14ac:dyDescent="0.25">
      <c r="B34" s="49" t="s">
        <v>327</v>
      </c>
      <c r="C34" s="49">
        <v>1.2</v>
      </c>
      <c r="D34" s="49">
        <v>1.98</v>
      </c>
      <c r="E34" s="49">
        <f t="shared" si="0"/>
        <v>2.3759999999999999</v>
      </c>
      <c r="F34" s="49"/>
      <c r="G34" s="49"/>
      <c r="H34" s="49"/>
      <c r="I34" s="49">
        <f t="shared" si="1"/>
        <v>0</v>
      </c>
      <c r="J34" s="49"/>
      <c r="K34" s="49"/>
      <c r="L34" s="49">
        <f t="shared" si="2"/>
        <v>0</v>
      </c>
    </row>
    <row r="35" spans="1:12" x14ac:dyDescent="0.25">
      <c r="B35" s="49"/>
      <c r="C35" s="49"/>
      <c r="D35" s="49"/>
      <c r="E35" s="49">
        <f t="shared" si="0"/>
        <v>0</v>
      </c>
      <c r="F35" s="49"/>
      <c r="G35" s="49"/>
      <c r="H35" s="49"/>
      <c r="I35" s="49">
        <f t="shared" si="1"/>
        <v>0</v>
      </c>
      <c r="J35" s="49"/>
      <c r="K35" s="49"/>
      <c r="L35" s="49">
        <f t="shared" si="2"/>
        <v>0</v>
      </c>
    </row>
    <row r="36" spans="1:12" x14ac:dyDescent="0.25">
      <c r="B36" s="49" t="s">
        <v>456</v>
      </c>
      <c r="C36" s="49">
        <v>7.14</v>
      </c>
      <c r="D36" s="49">
        <v>1.37</v>
      </c>
      <c r="E36" s="49">
        <f t="shared" si="0"/>
        <v>9.7818000000000005</v>
      </c>
      <c r="F36" s="49"/>
      <c r="G36" s="49"/>
      <c r="H36" s="49"/>
      <c r="I36" s="49">
        <f t="shared" si="1"/>
        <v>0</v>
      </c>
      <c r="J36" s="49"/>
      <c r="K36" s="49"/>
      <c r="L36" s="49">
        <f t="shared" si="2"/>
        <v>0</v>
      </c>
    </row>
    <row r="37" spans="1:12" x14ac:dyDescent="0.25">
      <c r="B37" s="49"/>
      <c r="C37" s="49">
        <v>1.8</v>
      </c>
      <c r="D37" s="49">
        <v>2</v>
      </c>
      <c r="E37" s="49">
        <f>C37*D37</f>
        <v>3.6</v>
      </c>
      <c r="F37" s="49"/>
      <c r="G37" s="49"/>
      <c r="H37" s="49"/>
      <c r="I37" s="49">
        <f t="shared" si="1"/>
        <v>0</v>
      </c>
      <c r="J37" s="49"/>
      <c r="K37" s="49"/>
      <c r="L37" s="49">
        <f t="shared" si="2"/>
        <v>0</v>
      </c>
    </row>
    <row r="38" spans="1:12" x14ac:dyDescent="0.25">
      <c r="B38" s="49" t="s">
        <v>328</v>
      </c>
      <c r="C38" s="49"/>
      <c r="D38" s="49"/>
      <c r="E38" s="49">
        <f>C38*D38</f>
        <v>0</v>
      </c>
      <c r="F38" s="49"/>
      <c r="G38" s="49"/>
      <c r="H38" s="49"/>
      <c r="I38" s="49">
        <f t="shared" si="1"/>
        <v>0</v>
      </c>
      <c r="J38" s="49"/>
      <c r="K38" s="49"/>
      <c r="L38" s="49">
        <f t="shared" si="2"/>
        <v>0</v>
      </c>
    </row>
    <row r="39" spans="1:12" x14ac:dyDescent="0.25">
      <c r="B39" s="49"/>
      <c r="C39" s="49"/>
      <c r="D39" s="49"/>
      <c r="E39" s="49">
        <f t="shared" si="0"/>
        <v>0</v>
      </c>
      <c r="F39" s="49"/>
      <c r="G39" s="49"/>
      <c r="H39" s="49"/>
      <c r="I39" s="49">
        <f t="shared" si="1"/>
        <v>0</v>
      </c>
      <c r="J39" s="49"/>
      <c r="K39" s="49"/>
      <c r="L39" s="49">
        <f t="shared" si="2"/>
        <v>0</v>
      </c>
    </row>
    <row r="40" spans="1:12" x14ac:dyDescent="0.25">
      <c r="B40" s="49"/>
      <c r="C40" s="49"/>
      <c r="D40" s="49"/>
      <c r="E40" s="49">
        <f t="shared" si="0"/>
        <v>0</v>
      </c>
      <c r="F40" s="49"/>
      <c r="G40" s="49"/>
      <c r="H40" s="49"/>
      <c r="I40" s="49">
        <f t="shared" si="1"/>
        <v>0</v>
      </c>
      <c r="J40" s="49"/>
      <c r="K40" s="49"/>
      <c r="L40" s="49">
        <f t="shared" si="2"/>
        <v>0</v>
      </c>
    </row>
    <row r="41" spans="1:12" x14ac:dyDescent="0.25">
      <c r="B41" s="49"/>
      <c r="C41" s="49"/>
      <c r="D41" s="49"/>
      <c r="E41" s="49">
        <f t="shared" si="0"/>
        <v>0</v>
      </c>
      <c r="F41" s="49"/>
      <c r="G41" s="49"/>
      <c r="H41" s="49"/>
      <c r="I41" s="49">
        <f t="shared" si="1"/>
        <v>0</v>
      </c>
      <c r="J41" s="49"/>
      <c r="K41" s="49"/>
      <c r="L41" s="49">
        <f t="shared" si="2"/>
        <v>0</v>
      </c>
    </row>
    <row r="42" spans="1:12" x14ac:dyDescent="0.25">
      <c r="B42" s="49" t="s">
        <v>151</v>
      </c>
      <c r="C42" s="49"/>
      <c r="D42" s="90">
        <f>E42*10.764</f>
        <v>2896.6376087999997</v>
      </c>
      <c r="E42" s="91">
        <f>SUM(E6:E41)</f>
        <v>269.10419999999999</v>
      </c>
      <c r="F42" s="49"/>
      <c r="G42" s="49"/>
      <c r="H42" s="90">
        <f>I42*10.764</f>
        <v>221.89985999999996</v>
      </c>
      <c r="I42" s="93">
        <f>SUM(I6:I41)</f>
        <v>20.614999999999998</v>
      </c>
      <c r="J42" s="49"/>
      <c r="K42" s="49">
        <f>L42*10.764</f>
        <v>0</v>
      </c>
      <c r="L42" s="60">
        <f>SUM(L6:L41)</f>
        <v>0</v>
      </c>
    </row>
    <row r="43" spans="1:12" x14ac:dyDescent="0.25">
      <c r="D43" s="92"/>
      <c r="E43" s="92"/>
    </row>
    <row r="44" spans="1:12" x14ac:dyDescent="0.25">
      <c r="D44" s="92">
        <f>D42+H42</f>
        <v>3118.5374687999997</v>
      </c>
      <c r="E44" s="92">
        <f>E42+I42</f>
        <v>289.7192</v>
      </c>
    </row>
    <row r="46" spans="1:12" x14ac:dyDescent="0.25">
      <c r="B46" s="57" t="s">
        <v>304</v>
      </c>
      <c r="C46" s="238"/>
      <c r="D46" s="238"/>
    </row>
    <row r="47" spans="1:12" x14ac:dyDescent="0.25">
      <c r="D47" s="58"/>
      <c r="E47" s="58"/>
      <c r="F47" s="58"/>
      <c r="G47" s="58"/>
      <c r="H47" s="58"/>
      <c r="I47" s="58"/>
    </row>
    <row r="48" spans="1:12" x14ac:dyDescent="0.25">
      <c r="A48" s="57" t="s">
        <v>66</v>
      </c>
      <c r="B48" s="59" t="s">
        <v>305</v>
      </c>
      <c r="C48" s="235" t="s">
        <v>306</v>
      </c>
      <c r="D48" s="235"/>
      <c r="E48" s="235"/>
      <c r="F48" s="59"/>
      <c r="G48" s="236" t="s">
        <v>307</v>
      </c>
      <c r="H48" s="236"/>
      <c r="I48" s="236"/>
      <c r="J48" s="237" t="s">
        <v>308</v>
      </c>
      <c r="K48" s="237"/>
      <c r="L48" s="237"/>
    </row>
    <row r="49" spans="1:12" x14ac:dyDescent="0.25">
      <c r="A49" s="57"/>
      <c r="B49" s="59"/>
      <c r="C49" s="59" t="s">
        <v>309</v>
      </c>
      <c r="D49" s="59" t="s">
        <v>310</v>
      </c>
      <c r="E49" s="59" t="s">
        <v>311</v>
      </c>
      <c r="F49" s="59"/>
      <c r="G49" s="59" t="s">
        <v>309</v>
      </c>
      <c r="H49" s="59" t="s">
        <v>310</v>
      </c>
      <c r="I49" s="59" t="s">
        <v>311</v>
      </c>
      <c r="J49" s="59" t="s">
        <v>309</v>
      </c>
      <c r="K49" s="59" t="s">
        <v>310</v>
      </c>
      <c r="L49" s="59" t="s">
        <v>311</v>
      </c>
    </row>
    <row r="50" spans="1:12" x14ac:dyDescent="0.25">
      <c r="B50" s="49" t="s">
        <v>312</v>
      </c>
      <c r="C50" s="49"/>
      <c r="D50" s="49"/>
      <c r="E50" s="49">
        <f>C50*D50</f>
        <v>0</v>
      </c>
      <c r="F50" s="49" t="s">
        <v>329</v>
      </c>
      <c r="G50" s="49"/>
      <c r="H50" s="49"/>
      <c r="I50" s="49">
        <f>G50*H50</f>
        <v>0</v>
      </c>
      <c r="J50" s="49"/>
      <c r="K50" s="49"/>
      <c r="L50" s="49">
        <f>J50*K50</f>
        <v>0</v>
      </c>
    </row>
    <row r="51" spans="1:12" x14ac:dyDescent="0.25">
      <c r="B51" s="49"/>
      <c r="C51" s="49"/>
      <c r="D51" s="49"/>
      <c r="E51" s="49">
        <f t="shared" ref="E51:E68" si="3">C51*D51</f>
        <v>0</v>
      </c>
      <c r="F51" s="49" t="s">
        <v>329</v>
      </c>
      <c r="G51" s="49"/>
      <c r="H51" s="49"/>
      <c r="I51" s="49">
        <f t="shared" ref="I51:I68" si="4">G51*H51</f>
        <v>0</v>
      </c>
      <c r="J51" s="49"/>
      <c r="K51" s="49"/>
      <c r="L51" s="49">
        <f t="shared" ref="L51:L68" si="5">J51*K51</f>
        <v>0</v>
      </c>
    </row>
    <row r="52" spans="1:12" x14ac:dyDescent="0.25">
      <c r="B52" s="49"/>
      <c r="C52" s="49"/>
      <c r="D52" s="49"/>
      <c r="E52" s="49">
        <f t="shared" si="3"/>
        <v>0</v>
      </c>
      <c r="F52" s="49"/>
      <c r="G52" s="49"/>
      <c r="H52" s="49"/>
      <c r="I52" s="49">
        <f t="shared" si="4"/>
        <v>0</v>
      </c>
      <c r="J52" s="49"/>
      <c r="K52" s="49"/>
      <c r="L52" s="49">
        <f t="shared" si="5"/>
        <v>0</v>
      </c>
    </row>
    <row r="53" spans="1:12" x14ac:dyDescent="0.25">
      <c r="B53" s="49"/>
      <c r="C53" s="49"/>
      <c r="D53" s="49"/>
      <c r="E53" s="49">
        <f t="shared" si="3"/>
        <v>0</v>
      </c>
      <c r="F53" s="49" t="s">
        <v>313</v>
      </c>
      <c r="G53" s="49"/>
      <c r="H53" s="49"/>
      <c r="I53" s="49">
        <f t="shared" si="4"/>
        <v>0</v>
      </c>
      <c r="J53" s="49"/>
      <c r="K53" s="49"/>
      <c r="L53" s="49">
        <f t="shared" si="5"/>
        <v>0</v>
      </c>
    </row>
    <row r="54" spans="1:12" x14ac:dyDescent="0.25">
      <c r="B54" s="49" t="s">
        <v>314</v>
      </c>
      <c r="C54" s="49"/>
      <c r="D54" s="49"/>
      <c r="E54" s="49">
        <f t="shared" si="3"/>
        <v>0</v>
      </c>
      <c r="F54" s="49" t="s">
        <v>313</v>
      </c>
      <c r="G54" s="49"/>
      <c r="H54" s="49"/>
      <c r="I54" s="49">
        <f t="shared" si="4"/>
        <v>0</v>
      </c>
      <c r="J54" s="49"/>
      <c r="K54" s="49"/>
      <c r="L54" s="49">
        <f t="shared" si="5"/>
        <v>0</v>
      </c>
    </row>
    <row r="55" spans="1:12" x14ac:dyDescent="0.25">
      <c r="B55" s="49"/>
      <c r="C55" s="49"/>
      <c r="D55" s="49"/>
      <c r="E55" s="49">
        <f t="shared" si="3"/>
        <v>0</v>
      </c>
      <c r="F55" s="49" t="s">
        <v>315</v>
      </c>
      <c r="G55" s="49"/>
      <c r="H55" s="49"/>
      <c r="I55" s="49">
        <f t="shared" si="4"/>
        <v>0</v>
      </c>
      <c r="J55" s="49"/>
      <c r="K55" s="49"/>
      <c r="L55" s="49">
        <f t="shared" si="5"/>
        <v>0</v>
      </c>
    </row>
    <row r="56" spans="1:12" x14ac:dyDescent="0.25">
      <c r="B56" s="49"/>
      <c r="C56" s="49"/>
      <c r="D56" s="49"/>
      <c r="E56" s="49">
        <f t="shared" si="3"/>
        <v>0</v>
      </c>
      <c r="F56" s="49"/>
      <c r="G56" s="49"/>
      <c r="H56" s="49"/>
      <c r="I56" s="49">
        <f t="shared" si="4"/>
        <v>0</v>
      </c>
      <c r="J56" s="49"/>
      <c r="K56" s="49"/>
      <c r="L56" s="49">
        <f t="shared" si="5"/>
        <v>0</v>
      </c>
    </row>
    <row r="57" spans="1:12" x14ac:dyDescent="0.25">
      <c r="B57" s="49"/>
      <c r="C57" s="49"/>
      <c r="D57" s="49"/>
      <c r="E57" s="49">
        <f t="shared" si="3"/>
        <v>0</v>
      </c>
      <c r="F57" s="49"/>
      <c r="G57" s="49"/>
      <c r="H57" s="49"/>
      <c r="I57" s="49">
        <f t="shared" si="4"/>
        <v>0</v>
      </c>
      <c r="J57" s="49"/>
      <c r="K57" s="49"/>
      <c r="L57" s="49">
        <f t="shared" si="5"/>
        <v>0</v>
      </c>
    </row>
    <row r="58" spans="1:12" x14ac:dyDescent="0.25">
      <c r="B58" s="49" t="s">
        <v>316</v>
      </c>
      <c r="C58" s="49"/>
      <c r="D58" s="49"/>
      <c r="E58" s="49">
        <f t="shared" si="3"/>
        <v>0</v>
      </c>
      <c r="F58" s="49" t="s">
        <v>313</v>
      </c>
      <c r="G58" s="49"/>
      <c r="H58" s="49"/>
      <c r="I58" s="49">
        <f t="shared" si="4"/>
        <v>0</v>
      </c>
      <c r="J58" s="49"/>
      <c r="K58" s="49"/>
      <c r="L58" s="49">
        <f t="shared" si="5"/>
        <v>0</v>
      </c>
    </row>
    <row r="59" spans="1:12" x14ac:dyDescent="0.25">
      <c r="B59" s="49"/>
      <c r="C59" s="49"/>
      <c r="D59" s="49"/>
      <c r="E59" s="49">
        <f t="shared" si="3"/>
        <v>0</v>
      </c>
      <c r="F59" s="49" t="s">
        <v>315</v>
      </c>
      <c r="G59" s="49"/>
      <c r="H59" s="49"/>
      <c r="I59" s="49">
        <f t="shared" si="4"/>
        <v>0</v>
      </c>
      <c r="J59" s="49"/>
      <c r="K59" s="49"/>
      <c r="L59" s="49">
        <f t="shared" si="5"/>
        <v>0</v>
      </c>
    </row>
    <row r="60" spans="1:12" x14ac:dyDescent="0.25">
      <c r="B60" s="49"/>
      <c r="C60" s="49"/>
      <c r="D60" s="49"/>
      <c r="E60" s="49">
        <f t="shared" si="3"/>
        <v>0</v>
      </c>
      <c r="F60" s="49"/>
      <c r="G60" s="49"/>
      <c r="H60" s="49"/>
      <c r="I60" s="49">
        <f t="shared" si="4"/>
        <v>0</v>
      </c>
      <c r="J60" s="49"/>
      <c r="K60" s="49"/>
      <c r="L60" s="49">
        <f t="shared" si="5"/>
        <v>0</v>
      </c>
    </row>
    <row r="61" spans="1:12" x14ac:dyDescent="0.25">
      <c r="B61" s="49"/>
      <c r="C61" s="49"/>
      <c r="D61" s="49"/>
      <c r="E61" s="49">
        <f t="shared" si="3"/>
        <v>0</v>
      </c>
      <c r="F61" s="49"/>
      <c r="G61" s="49"/>
      <c r="H61" s="49"/>
      <c r="I61" s="49">
        <f t="shared" si="4"/>
        <v>0</v>
      </c>
      <c r="J61" s="49"/>
      <c r="K61" s="49"/>
      <c r="L61" s="49">
        <f t="shared" si="5"/>
        <v>0</v>
      </c>
    </row>
    <row r="62" spans="1:12" x14ac:dyDescent="0.25">
      <c r="B62" s="49" t="s">
        <v>317</v>
      </c>
      <c r="C62" s="49"/>
      <c r="D62" s="49"/>
      <c r="E62" s="49">
        <f t="shared" si="3"/>
        <v>0</v>
      </c>
      <c r="F62" s="49" t="s">
        <v>313</v>
      </c>
      <c r="G62" s="49"/>
      <c r="H62" s="49"/>
      <c r="I62" s="49">
        <f t="shared" si="4"/>
        <v>0</v>
      </c>
      <c r="J62" s="49"/>
      <c r="K62" s="49"/>
      <c r="L62" s="49">
        <f t="shared" si="5"/>
        <v>0</v>
      </c>
    </row>
    <row r="63" spans="1:12" x14ac:dyDescent="0.25">
      <c r="B63" s="49"/>
      <c r="C63" s="49"/>
      <c r="D63" s="49"/>
      <c r="E63" s="49">
        <f t="shared" si="3"/>
        <v>0</v>
      </c>
      <c r="F63" s="49" t="s">
        <v>315</v>
      </c>
      <c r="G63" s="49"/>
      <c r="H63" s="49"/>
      <c r="I63" s="49">
        <f t="shared" si="4"/>
        <v>0</v>
      </c>
      <c r="J63" s="49"/>
      <c r="K63" s="49"/>
      <c r="L63" s="49">
        <f t="shared" si="5"/>
        <v>0</v>
      </c>
    </row>
    <row r="64" spans="1:12" x14ac:dyDescent="0.25">
      <c r="B64" s="49"/>
      <c r="C64" s="49"/>
      <c r="D64" s="49"/>
      <c r="E64" s="49">
        <f t="shared" si="3"/>
        <v>0</v>
      </c>
      <c r="F64" s="49"/>
      <c r="G64" s="49"/>
      <c r="H64" s="49"/>
      <c r="I64" s="49">
        <f t="shared" si="4"/>
        <v>0</v>
      </c>
      <c r="J64" s="49"/>
      <c r="K64" s="49"/>
      <c r="L64" s="49">
        <f t="shared" si="5"/>
        <v>0</v>
      </c>
    </row>
    <row r="65" spans="2:12" x14ac:dyDescent="0.25">
      <c r="B65" s="49" t="s">
        <v>318</v>
      </c>
      <c r="C65" s="49"/>
      <c r="D65" s="49"/>
      <c r="E65" s="49">
        <f t="shared" si="3"/>
        <v>0</v>
      </c>
      <c r="F65" s="49" t="s">
        <v>313</v>
      </c>
      <c r="G65" s="49"/>
      <c r="H65" s="49"/>
      <c r="I65" s="49">
        <f t="shared" si="4"/>
        <v>0</v>
      </c>
      <c r="J65" s="49"/>
      <c r="K65" s="49"/>
      <c r="L65" s="49">
        <f t="shared" si="5"/>
        <v>0</v>
      </c>
    </row>
    <row r="66" spans="2:12" x14ac:dyDescent="0.25">
      <c r="B66" s="49"/>
      <c r="C66" s="49"/>
      <c r="D66" s="49"/>
      <c r="E66" s="49">
        <f t="shared" si="3"/>
        <v>0</v>
      </c>
      <c r="F66" s="49" t="s">
        <v>315</v>
      </c>
      <c r="G66" s="49"/>
      <c r="H66" s="49"/>
      <c r="I66" s="49">
        <f t="shared" si="4"/>
        <v>0</v>
      </c>
      <c r="J66" s="49"/>
      <c r="K66" s="49"/>
      <c r="L66" s="49">
        <f t="shared" si="5"/>
        <v>0</v>
      </c>
    </row>
    <row r="67" spans="2:12" x14ac:dyDescent="0.25">
      <c r="B67" s="49"/>
      <c r="C67" s="49"/>
      <c r="D67" s="49"/>
      <c r="E67" s="49">
        <f t="shared" si="3"/>
        <v>0</v>
      </c>
      <c r="F67" s="49"/>
      <c r="G67" s="49"/>
      <c r="H67" s="49"/>
      <c r="I67" s="49">
        <f t="shared" si="4"/>
        <v>0</v>
      </c>
      <c r="J67" s="49"/>
      <c r="K67" s="49"/>
      <c r="L67" s="49">
        <f t="shared" si="5"/>
        <v>0</v>
      </c>
    </row>
    <row r="68" spans="2:12" x14ac:dyDescent="0.25">
      <c r="B68" s="49" t="s">
        <v>319</v>
      </c>
      <c r="C68" s="49"/>
      <c r="D68" s="49"/>
      <c r="E68" s="49">
        <f t="shared" si="3"/>
        <v>0</v>
      </c>
      <c r="F68" s="49" t="s">
        <v>320</v>
      </c>
      <c r="G68" s="49"/>
      <c r="H68" s="49"/>
      <c r="I68" s="49">
        <f t="shared" si="4"/>
        <v>0</v>
      </c>
      <c r="J68" s="49"/>
      <c r="K68" s="49"/>
      <c r="L68" s="49">
        <f t="shared" si="5"/>
        <v>0</v>
      </c>
    </row>
    <row r="69" spans="2:12" x14ac:dyDescent="0.25">
      <c r="B69" s="49"/>
      <c r="C69" s="49"/>
      <c r="D69" s="49"/>
      <c r="E69" s="49">
        <f>C69*D69</f>
        <v>0</v>
      </c>
      <c r="F69" s="49" t="s">
        <v>320</v>
      </c>
      <c r="G69" s="49"/>
      <c r="H69" s="49"/>
      <c r="I69" s="49">
        <f>G69*H69</f>
        <v>0</v>
      </c>
      <c r="J69" s="49"/>
      <c r="K69" s="49"/>
      <c r="L69" s="49">
        <f>J69*K69</f>
        <v>0</v>
      </c>
    </row>
    <row r="70" spans="2:12" x14ac:dyDescent="0.25">
      <c r="B70" s="49"/>
      <c r="C70" s="49"/>
      <c r="D70" s="49"/>
      <c r="E70" s="49">
        <f>C70*D70</f>
        <v>0</v>
      </c>
      <c r="F70" s="49" t="s">
        <v>320</v>
      </c>
      <c r="G70" s="49"/>
      <c r="H70" s="49"/>
      <c r="I70" s="49">
        <f>G70*H70</f>
        <v>0</v>
      </c>
      <c r="J70" s="49"/>
      <c r="K70" s="49"/>
      <c r="L70" s="49">
        <f>J70*K70</f>
        <v>0</v>
      </c>
    </row>
    <row r="71" spans="2:12" x14ac:dyDescent="0.25">
      <c r="B71" s="49"/>
      <c r="C71" s="49"/>
      <c r="D71" s="49"/>
      <c r="E71" s="49">
        <f>C71*D71</f>
        <v>0</v>
      </c>
      <c r="F71" s="49" t="s">
        <v>320</v>
      </c>
      <c r="G71" s="49"/>
      <c r="H71" s="49"/>
      <c r="I71" s="49">
        <f>G71*H71</f>
        <v>0</v>
      </c>
      <c r="J71" s="49"/>
      <c r="K71" s="49"/>
      <c r="L71" s="49">
        <f>J71*K71</f>
        <v>0</v>
      </c>
    </row>
    <row r="72" spans="2:12" x14ac:dyDescent="0.25">
      <c r="B72" s="49" t="s">
        <v>321</v>
      </c>
      <c r="C72" s="49"/>
      <c r="D72" s="49"/>
      <c r="E72" s="49">
        <f t="shared" ref="E72:E74" si="6">C72*D72</f>
        <v>0</v>
      </c>
      <c r="F72" s="49" t="s">
        <v>320</v>
      </c>
      <c r="G72" s="49"/>
      <c r="H72" s="49"/>
      <c r="I72" s="49">
        <f t="shared" ref="I72:I74" si="7">G72*H72</f>
        <v>0</v>
      </c>
      <c r="J72" s="49"/>
      <c r="K72" s="49"/>
      <c r="L72" s="49">
        <f t="shared" ref="L72:L74" si="8">J72*K72</f>
        <v>0</v>
      </c>
    </row>
    <row r="73" spans="2:12" x14ac:dyDescent="0.25">
      <c r="B73" s="49" t="s">
        <v>322</v>
      </c>
      <c r="C73" s="49"/>
      <c r="D73" s="49"/>
      <c r="E73" s="49">
        <f t="shared" si="6"/>
        <v>0</v>
      </c>
      <c r="F73" s="49" t="s">
        <v>320</v>
      </c>
      <c r="G73" s="49"/>
      <c r="H73" s="49"/>
      <c r="I73" s="49">
        <f t="shared" si="7"/>
        <v>0</v>
      </c>
      <c r="J73" s="49"/>
      <c r="K73" s="49"/>
      <c r="L73" s="49">
        <f t="shared" si="8"/>
        <v>0</v>
      </c>
    </row>
    <row r="74" spans="2:12" x14ac:dyDescent="0.25">
      <c r="B74" s="49" t="s">
        <v>326</v>
      </c>
      <c r="C74" s="49"/>
      <c r="D74" s="49"/>
      <c r="E74" s="49">
        <f t="shared" si="6"/>
        <v>0</v>
      </c>
      <c r="F74" s="49"/>
      <c r="G74" s="49"/>
      <c r="H74" s="49"/>
      <c r="I74" s="49">
        <f t="shared" si="7"/>
        <v>0</v>
      </c>
      <c r="J74" s="49"/>
      <c r="K74" s="49"/>
      <c r="L74" s="49">
        <f t="shared" si="8"/>
        <v>0</v>
      </c>
    </row>
    <row r="75" spans="2:12" x14ac:dyDescent="0.25">
      <c r="B75" s="49"/>
      <c r="C75" s="49"/>
      <c r="D75" s="49"/>
      <c r="E75" s="49">
        <f>C75*D75</f>
        <v>0</v>
      </c>
      <c r="F75" s="49"/>
      <c r="G75" s="49"/>
      <c r="H75" s="49"/>
      <c r="I75" s="49">
        <f>G75*H75</f>
        <v>0</v>
      </c>
      <c r="J75" s="49"/>
      <c r="K75" s="49"/>
      <c r="L75" s="49">
        <f>J75*K75</f>
        <v>0</v>
      </c>
    </row>
    <row r="76" spans="2:12" x14ac:dyDescent="0.25">
      <c r="B76" s="49"/>
      <c r="C76" s="49"/>
      <c r="D76" s="49"/>
      <c r="E76" s="49">
        <f>C76*D76</f>
        <v>0</v>
      </c>
      <c r="F76" s="49"/>
      <c r="G76" s="49"/>
      <c r="H76" s="49"/>
      <c r="I76" s="49">
        <f>G76*H76</f>
        <v>0</v>
      </c>
      <c r="J76" s="49"/>
      <c r="K76" s="49"/>
      <c r="L76" s="49">
        <f>J76*K76</f>
        <v>0</v>
      </c>
    </row>
    <row r="77" spans="2:12" x14ac:dyDescent="0.25">
      <c r="B77" s="49" t="s">
        <v>323</v>
      </c>
      <c r="C77" s="49"/>
      <c r="D77" s="49"/>
      <c r="E77" s="49">
        <f t="shared" ref="E77:E80" si="9">C77*D77</f>
        <v>0</v>
      </c>
      <c r="F77" s="49"/>
      <c r="G77" s="49"/>
      <c r="H77" s="49"/>
      <c r="I77" s="49">
        <f t="shared" ref="I77:I85" si="10">G77*H77</f>
        <v>0</v>
      </c>
      <c r="J77" s="49"/>
      <c r="K77" s="49"/>
      <c r="L77" s="49">
        <f t="shared" ref="L77:L85" si="11">J77*K77</f>
        <v>0</v>
      </c>
    </row>
    <row r="78" spans="2:12" x14ac:dyDescent="0.25">
      <c r="B78" s="49" t="s">
        <v>327</v>
      </c>
      <c r="C78" s="49"/>
      <c r="D78" s="49"/>
      <c r="E78" s="49">
        <f t="shared" si="9"/>
        <v>0</v>
      </c>
      <c r="F78" s="49"/>
      <c r="G78" s="49"/>
      <c r="H78" s="49"/>
      <c r="I78" s="49">
        <f t="shared" si="10"/>
        <v>0</v>
      </c>
      <c r="J78" s="49"/>
      <c r="K78" s="49"/>
      <c r="L78" s="49">
        <f t="shared" si="11"/>
        <v>0</v>
      </c>
    </row>
    <row r="79" spans="2:12" x14ac:dyDescent="0.25">
      <c r="B79" s="49" t="s">
        <v>324</v>
      </c>
      <c r="C79" s="49"/>
      <c r="D79" s="49"/>
      <c r="E79" s="49">
        <f t="shared" si="9"/>
        <v>0</v>
      </c>
      <c r="F79" s="49"/>
      <c r="G79" s="49"/>
      <c r="H79" s="49"/>
      <c r="I79" s="49">
        <f t="shared" si="10"/>
        <v>0</v>
      </c>
      <c r="J79" s="49"/>
      <c r="K79" s="49"/>
      <c r="L79" s="49">
        <f t="shared" si="11"/>
        <v>0</v>
      </c>
    </row>
    <row r="80" spans="2:12" x14ac:dyDescent="0.25">
      <c r="B80" s="49" t="s">
        <v>325</v>
      </c>
      <c r="C80" s="49"/>
      <c r="D80" s="49"/>
      <c r="E80" s="49">
        <f t="shared" si="9"/>
        <v>0</v>
      </c>
      <c r="F80" s="49"/>
      <c r="G80" s="49"/>
      <c r="H80" s="49"/>
      <c r="I80" s="49">
        <f t="shared" si="10"/>
        <v>0</v>
      </c>
      <c r="J80" s="49"/>
      <c r="K80" s="49"/>
      <c r="L80" s="49">
        <f t="shared" si="11"/>
        <v>0</v>
      </c>
    </row>
    <row r="81" spans="2:12" x14ac:dyDescent="0.25">
      <c r="B81" s="49"/>
      <c r="C81" s="49"/>
      <c r="D81" s="49"/>
      <c r="E81" s="49">
        <f>C81*D81</f>
        <v>0</v>
      </c>
      <c r="F81" s="49"/>
      <c r="G81" s="49"/>
      <c r="H81" s="49"/>
      <c r="I81" s="49">
        <f t="shared" si="10"/>
        <v>0</v>
      </c>
      <c r="J81" s="49"/>
      <c r="K81" s="49"/>
      <c r="L81" s="49">
        <f t="shared" si="11"/>
        <v>0</v>
      </c>
    </row>
    <row r="82" spans="2:12" x14ac:dyDescent="0.25">
      <c r="B82" s="49" t="s">
        <v>328</v>
      </c>
      <c r="C82" s="49"/>
      <c r="D82" s="49"/>
      <c r="E82" s="49">
        <f>C82*D82</f>
        <v>0</v>
      </c>
      <c r="F82" s="49"/>
      <c r="G82" s="49"/>
      <c r="H82" s="49"/>
      <c r="I82" s="49">
        <f t="shared" si="10"/>
        <v>0</v>
      </c>
      <c r="J82" s="49"/>
      <c r="K82" s="49"/>
      <c r="L82" s="49">
        <f t="shared" si="11"/>
        <v>0</v>
      </c>
    </row>
    <row r="83" spans="2:12" x14ac:dyDescent="0.25">
      <c r="B83" s="49"/>
      <c r="C83" s="49"/>
      <c r="D83" s="49"/>
      <c r="E83" s="49">
        <f t="shared" ref="E83:E85" si="12">C83*D83</f>
        <v>0</v>
      </c>
      <c r="F83" s="49"/>
      <c r="G83" s="49"/>
      <c r="H83" s="49"/>
      <c r="I83" s="49">
        <f t="shared" si="10"/>
        <v>0</v>
      </c>
      <c r="J83" s="49"/>
      <c r="K83" s="49"/>
      <c r="L83" s="49">
        <f t="shared" si="11"/>
        <v>0</v>
      </c>
    </row>
    <row r="84" spans="2:12" x14ac:dyDescent="0.25">
      <c r="B84" s="49"/>
      <c r="C84" s="49"/>
      <c r="D84" s="49"/>
      <c r="E84" s="49">
        <f t="shared" si="12"/>
        <v>0</v>
      </c>
      <c r="F84" s="49"/>
      <c r="G84" s="49"/>
      <c r="H84" s="49"/>
      <c r="I84" s="49">
        <f t="shared" si="10"/>
        <v>0</v>
      </c>
      <c r="J84" s="49"/>
      <c r="K84" s="49"/>
      <c r="L84" s="49">
        <f t="shared" si="11"/>
        <v>0</v>
      </c>
    </row>
    <row r="85" spans="2:12" x14ac:dyDescent="0.25">
      <c r="B85" s="49"/>
      <c r="C85" s="49"/>
      <c r="D85" s="49"/>
      <c r="E85" s="49">
        <f t="shared" si="12"/>
        <v>0</v>
      </c>
      <c r="F85" s="49"/>
      <c r="G85" s="49"/>
      <c r="H85" s="49"/>
      <c r="I85" s="49">
        <f t="shared" si="10"/>
        <v>0</v>
      </c>
      <c r="J85" s="49"/>
      <c r="K85" s="49"/>
      <c r="L85" s="49">
        <f t="shared" si="11"/>
        <v>0</v>
      </c>
    </row>
    <row r="86" spans="2:12" x14ac:dyDescent="0.25">
      <c r="B86" s="49" t="s">
        <v>151</v>
      </c>
      <c r="C86" s="49"/>
      <c r="D86" s="49">
        <f>E86*10.764</f>
        <v>0</v>
      </c>
      <c r="E86" s="62">
        <f>SUM(E50:E85)</f>
        <v>0</v>
      </c>
      <c r="F86" s="49"/>
      <c r="G86" s="49"/>
      <c r="H86" s="49">
        <f>I86*10.764</f>
        <v>0</v>
      </c>
      <c r="I86" s="61">
        <f>SUM(I50:I85)</f>
        <v>0</v>
      </c>
      <c r="J86" s="49"/>
      <c r="K86" s="49">
        <f>L86*10.764</f>
        <v>0</v>
      </c>
      <c r="L86" s="60">
        <f>SUM(L50:L85)</f>
        <v>0</v>
      </c>
    </row>
    <row r="88" spans="2:12" x14ac:dyDescent="0.25">
      <c r="D88" s="48">
        <f>D86+H86</f>
        <v>0</v>
      </c>
      <c r="E88" s="48">
        <f>E86+I86</f>
        <v>0</v>
      </c>
    </row>
  </sheetData>
  <mergeCells count="8">
    <mergeCell ref="C48:E48"/>
    <mergeCell ref="G48:I48"/>
    <mergeCell ref="J48:L48"/>
    <mergeCell ref="C2:D2"/>
    <mergeCell ref="C4:E4"/>
    <mergeCell ref="G4:I4"/>
    <mergeCell ref="J4:L4"/>
    <mergeCell ref="C46:D4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88"/>
  <sheetViews>
    <sheetView topLeftCell="A35" workbookViewId="0">
      <selection activeCell="A46" sqref="A46:L88"/>
    </sheetView>
  </sheetViews>
  <sheetFormatPr defaultColWidth="9.140625" defaultRowHeight="15" x14ac:dyDescent="0.25"/>
  <cols>
    <col min="1" max="1" width="9.140625" style="48"/>
    <col min="2" max="2" width="12.28515625" style="48" customWidth="1"/>
    <col min="3" max="16384" width="9.140625" style="48"/>
  </cols>
  <sheetData>
    <row r="2" spans="1:12" x14ac:dyDescent="0.25">
      <c r="B2" s="57" t="s">
        <v>304</v>
      </c>
      <c r="C2" s="238"/>
      <c r="D2" s="238"/>
    </row>
    <row r="3" spans="1:12" x14ac:dyDescent="0.25">
      <c r="D3" s="58"/>
      <c r="E3" s="58"/>
      <c r="F3" s="58"/>
      <c r="G3" s="58"/>
      <c r="H3" s="58"/>
      <c r="I3" s="58"/>
    </row>
    <row r="4" spans="1:12" x14ac:dyDescent="0.25">
      <c r="A4" s="57" t="s">
        <v>66</v>
      </c>
      <c r="B4" s="59" t="s">
        <v>305</v>
      </c>
      <c r="C4" s="235" t="s">
        <v>306</v>
      </c>
      <c r="D4" s="235"/>
      <c r="E4" s="235"/>
      <c r="F4" s="59"/>
      <c r="G4" s="236" t="s">
        <v>307</v>
      </c>
      <c r="H4" s="236"/>
      <c r="I4" s="236"/>
      <c r="J4" s="237" t="s">
        <v>308</v>
      </c>
      <c r="K4" s="237"/>
      <c r="L4" s="237"/>
    </row>
    <row r="5" spans="1:12" x14ac:dyDescent="0.25">
      <c r="A5" s="57"/>
      <c r="B5" s="59"/>
      <c r="C5" s="59" t="s">
        <v>309</v>
      </c>
      <c r="D5" s="59" t="s">
        <v>310</v>
      </c>
      <c r="E5" s="59" t="s">
        <v>311</v>
      </c>
      <c r="F5" s="59"/>
      <c r="G5" s="59" t="s">
        <v>309</v>
      </c>
      <c r="H5" s="59" t="s">
        <v>310</v>
      </c>
      <c r="I5" s="59" t="s">
        <v>311</v>
      </c>
      <c r="J5" s="59" t="s">
        <v>309</v>
      </c>
      <c r="K5" s="59" t="s">
        <v>310</v>
      </c>
      <c r="L5" s="59" t="s">
        <v>311</v>
      </c>
    </row>
    <row r="6" spans="1:12" x14ac:dyDescent="0.25">
      <c r="B6" s="49" t="s">
        <v>312</v>
      </c>
      <c r="C6" s="49"/>
      <c r="D6" s="49"/>
      <c r="E6" s="49">
        <f>C6*D6</f>
        <v>0</v>
      </c>
      <c r="F6" s="49" t="s">
        <v>329</v>
      </c>
      <c r="G6" s="49"/>
      <c r="H6" s="49"/>
      <c r="I6" s="49">
        <f>G6*H6</f>
        <v>0</v>
      </c>
      <c r="J6" s="49"/>
      <c r="K6" s="49"/>
      <c r="L6" s="49">
        <f>J6*K6</f>
        <v>0</v>
      </c>
    </row>
    <row r="7" spans="1:12" x14ac:dyDescent="0.25">
      <c r="B7" s="49"/>
      <c r="C7" s="49"/>
      <c r="D7" s="49"/>
      <c r="E7" s="49">
        <f t="shared" ref="E7:E41" si="0">C7*D7</f>
        <v>0</v>
      </c>
      <c r="F7" s="49" t="s">
        <v>329</v>
      </c>
      <c r="G7" s="49"/>
      <c r="H7" s="49"/>
      <c r="I7" s="49">
        <f t="shared" ref="I7:I35" si="1">G7*H7</f>
        <v>0</v>
      </c>
      <c r="J7" s="49"/>
      <c r="K7" s="49"/>
      <c r="L7" s="49">
        <f t="shared" ref="L7:L35" si="2">J7*K7</f>
        <v>0</v>
      </c>
    </row>
    <row r="8" spans="1:12" x14ac:dyDescent="0.25">
      <c r="B8" s="49"/>
      <c r="C8" s="49"/>
      <c r="D8" s="49"/>
      <c r="E8" s="49">
        <f t="shared" si="0"/>
        <v>0</v>
      </c>
      <c r="F8" s="49"/>
      <c r="G8" s="49"/>
      <c r="H8" s="49"/>
      <c r="I8" s="49">
        <f t="shared" si="1"/>
        <v>0</v>
      </c>
      <c r="J8" s="49"/>
      <c r="K8" s="49"/>
      <c r="L8" s="49">
        <f t="shared" si="2"/>
        <v>0</v>
      </c>
    </row>
    <row r="9" spans="1:12" x14ac:dyDescent="0.25">
      <c r="B9" s="49"/>
      <c r="C9" s="49"/>
      <c r="D9" s="49"/>
      <c r="E9" s="49">
        <f t="shared" si="0"/>
        <v>0</v>
      </c>
      <c r="F9" s="49" t="s">
        <v>313</v>
      </c>
      <c r="G9" s="49"/>
      <c r="H9" s="49"/>
      <c r="I9" s="49">
        <f t="shared" si="1"/>
        <v>0</v>
      </c>
      <c r="J9" s="49"/>
      <c r="K9" s="49"/>
      <c r="L9" s="49">
        <f t="shared" si="2"/>
        <v>0</v>
      </c>
    </row>
    <row r="10" spans="1:12" x14ac:dyDescent="0.25">
      <c r="B10" s="49" t="s">
        <v>314</v>
      </c>
      <c r="C10" s="49"/>
      <c r="D10" s="49"/>
      <c r="E10" s="49">
        <f t="shared" si="0"/>
        <v>0</v>
      </c>
      <c r="F10" s="49" t="s">
        <v>313</v>
      </c>
      <c r="G10" s="49"/>
      <c r="H10" s="49"/>
      <c r="I10" s="49">
        <f t="shared" si="1"/>
        <v>0</v>
      </c>
      <c r="J10" s="49"/>
      <c r="K10" s="49"/>
      <c r="L10" s="49">
        <f t="shared" si="2"/>
        <v>0</v>
      </c>
    </row>
    <row r="11" spans="1:12" x14ac:dyDescent="0.25">
      <c r="B11" s="49"/>
      <c r="C11" s="49"/>
      <c r="D11" s="49"/>
      <c r="E11" s="49">
        <f t="shared" si="0"/>
        <v>0</v>
      </c>
      <c r="F11" s="49" t="s">
        <v>315</v>
      </c>
      <c r="G11" s="49"/>
      <c r="H11" s="49"/>
      <c r="I11" s="49">
        <f t="shared" si="1"/>
        <v>0</v>
      </c>
      <c r="J11" s="49"/>
      <c r="K11" s="49"/>
      <c r="L11" s="49">
        <f t="shared" si="2"/>
        <v>0</v>
      </c>
    </row>
    <row r="12" spans="1:12" x14ac:dyDescent="0.25">
      <c r="B12" s="49"/>
      <c r="C12" s="49"/>
      <c r="D12" s="49"/>
      <c r="E12" s="49">
        <f t="shared" si="0"/>
        <v>0</v>
      </c>
      <c r="F12" s="49"/>
      <c r="G12" s="49"/>
      <c r="H12" s="49"/>
      <c r="I12" s="49">
        <f t="shared" si="1"/>
        <v>0</v>
      </c>
      <c r="J12" s="49"/>
      <c r="K12" s="49"/>
      <c r="L12" s="49">
        <f t="shared" si="2"/>
        <v>0</v>
      </c>
    </row>
    <row r="13" spans="1:12" x14ac:dyDescent="0.25">
      <c r="B13" s="49"/>
      <c r="C13" s="49"/>
      <c r="D13" s="49"/>
      <c r="E13" s="49">
        <f t="shared" si="0"/>
        <v>0</v>
      </c>
      <c r="F13" s="49"/>
      <c r="G13" s="49"/>
      <c r="H13" s="49"/>
      <c r="I13" s="49">
        <f t="shared" si="1"/>
        <v>0</v>
      </c>
      <c r="J13" s="49"/>
      <c r="K13" s="49"/>
      <c r="L13" s="49">
        <f t="shared" si="2"/>
        <v>0</v>
      </c>
    </row>
    <row r="14" spans="1:12" x14ac:dyDescent="0.25">
      <c r="B14" s="49" t="s">
        <v>316</v>
      </c>
      <c r="C14" s="49"/>
      <c r="D14" s="49"/>
      <c r="E14" s="49">
        <f t="shared" si="0"/>
        <v>0</v>
      </c>
      <c r="F14" s="49" t="s">
        <v>313</v>
      </c>
      <c r="G14" s="49"/>
      <c r="H14" s="49"/>
      <c r="I14" s="49">
        <f t="shared" si="1"/>
        <v>0</v>
      </c>
      <c r="J14" s="49"/>
      <c r="K14" s="49"/>
      <c r="L14" s="49">
        <f t="shared" si="2"/>
        <v>0</v>
      </c>
    </row>
    <row r="15" spans="1:12" x14ac:dyDescent="0.25">
      <c r="B15" s="49"/>
      <c r="C15" s="49"/>
      <c r="D15" s="49"/>
      <c r="E15" s="49">
        <f t="shared" si="0"/>
        <v>0</v>
      </c>
      <c r="F15" s="49" t="s">
        <v>315</v>
      </c>
      <c r="G15" s="49"/>
      <c r="H15" s="49"/>
      <c r="I15" s="49">
        <f t="shared" si="1"/>
        <v>0</v>
      </c>
      <c r="J15" s="49"/>
      <c r="K15" s="49"/>
      <c r="L15" s="49">
        <f t="shared" si="2"/>
        <v>0</v>
      </c>
    </row>
    <row r="16" spans="1:12" x14ac:dyDescent="0.25">
      <c r="B16" s="49"/>
      <c r="C16" s="49"/>
      <c r="D16" s="49"/>
      <c r="E16" s="49">
        <f t="shared" si="0"/>
        <v>0</v>
      </c>
      <c r="F16" s="49"/>
      <c r="G16" s="49"/>
      <c r="H16" s="49"/>
      <c r="I16" s="49">
        <f t="shared" si="1"/>
        <v>0</v>
      </c>
      <c r="J16" s="49"/>
      <c r="K16" s="49"/>
      <c r="L16" s="49">
        <f t="shared" si="2"/>
        <v>0</v>
      </c>
    </row>
    <row r="17" spans="2:12" x14ac:dyDescent="0.25">
      <c r="B17" s="49"/>
      <c r="C17" s="49"/>
      <c r="D17" s="49"/>
      <c r="E17" s="49">
        <f t="shared" si="0"/>
        <v>0</v>
      </c>
      <c r="F17" s="49"/>
      <c r="G17" s="49"/>
      <c r="H17" s="49"/>
      <c r="I17" s="49">
        <f t="shared" si="1"/>
        <v>0</v>
      </c>
      <c r="J17" s="49"/>
      <c r="K17" s="49"/>
      <c r="L17" s="49">
        <f t="shared" si="2"/>
        <v>0</v>
      </c>
    </row>
    <row r="18" spans="2:12" x14ac:dyDescent="0.25">
      <c r="B18" s="49" t="s">
        <v>317</v>
      </c>
      <c r="C18" s="49"/>
      <c r="D18" s="49"/>
      <c r="E18" s="49">
        <f t="shared" si="0"/>
        <v>0</v>
      </c>
      <c r="F18" s="49" t="s">
        <v>313</v>
      </c>
      <c r="G18" s="49"/>
      <c r="H18" s="49"/>
      <c r="I18" s="49">
        <f t="shared" si="1"/>
        <v>0</v>
      </c>
      <c r="J18" s="49"/>
      <c r="K18" s="49"/>
      <c r="L18" s="49">
        <f t="shared" si="2"/>
        <v>0</v>
      </c>
    </row>
    <row r="19" spans="2:12" x14ac:dyDescent="0.25">
      <c r="B19" s="49"/>
      <c r="C19" s="49"/>
      <c r="D19" s="49"/>
      <c r="E19" s="49">
        <f t="shared" si="0"/>
        <v>0</v>
      </c>
      <c r="F19" s="49" t="s">
        <v>315</v>
      </c>
      <c r="G19" s="49"/>
      <c r="H19" s="49"/>
      <c r="I19" s="49">
        <f t="shared" si="1"/>
        <v>0</v>
      </c>
      <c r="J19" s="49"/>
      <c r="K19" s="49"/>
      <c r="L19" s="49">
        <f t="shared" si="2"/>
        <v>0</v>
      </c>
    </row>
    <row r="20" spans="2:12" x14ac:dyDescent="0.25">
      <c r="B20" s="49"/>
      <c r="C20" s="49"/>
      <c r="D20" s="49"/>
      <c r="E20" s="49">
        <f t="shared" si="0"/>
        <v>0</v>
      </c>
      <c r="F20" s="49"/>
      <c r="G20" s="49"/>
      <c r="H20" s="49"/>
      <c r="I20" s="49">
        <f t="shared" si="1"/>
        <v>0</v>
      </c>
      <c r="J20" s="49"/>
      <c r="K20" s="49"/>
      <c r="L20" s="49">
        <f t="shared" si="2"/>
        <v>0</v>
      </c>
    </row>
    <row r="21" spans="2:12" x14ac:dyDescent="0.25">
      <c r="B21" s="49" t="s">
        <v>318</v>
      </c>
      <c r="C21" s="49"/>
      <c r="D21" s="49"/>
      <c r="E21" s="49">
        <f t="shared" si="0"/>
        <v>0</v>
      </c>
      <c r="F21" s="49" t="s">
        <v>313</v>
      </c>
      <c r="G21" s="49"/>
      <c r="H21" s="49"/>
      <c r="I21" s="49">
        <f t="shared" si="1"/>
        <v>0</v>
      </c>
      <c r="J21" s="49"/>
      <c r="K21" s="49"/>
      <c r="L21" s="49">
        <f t="shared" si="2"/>
        <v>0</v>
      </c>
    </row>
    <row r="22" spans="2:12" x14ac:dyDescent="0.25">
      <c r="B22" s="49"/>
      <c r="C22" s="49"/>
      <c r="D22" s="49"/>
      <c r="E22" s="49">
        <f t="shared" si="0"/>
        <v>0</v>
      </c>
      <c r="F22" s="49" t="s">
        <v>315</v>
      </c>
      <c r="G22" s="49"/>
      <c r="H22" s="49"/>
      <c r="I22" s="49">
        <f t="shared" si="1"/>
        <v>0</v>
      </c>
      <c r="J22" s="49"/>
      <c r="K22" s="49"/>
      <c r="L22" s="49">
        <f t="shared" si="2"/>
        <v>0</v>
      </c>
    </row>
    <row r="23" spans="2:12" x14ac:dyDescent="0.25">
      <c r="B23" s="49"/>
      <c r="C23" s="49"/>
      <c r="D23" s="49"/>
      <c r="E23" s="49">
        <f t="shared" si="0"/>
        <v>0</v>
      </c>
      <c r="F23" s="49"/>
      <c r="G23" s="49"/>
      <c r="H23" s="49"/>
      <c r="I23" s="49">
        <f t="shared" si="1"/>
        <v>0</v>
      </c>
      <c r="J23" s="49"/>
      <c r="K23" s="49"/>
      <c r="L23" s="49">
        <f t="shared" si="2"/>
        <v>0</v>
      </c>
    </row>
    <row r="24" spans="2:12" x14ac:dyDescent="0.25">
      <c r="B24" s="49" t="s">
        <v>319</v>
      </c>
      <c r="C24" s="49"/>
      <c r="D24" s="49"/>
      <c r="E24" s="49">
        <f t="shared" si="0"/>
        <v>0</v>
      </c>
      <c r="F24" s="49" t="s">
        <v>320</v>
      </c>
      <c r="G24" s="49"/>
      <c r="H24" s="49"/>
      <c r="I24" s="49">
        <f t="shared" si="1"/>
        <v>0</v>
      </c>
      <c r="J24" s="49"/>
      <c r="K24" s="49"/>
      <c r="L24" s="49">
        <f t="shared" si="2"/>
        <v>0</v>
      </c>
    </row>
    <row r="25" spans="2:12" x14ac:dyDescent="0.25">
      <c r="B25" s="49"/>
      <c r="C25" s="49"/>
      <c r="D25" s="49"/>
      <c r="E25" s="49">
        <f>C25*D25</f>
        <v>0</v>
      </c>
      <c r="F25" s="49" t="s">
        <v>320</v>
      </c>
      <c r="G25" s="49"/>
      <c r="H25" s="49"/>
      <c r="I25" s="49">
        <f>G25*H25</f>
        <v>0</v>
      </c>
      <c r="J25" s="49"/>
      <c r="K25" s="49"/>
      <c r="L25" s="49">
        <f>J25*K25</f>
        <v>0</v>
      </c>
    </row>
    <row r="26" spans="2:12" x14ac:dyDescent="0.25">
      <c r="B26" s="49"/>
      <c r="C26" s="49"/>
      <c r="D26" s="49"/>
      <c r="E26" s="49">
        <f>C26*D26</f>
        <v>0</v>
      </c>
      <c r="F26" s="49" t="s">
        <v>320</v>
      </c>
      <c r="G26" s="49"/>
      <c r="H26" s="49"/>
      <c r="I26" s="49">
        <f>G26*H26</f>
        <v>0</v>
      </c>
      <c r="J26" s="49"/>
      <c r="K26" s="49"/>
      <c r="L26" s="49">
        <f>J26*K26</f>
        <v>0</v>
      </c>
    </row>
    <row r="27" spans="2:12" x14ac:dyDescent="0.25">
      <c r="B27" s="49"/>
      <c r="C27" s="49"/>
      <c r="D27" s="49"/>
      <c r="E27" s="49">
        <f>C27*D27</f>
        <v>0</v>
      </c>
      <c r="F27" s="49" t="s">
        <v>320</v>
      </c>
      <c r="G27" s="49"/>
      <c r="H27" s="49"/>
      <c r="I27" s="49">
        <f>G27*H27</f>
        <v>0</v>
      </c>
      <c r="J27" s="49"/>
      <c r="K27" s="49"/>
      <c r="L27" s="49">
        <f>J27*K27</f>
        <v>0</v>
      </c>
    </row>
    <row r="28" spans="2:12" x14ac:dyDescent="0.25">
      <c r="B28" s="49" t="s">
        <v>321</v>
      </c>
      <c r="C28" s="49"/>
      <c r="D28" s="49"/>
      <c r="E28" s="49">
        <f t="shared" si="0"/>
        <v>0</v>
      </c>
      <c r="F28" s="49" t="s">
        <v>320</v>
      </c>
      <c r="G28" s="49"/>
      <c r="H28" s="49"/>
      <c r="I28" s="49">
        <f t="shared" si="1"/>
        <v>0</v>
      </c>
      <c r="J28" s="49"/>
      <c r="K28" s="49"/>
      <c r="L28" s="49">
        <f t="shared" si="2"/>
        <v>0</v>
      </c>
    </row>
    <row r="29" spans="2:12" x14ac:dyDescent="0.25">
      <c r="B29" s="49" t="s">
        <v>322</v>
      </c>
      <c r="C29" s="49"/>
      <c r="D29" s="49"/>
      <c r="E29" s="49">
        <f t="shared" si="0"/>
        <v>0</v>
      </c>
      <c r="F29" s="49" t="s">
        <v>320</v>
      </c>
      <c r="G29" s="49"/>
      <c r="H29" s="49"/>
      <c r="I29" s="49">
        <f t="shared" si="1"/>
        <v>0</v>
      </c>
      <c r="J29" s="49"/>
      <c r="K29" s="49"/>
      <c r="L29" s="49">
        <f t="shared" si="2"/>
        <v>0</v>
      </c>
    </row>
    <row r="30" spans="2:12" x14ac:dyDescent="0.25">
      <c r="B30" s="49" t="s">
        <v>326</v>
      </c>
      <c r="C30" s="49"/>
      <c r="D30" s="49"/>
      <c r="E30" s="49">
        <f t="shared" si="0"/>
        <v>0</v>
      </c>
      <c r="F30" s="49"/>
      <c r="G30" s="49"/>
      <c r="H30" s="49"/>
      <c r="I30" s="49">
        <f t="shared" si="1"/>
        <v>0</v>
      </c>
      <c r="J30" s="49"/>
      <c r="K30" s="49"/>
      <c r="L30" s="49">
        <f t="shared" si="2"/>
        <v>0</v>
      </c>
    </row>
    <row r="31" spans="2:12" x14ac:dyDescent="0.25">
      <c r="B31" s="49"/>
      <c r="C31" s="49"/>
      <c r="D31" s="49"/>
      <c r="E31" s="49">
        <f>C31*D31</f>
        <v>0</v>
      </c>
      <c r="F31" s="49"/>
      <c r="G31" s="49"/>
      <c r="H31" s="49"/>
      <c r="I31" s="49">
        <f>G31*H31</f>
        <v>0</v>
      </c>
      <c r="J31" s="49"/>
      <c r="K31" s="49"/>
      <c r="L31" s="49">
        <f>J31*K31</f>
        <v>0</v>
      </c>
    </row>
    <row r="32" spans="2:12" x14ac:dyDescent="0.25">
      <c r="B32" s="49"/>
      <c r="C32" s="49"/>
      <c r="D32" s="49"/>
      <c r="E32" s="49">
        <f>C32*D32</f>
        <v>0</v>
      </c>
      <c r="F32" s="49"/>
      <c r="G32" s="49"/>
      <c r="H32" s="49"/>
      <c r="I32" s="49">
        <f>G32*H32</f>
        <v>0</v>
      </c>
      <c r="J32" s="49"/>
      <c r="K32" s="49"/>
      <c r="L32" s="49">
        <f>J32*K32</f>
        <v>0</v>
      </c>
    </row>
    <row r="33" spans="1:12" x14ac:dyDescent="0.25">
      <c r="B33" s="49" t="s">
        <v>323</v>
      </c>
      <c r="C33" s="49"/>
      <c r="D33" s="49"/>
      <c r="E33" s="49">
        <f t="shared" si="0"/>
        <v>0</v>
      </c>
      <c r="F33" s="49"/>
      <c r="G33" s="49"/>
      <c r="H33" s="49"/>
      <c r="I33" s="49">
        <f t="shared" si="1"/>
        <v>0</v>
      </c>
      <c r="J33" s="49"/>
      <c r="K33" s="49"/>
      <c r="L33" s="49">
        <f t="shared" si="2"/>
        <v>0</v>
      </c>
    </row>
    <row r="34" spans="1:12" x14ac:dyDescent="0.25">
      <c r="B34" s="49" t="s">
        <v>327</v>
      </c>
      <c r="C34" s="49"/>
      <c r="D34" s="49"/>
      <c r="E34" s="49">
        <f t="shared" si="0"/>
        <v>0</v>
      </c>
      <c r="F34" s="49"/>
      <c r="G34" s="49"/>
      <c r="H34" s="49"/>
      <c r="I34" s="49">
        <f t="shared" si="1"/>
        <v>0</v>
      </c>
      <c r="J34" s="49"/>
      <c r="K34" s="49"/>
      <c r="L34" s="49">
        <f t="shared" si="2"/>
        <v>0</v>
      </c>
    </row>
    <row r="35" spans="1:12" x14ac:dyDescent="0.25">
      <c r="B35" s="49" t="s">
        <v>324</v>
      </c>
      <c r="C35" s="49"/>
      <c r="D35" s="49"/>
      <c r="E35" s="49">
        <f t="shared" si="0"/>
        <v>0</v>
      </c>
      <c r="F35" s="49"/>
      <c r="G35" s="49"/>
      <c r="H35" s="49"/>
      <c r="I35" s="49">
        <f t="shared" si="1"/>
        <v>0</v>
      </c>
      <c r="J35" s="49"/>
      <c r="K35" s="49"/>
      <c r="L35" s="49">
        <f t="shared" si="2"/>
        <v>0</v>
      </c>
    </row>
    <row r="36" spans="1:12" x14ac:dyDescent="0.25">
      <c r="B36" s="49" t="s">
        <v>325</v>
      </c>
      <c r="C36" s="49"/>
      <c r="D36" s="49"/>
      <c r="E36" s="49">
        <f t="shared" si="0"/>
        <v>0</v>
      </c>
      <c r="F36" s="49"/>
      <c r="G36" s="49"/>
      <c r="H36" s="49"/>
      <c r="I36" s="49">
        <f t="shared" ref="I36:I41" si="3">G36*H36</f>
        <v>0</v>
      </c>
      <c r="J36" s="49"/>
      <c r="K36" s="49"/>
      <c r="L36" s="49">
        <f t="shared" ref="L36:L41" si="4">J36*K36</f>
        <v>0</v>
      </c>
    </row>
    <row r="37" spans="1:12" x14ac:dyDescent="0.25">
      <c r="B37" s="49"/>
      <c r="C37" s="49"/>
      <c r="D37" s="49"/>
      <c r="E37" s="49">
        <f>C37*D37</f>
        <v>0</v>
      </c>
      <c r="F37" s="49"/>
      <c r="G37" s="49"/>
      <c r="H37" s="49"/>
      <c r="I37" s="49">
        <f t="shared" si="3"/>
        <v>0</v>
      </c>
      <c r="J37" s="49"/>
      <c r="K37" s="49"/>
      <c r="L37" s="49">
        <f t="shared" si="4"/>
        <v>0</v>
      </c>
    </row>
    <row r="38" spans="1:12" x14ac:dyDescent="0.25">
      <c r="B38" s="49" t="s">
        <v>328</v>
      </c>
      <c r="C38" s="49"/>
      <c r="D38" s="49"/>
      <c r="E38" s="49">
        <f>C38*D38</f>
        <v>0</v>
      </c>
      <c r="F38" s="49"/>
      <c r="G38" s="49"/>
      <c r="H38" s="49"/>
      <c r="I38" s="49">
        <f t="shared" si="3"/>
        <v>0</v>
      </c>
      <c r="J38" s="49"/>
      <c r="K38" s="49"/>
      <c r="L38" s="49">
        <f t="shared" si="4"/>
        <v>0</v>
      </c>
    </row>
    <row r="39" spans="1:12" x14ac:dyDescent="0.25">
      <c r="B39" s="49"/>
      <c r="C39" s="49"/>
      <c r="D39" s="49"/>
      <c r="E39" s="49">
        <f t="shared" si="0"/>
        <v>0</v>
      </c>
      <c r="F39" s="49"/>
      <c r="G39" s="49"/>
      <c r="H39" s="49"/>
      <c r="I39" s="49">
        <f t="shared" si="3"/>
        <v>0</v>
      </c>
      <c r="J39" s="49"/>
      <c r="K39" s="49"/>
      <c r="L39" s="49">
        <f t="shared" si="4"/>
        <v>0</v>
      </c>
    </row>
    <row r="40" spans="1:12" x14ac:dyDescent="0.25">
      <c r="B40" s="49"/>
      <c r="C40" s="49"/>
      <c r="D40" s="49"/>
      <c r="E40" s="49">
        <f t="shared" si="0"/>
        <v>0</v>
      </c>
      <c r="F40" s="49"/>
      <c r="G40" s="49"/>
      <c r="H40" s="49"/>
      <c r="I40" s="49">
        <f t="shared" si="3"/>
        <v>0</v>
      </c>
      <c r="J40" s="49"/>
      <c r="K40" s="49"/>
      <c r="L40" s="49">
        <f t="shared" si="4"/>
        <v>0</v>
      </c>
    </row>
    <row r="41" spans="1:12" x14ac:dyDescent="0.25">
      <c r="B41" s="49"/>
      <c r="C41" s="49"/>
      <c r="D41" s="49"/>
      <c r="E41" s="49">
        <f t="shared" si="0"/>
        <v>0</v>
      </c>
      <c r="F41" s="49"/>
      <c r="G41" s="49"/>
      <c r="H41" s="49"/>
      <c r="I41" s="49">
        <f t="shared" si="3"/>
        <v>0</v>
      </c>
      <c r="J41" s="49"/>
      <c r="K41" s="49"/>
      <c r="L41" s="49">
        <f t="shared" si="4"/>
        <v>0</v>
      </c>
    </row>
    <row r="42" spans="1:12" x14ac:dyDescent="0.25">
      <c r="B42" s="49" t="s">
        <v>151</v>
      </c>
      <c r="C42" s="49"/>
      <c r="D42" s="49">
        <f>E42*10.764</f>
        <v>0</v>
      </c>
      <c r="E42" s="62">
        <f>SUM(E6:E41)</f>
        <v>0</v>
      </c>
      <c r="F42" s="49"/>
      <c r="G42" s="49"/>
      <c r="H42" s="49">
        <f>I42*10.764</f>
        <v>0</v>
      </c>
      <c r="I42" s="61">
        <f>SUM(I6:I41)</f>
        <v>0</v>
      </c>
      <c r="J42" s="49"/>
      <c r="K42" s="49">
        <f>L42*10.764</f>
        <v>0</v>
      </c>
      <c r="L42" s="60">
        <f>SUM(L6:L41)</f>
        <v>0</v>
      </c>
    </row>
    <row r="44" spans="1:12" x14ac:dyDescent="0.25">
      <c r="D44" s="48">
        <f>D42+H42</f>
        <v>0</v>
      </c>
      <c r="E44" s="48">
        <f>E42+I42</f>
        <v>0</v>
      </c>
    </row>
    <row r="46" spans="1:12" x14ac:dyDescent="0.25">
      <c r="B46" s="57" t="s">
        <v>304</v>
      </c>
      <c r="C46" s="238"/>
      <c r="D46" s="238"/>
    </row>
    <row r="47" spans="1:12" x14ac:dyDescent="0.25">
      <c r="D47" s="58"/>
      <c r="E47" s="58"/>
      <c r="F47" s="58"/>
      <c r="G47" s="58"/>
      <c r="H47" s="58"/>
      <c r="I47" s="58"/>
    </row>
    <row r="48" spans="1:12" x14ac:dyDescent="0.25">
      <c r="A48" s="57" t="s">
        <v>66</v>
      </c>
      <c r="B48" s="59" t="s">
        <v>305</v>
      </c>
      <c r="C48" s="235" t="s">
        <v>306</v>
      </c>
      <c r="D48" s="235"/>
      <c r="E48" s="235"/>
      <c r="F48" s="59"/>
      <c r="G48" s="236" t="s">
        <v>307</v>
      </c>
      <c r="H48" s="236"/>
      <c r="I48" s="236"/>
      <c r="J48" s="237" t="s">
        <v>308</v>
      </c>
      <c r="K48" s="237"/>
      <c r="L48" s="237"/>
    </row>
    <row r="49" spans="1:12" x14ac:dyDescent="0.25">
      <c r="A49" s="57"/>
      <c r="B49" s="59"/>
      <c r="C49" s="59" t="s">
        <v>309</v>
      </c>
      <c r="D49" s="59" t="s">
        <v>310</v>
      </c>
      <c r="E49" s="59" t="s">
        <v>311</v>
      </c>
      <c r="F49" s="59"/>
      <c r="G49" s="59" t="s">
        <v>309</v>
      </c>
      <c r="H49" s="59" t="s">
        <v>310</v>
      </c>
      <c r="I49" s="59" t="s">
        <v>311</v>
      </c>
      <c r="J49" s="59" t="s">
        <v>309</v>
      </c>
      <c r="K49" s="59" t="s">
        <v>310</v>
      </c>
      <c r="L49" s="59" t="s">
        <v>311</v>
      </c>
    </row>
    <row r="50" spans="1:12" x14ac:dyDescent="0.25">
      <c r="B50" s="49" t="s">
        <v>312</v>
      </c>
      <c r="C50" s="49"/>
      <c r="D50" s="49"/>
      <c r="E50" s="49">
        <f>C50*D50</f>
        <v>0</v>
      </c>
      <c r="F50" s="49" t="s">
        <v>329</v>
      </c>
      <c r="G50" s="49"/>
      <c r="H50" s="49"/>
      <c r="I50" s="49">
        <f>G50*H50</f>
        <v>0</v>
      </c>
      <c r="J50" s="49"/>
      <c r="K50" s="49"/>
      <c r="L50" s="49">
        <f>J50*K50</f>
        <v>0</v>
      </c>
    </row>
    <row r="51" spans="1:12" x14ac:dyDescent="0.25">
      <c r="B51" s="49"/>
      <c r="C51" s="49"/>
      <c r="D51" s="49"/>
      <c r="E51" s="49">
        <f t="shared" ref="E51:E68" si="5">C51*D51</f>
        <v>0</v>
      </c>
      <c r="F51" s="49" t="s">
        <v>329</v>
      </c>
      <c r="G51" s="49"/>
      <c r="H51" s="49"/>
      <c r="I51" s="49">
        <f t="shared" ref="I51:I68" si="6">G51*H51</f>
        <v>0</v>
      </c>
      <c r="J51" s="49"/>
      <c r="K51" s="49"/>
      <c r="L51" s="49">
        <f t="shared" ref="L51:L68" si="7">J51*K51</f>
        <v>0</v>
      </c>
    </row>
    <row r="52" spans="1:12" x14ac:dyDescent="0.25">
      <c r="B52" s="49"/>
      <c r="C52" s="49"/>
      <c r="D52" s="49"/>
      <c r="E52" s="49">
        <f t="shared" si="5"/>
        <v>0</v>
      </c>
      <c r="F52" s="49"/>
      <c r="G52" s="49"/>
      <c r="H52" s="49"/>
      <c r="I52" s="49">
        <f t="shared" si="6"/>
        <v>0</v>
      </c>
      <c r="J52" s="49"/>
      <c r="K52" s="49"/>
      <c r="L52" s="49">
        <f t="shared" si="7"/>
        <v>0</v>
      </c>
    </row>
    <row r="53" spans="1:12" x14ac:dyDescent="0.25">
      <c r="B53" s="49"/>
      <c r="C53" s="49"/>
      <c r="D53" s="49"/>
      <c r="E53" s="49">
        <f t="shared" si="5"/>
        <v>0</v>
      </c>
      <c r="F53" s="49" t="s">
        <v>313</v>
      </c>
      <c r="G53" s="49"/>
      <c r="H53" s="49"/>
      <c r="I53" s="49">
        <f t="shared" si="6"/>
        <v>0</v>
      </c>
      <c r="J53" s="49"/>
      <c r="K53" s="49"/>
      <c r="L53" s="49">
        <f t="shared" si="7"/>
        <v>0</v>
      </c>
    </row>
    <row r="54" spans="1:12" x14ac:dyDescent="0.25">
      <c r="B54" s="49" t="s">
        <v>314</v>
      </c>
      <c r="C54" s="49"/>
      <c r="D54" s="49"/>
      <c r="E54" s="49">
        <f t="shared" si="5"/>
        <v>0</v>
      </c>
      <c r="F54" s="49" t="s">
        <v>313</v>
      </c>
      <c r="G54" s="49"/>
      <c r="H54" s="49"/>
      <c r="I54" s="49">
        <f t="shared" si="6"/>
        <v>0</v>
      </c>
      <c r="J54" s="49"/>
      <c r="K54" s="49"/>
      <c r="L54" s="49">
        <f t="shared" si="7"/>
        <v>0</v>
      </c>
    </row>
    <row r="55" spans="1:12" x14ac:dyDescent="0.25">
      <c r="B55" s="49"/>
      <c r="C55" s="49"/>
      <c r="D55" s="49"/>
      <c r="E55" s="49">
        <f t="shared" si="5"/>
        <v>0</v>
      </c>
      <c r="F55" s="49" t="s">
        <v>315</v>
      </c>
      <c r="G55" s="49"/>
      <c r="H55" s="49"/>
      <c r="I55" s="49">
        <f t="shared" si="6"/>
        <v>0</v>
      </c>
      <c r="J55" s="49"/>
      <c r="K55" s="49"/>
      <c r="L55" s="49">
        <f t="shared" si="7"/>
        <v>0</v>
      </c>
    </row>
    <row r="56" spans="1:12" x14ac:dyDescent="0.25">
      <c r="B56" s="49"/>
      <c r="C56" s="49"/>
      <c r="D56" s="49"/>
      <c r="E56" s="49">
        <f t="shared" si="5"/>
        <v>0</v>
      </c>
      <c r="F56" s="49"/>
      <c r="G56" s="49"/>
      <c r="H56" s="49"/>
      <c r="I56" s="49">
        <f t="shared" si="6"/>
        <v>0</v>
      </c>
      <c r="J56" s="49"/>
      <c r="K56" s="49"/>
      <c r="L56" s="49">
        <f t="shared" si="7"/>
        <v>0</v>
      </c>
    </row>
    <row r="57" spans="1:12" x14ac:dyDescent="0.25">
      <c r="B57" s="49"/>
      <c r="C57" s="49"/>
      <c r="D57" s="49"/>
      <c r="E57" s="49">
        <f t="shared" si="5"/>
        <v>0</v>
      </c>
      <c r="F57" s="49"/>
      <c r="G57" s="49"/>
      <c r="H57" s="49"/>
      <c r="I57" s="49">
        <f t="shared" si="6"/>
        <v>0</v>
      </c>
      <c r="J57" s="49"/>
      <c r="K57" s="49"/>
      <c r="L57" s="49">
        <f t="shared" si="7"/>
        <v>0</v>
      </c>
    </row>
    <row r="58" spans="1:12" x14ac:dyDescent="0.25">
      <c r="B58" s="49" t="s">
        <v>316</v>
      </c>
      <c r="C58" s="49"/>
      <c r="D58" s="49"/>
      <c r="E58" s="49">
        <f t="shared" si="5"/>
        <v>0</v>
      </c>
      <c r="F58" s="49" t="s">
        <v>313</v>
      </c>
      <c r="G58" s="49"/>
      <c r="H58" s="49"/>
      <c r="I58" s="49">
        <f t="shared" si="6"/>
        <v>0</v>
      </c>
      <c r="J58" s="49"/>
      <c r="K58" s="49"/>
      <c r="L58" s="49">
        <f t="shared" si="7"/>
        <v>0</v>
      </c>
    </row>
    <row r="59" spans="1:12" x14ac:dyDescent="0.25">
      <c r="B59" s="49"/>
      <c r="C59" s="49"/>
      <c r="D59" s="49"/>
      <c r="E59" s="49">
        <f t="shared" si="5"/>
        <v>0</v>
      </c>
      <c r="F59" s="49" t="s">
        <v>315</v>
      </c>
      <c r="G59" s="49"/>
      <c r="H59" s="49"/>
      <c r="I59" s="49">
        <f t="shared" si="6"/>
        <v>0</v>
      </c>
      <c r="J59" s="49"/>
      <c r="K59" s="49"/>
      <c r="L59" s="49">
        <f t="shared" si="7"/>
        <v>0</v>
      </c>
    </row>
    <row r="60" spans="1:12" x14ac:dyDescent="0.25">
      <c r="B60" s="49"/>
      <c r="C60" s="49"/>
      <c r="D60" s="49"/>
      <c r="E60" s="49">
        <f t="shared" si="5"/>
        <v>0</v>
      </c>
      <c r="F60" s="49"/>
      <c r="G60" s="49"/>
      <c r="H60" s="49"/>
      <c r="I60" s="49">
        <f t="shared" si="6"/>
        <v>0</v>
      </c>
      <c r="J60" s="49"/>
      <c r="K60" s="49"/>
      <c r="L60" s="49">
        <f t="shared" si="7"/>
        <v>0</v>
      </c>
    </row>
    <row r="61" spans="1:12" x14ac:dyDescent="0.25">
      <c r="B61" s="49"/>
      <c r="C61" s="49"/>
      <c r="D61" s="49"/>
      <c r="E61" s="49">
        <f t="shared" si="5"/>
        <v>0</v>
      </c>
      <c r="F61" s="49"/>
      <c r="G61" s="49"/>
      <c r="H61" s="49"/>
      <c r="I61" s="49">
        <f t="shared" si="6"/>
        <v>0</v>
      </c>
      <c r="J61" s="49"/>
      <c r="K61" s="49"/>
      <c r="L61" s="49">
        <f t="shared" si="7"/>
        <v>0</v>
      </c>
    </row>
    <row r="62" spans="1:12" x14ac:dyDescent="0.25">
      <c r="B62" s="49" t="s">
        <v>317</v>
      </c>
      <c r="C62" s="49"/>
      <c r="D62" s="49"/>
      <c r="E62" s="49">
        <f t="shared" si="5"/>
        <v>0</v>
      </c>
      <c r="F62" s="49" t="s">
        <v>313</v>
      </c>
      <c r="G62" s="49"/>
      <c r="H62" s="49"/>
      <c r="I62" s="49">
        <f t="shared" si="6"/>
        <v>0</v>
      </c>
      <c r="J62" s="49"/>
      <c r="K62" s="49"/>
      <c r="L62" s="49">
        <f t="shared" si="7"/>
        <v>0</v>
      </c>
    </row>
    <row r="63" spans="1:12" x14ac:dyDescent="0.25">
      <c r="B63" s="49"/>
      <c r="C63" s="49"/>
      <c r="D63" s="49"/>
      <c r="E63" s="49">
        <f t="shared" si="5"/>
        <v>0</v>
      </c>
      <c r="F63" s="49" t="s">
        <v>315</v>
      </c>
      <c r="G63" s="49"/>
      <c r="H63" s="49"/>
      <c r="I63" s="49">
        <f t="shared" si="6"/>
        <v>0</v>
      </c>
      <c r="J63" s="49"/>
      <c r="K63" s="49"/>
      <c r="L63" s="49">
        <f t="shared" si="7"/>
        <v>0</v>
      </c>
    </row>
    <row r="64" spans="1:12" x14ac:dyDescent="0.25">
      <c r="B64" s="49"/>
      <c r="C64" s="49"/>
      <c r="D64" s="49"/>
      <c r="E64" s="49">
        <f t="shared" si="5"/>
        <v>0</v>
      </c>
      <c r="F64" s="49"/>
      <c r="G64" s="49"/>
      <c r="H64" s="49"/>
      <c r="I64" s="49">
        <f t="shared" si="6"/>
        <v>0</v>
      </c>
      <c r="J64" s="49"/>
      <c r="K64" s="49"/>
      <c r="L64" s="49">
        <f t="shared" si="7"/>
        <v>0</v>
      </c>
    </row>
    <row r="65" spans="2:12" x14ac:dyDescent="0.25">
      <c r="B65" s="49" t="s">
        <v>318</v>
      </c>
      <c r="C65" s="49"/>
      <c r="D65" s="49"/>
      <c r="E65" s="49">
        <f t="shared" si="5"/>
        <v>0</v>
      </c>
      <c r="F65" s="49" t="s">
        <v>313</v>
      </c>
      <c r="G65" s="49"/>
      <c r="H65" s="49"/>
      <c r="I65" s="49">
        <f t="shared" si="6"/>
        <v>0</v>
      </c>
      <c r="J65" s="49"/>
      <c r="K65" s="49"/>
      <c r="L65" s="49">
        <f t="shared" si="7"/>
        <v>0</v>
      </c>
    </row>
    <row r="66" spans="2:12" x14ac:dyDescent="0.25">
      <c r="B66" s="49"/>
      <c r="C66" s="49"/>
      <c r="D66" s="49"/>
      <c r="E66" s="49">
        <f t="shared" si="5"/>
        <v>0</v>
      </c>
      <c r="F66" s="49" t="s">
        <v>315</v>
      </c>
      <c r="G66" s="49"/>
      <c r="H66" s="49"/>
      <c r="I66" s="49">
        <f t="shared" si="6"/>
        <v>0</v>
      </c>
      <c r="J66" s="49"/>
      <c r="K66" s="49"/>
      <c r="L66" s="49">
        <f t="shared" si="7"/>
        <v>0</v>
      </c>
    </row>
    <row r="67" spans="2:12" x14ac:dyDescent="0.25">
      <c r="B67" s="49"/>
      <c r="C67" s="49"/>
      <c r="D67" s="49"/>
      <c r="E67" s="49">
        <f t="shared" si="5"/>
        <v>0</v>
      </c>
      <c r="F67" s="49"/>
      <c r="G67" s="49"/>
      <c r="H67" s="49"/>
      <c r="I67" s="49">
        <f t="shared" si="6"/>
        <v>0</v>
      </c>
      <c r="J67" s="49"/>
      <c r="K67" s="49"/>
      <c r="L67" s="49">
        <f t="shared" si="7"/>
        <v>0</v>
      </c>
    </row>
    <row r="68" spans="2:12" x14ac:dyDescent="0.25">
      <c r="B68" s="49" t="s">
        <v>319</v>
      </c>
      <c r="C68" s="49"/>
      <c r="D68" s="49"/>
      <c r="E68" s="49">
        <f t="shared" si="5"/>
        <v>0</v>
      </c>
      <c r="F68" s="49" t="s">
        <v>320</v>
      </c>
      <c r="G68" s="49"/>
      <c r="H68" s="49"/>
      <c r="I68" s="49">
        <f t="shared" si="6"/>
        <v>0</v>
      </c>
      <c r="J68" s="49"/>
      <c r="K68" s="49"/>
      <c r="L68" s="49">
        <f t="shared" si="7"/>
        <v>0</v>
      </c>
    </row>
    <row r="69" spans="2:12" x14ac:dyDescent="0.25">
      <c r="B69" s="49"/>
      <c r="C69" s="49"/>
      <c r="D69" s="49"/>
      <c r="E69" s="49">
        <f>C69*D69</f>
        <v>0</v>
      </c>
      <c r="F69" s="49" t="s">
        <v>320</v>
      </c>
      <c r="G69" s="49"/>
      <c r="H69" s="49"/>
      <c r="I69" s="49">
        <f>G69*H69</f>
        <v>0</v>
      </c>
      <c r="J69" s="49"/>
      <c r="K69" s="49"/>
      <c r="L69" s="49">
        <f>J69*K69</f>
        <v>0</v>
      </c>
    </row>
    <row r="70" spans="2:12" x14ac:dyDescent="0.25">
      <c r="B70" s="49"/>
      <c r="C70" s="49"/>
      <c r="D70" s="49"/>
      <c r="E70" s="49">
        <f>C70*D70</f>
        <v>0</v>
      </c>
      <c r="F70" s="49" t="s">
        <v>320</v>
      </c>
      <c r="G70" s="49"/>
      <c r="H70" s="49"/>
      <c r="I70" s="49">
        <f>G70*H70</f>
        <v>0</v>
      </c>
      <c r="J70" s="49"/>
      <c r="K70" s="49"/>
      <c r="L70" s="49">
        <f>J70*K70</f>
        <v>0</v>
      </c>
    </row>
    <row r="71" spans="2:12" x14ac:dyDescent="0.25">
      <c r="B71" s="49"/>
      <c r="C71" s="49"/>
      <c r="D71" s="49"/>
      <c r="E71" s="49">
        <f>C71*D71</f>
        <v>0</v>
      </c>
      <c r="F71" s="49" t="s">
        <v>320</v>
      </c>
      <c r="G71" s="49"/>
      <c r="H71" s="49"/>
      <c r="I71" s="49">
        <f>G71*H71</f>
        <v>0</v>
      </c>
      <c r="J71" s="49"/>
      <c r="K71" s="49"/>
      <c r="L71" s="49">
        <f>J71*K71</f>
        <v>0</v>
      </c>
    </row>
    <row r="72" spans="2:12" x14ac:dyDescent="0.25">
      <c r="B72" s="49" t="s">
        <v>321</v>
      </c>
      <c r="C72" s="49"/>
      <c r="D72" s="49"/>
      <c r="E72" s="49">
        <f t="shared" ref="E72:E74" si="8">C72*D72</f>
        <v>0</v>
      </c>
      <c r="F72" s="49" t="s">
        <v>320</v>
      </c>
      <c r="G72" s="49"/>
      <c r="H72" s="49"/>
      <c r="I72" s="49">
        <f t="shared" ref="I72:I74" si="9">G72*H72</f>
        <v>0</v>
      </c>
      <c r="J72" s="49"/>
      <c r="K72" s="49"/>
      <c r="L72" s="49">
        <f t="shared" ref="L72:L74" si="10">J72*K72</f>
        <v>0</v>
      </c>
    </row>
    <row r="73" spans="2:12" x14ac:dyDescent="0.25">
      <c r="B73" s="49" t="s">
        <v>322</v>
      </c>
      <c r="C73" s="49"/>
      <c r="D73" s="49"/>
      <c r="E73" s="49">
        <f t="shared" si="8"/>
        <v>0</v>
      </c>
      <c r="F73" s="49" t="s">
        <v>320</v>
      </c>
      <c r="G73" s="49"/>
      <c r="H73" s="49"/>
      <c r="I73" s="49">
        <f t="shared" si="9"/>
        <v>0</v>
      </c>
      <c r="J73" s="49"/>
      <c r="K73" s="49"/>
      <c r="L73" s="49">
        <f t="shared" si="10"/>
        <v>0</v>
      </c>
    </row>
    <row r="74" spans="2:12" x14ac:dyDescent="0.25">
      <c r="B74" s="49" t="s">
        <v>326</v>
      </c>
      <c r="C74" s="49"/>
      <c r="D74" s="49"/>
      <c r="E74" s="49">
        <f t="shared" si="8"/>
        <v>0</v>
      </c>
      <c r="F74" s="49"/>
      <c r="G74" s="49"/>
      <c r="H74" s="49"/>
      <c r="I74" s="49">
        <f t="shared" si="9"/>
        <v>0</v>
      </c>
      <c r="J74" s="49"/>
      <c r="K74" s="49"/>
      <c r="L74" s="49">
        <f t="shared" si="10"/>
        <v>0</v>
      </c>
    </row>
    <row r="75" spans="2:12" x14ac:dyDescent="0.25">
      <c r="B75" s="49"/>
      <c r="C75" s="49"/>
      <c r="D75" s="49"/>
      <c r="E75" s="49">
        <f>C75*D75</f>
        <v>0</v>
      </c>
      <c r="F75" s="49"/>
      <c r="G75" s="49"/>
      <c r="H75" s="49"/>
      <c r="I75" s="49">
        <f>G75*H75</f>
        <v>0</v>
      </c>
      <c r="J75" s="49"/>
      <c r="K75" s="49"/>
      <c r="L75" s="49">
        <f>J75*K75</f>
        <v>0</v>
      </c>
    </row>
    <row r="76" spans="2:12" x14ac:dyDescent="0.25">
      <c r="B76" s="49"/>
      <c r="C76" s="49"/>
      <c r="D76" s="49"/>
      <c r="E76" s="49">
        <f>C76*D76</f>
        <v>0</v>
      </c>
      <c r="F76" s="49"/>
      <c r="G76" s="49"/>
      <c r="H76" s="49"/>
      <c r="I76" s="49">
        <f>G76*H76</f>
        <v>0</v>
      </c>
      <c r="J76" s="49"/>
      <c r="K76" s="49"/>
      <c r="L76" s="49">
        <f>J76*K76</f>
        <v>0</v>
      </c>
    </row>
    <row r="77" spans="2:12" x14ac:dyDescent="0.25">
      <c r="B77" s="49" t="s">
        <v>323</v>
      </c>
      <c r="C77" s="49"/>
      <c r="D77" s="49"/>
      <c r="E77" s="49">
        <f t="shared" ref="E77:E80" si="11">C77*D77</f>
        <v>0</v>
      </c>
      <c r="F77" s="49"/>
      <c r="G77" s="49"/>
      <c r="H77" s="49"/>
      <c r="I77" s="49">
        <f t="shared" ref="I77:I85" si="12">G77*H77</f>
        <v>0</v>
      </c>
      <c r="J77" s="49"/>
      <c r="K77" s="49"/>
      <c r="L77" s="49">
        <f t="shared" ref="L77:L85" si="13">J77*K77</f>
        <v>0</v>
      </c>
    </row>
    <row r="78" spans="2:12" x14ac:dyDescent="0.25">
      <c r="B78" s="49" t="s">
        <v>327</v>
      </c>
      <c r="C78" s="49"/>
      <c r="D78" s="49"/>
      <c r="E78" s="49">
        <f t="shared" si="11"/>
        <v>0</v>
      </c>
      <c r="F78" s="49"/>
      <c r="G78" s="49"/>
      <c r="H78" s="49"/>
      <c r="I78" s="49">
        <f t="shared" si="12"/>
        <v>0</v>
      </c>
      <c r="J78" s="49"/>
      <c r="K78" s="49"/>
      <c r="L78" s="49">
        <f t="shared" si="13"/>
        <v>0</v>
      </c>
    </row>
    <row r="79" spans="2:12" x14ac:dyDescent="0.25">
      <c r="B79" s="49" t="s">
        <v>324</v>
      </c>
      <c r="C79" s="49"/>
      <c r="D79" s="49"/>
      <c r="E79" s="49">
        <f t="shared" si="11"/>
        <v>0</v>
      </c>
      <c r="F79" s="49"/>
      <c r="G79" s="49"/>
      <c r="H79" s="49"/>
      <c r="I79" s="49">
        <f t="shared" si="12"/>
        <v>0</v>
      </c>
      <c r="J79" s="49"/>
      <c r="K79" s="49"/>
      <c r="L79" s="49">
        <f t="shared" si="13"/>
        <v>0</v>
      </c>
    </row>
    <row r="80" spans="2:12" x14ac:dyDescent="0.25">
      <c r="B80" s="49" t="s">
        <v>325</v>
      </c>
      <c r="C80" s="49"/>
      <c r="D80" s="49"/>
      <c r="E80" s="49">
        <f t="shared" si="11"/>
        <v>0</v>
      </c>
      <c r="F80" s="49"/>
      <c r="G80" s="49"/>
      <c r="H80" s="49"/>
      <c r="I80" s="49">
        <f t="shared" si="12"/>
        <v>0</v>
      </c>
      <c r="J80" s="49"/>
      <c r="K80" s="49"/>
      <c r="L80" s="49">
        <f t="shared" si="13"/>
        <v>0</v>
      </c>
    </row>
    <row r="81" spans="2:12" x14ac:dyDescent="0.25">
      <c r="B81" s="49"/>
      <c r="C81" s="49"/>
      <c r="D81" s="49"/>
      <c r="E81" s="49">
        <f>C81*D81</f>
        <v>0</v>
      </c>
      <c r="F81" s="49"/>
      <c r="G81" s="49"/>
      <c r="H81" s="49"/>
      <c r="I81" s="49">
        <f t="shared" si="12"/>
        <v>0</v>
      </c>
      <c r="J81" s="49"/>
      <c r="K81" s="49"/>
      <c r="L81" s="49">
        <f t="shared" si="13"/>
        <v>0</v>
      </c>
    </row>
    <row r="82" spans="2:12" x14ac:dyDescent="0.25">
      <c r="B82" s="49" t="s">
        <v>328</v>
      </c>
      <c r="C82" s="49"/>
      <c r="D82" s="49"/>
      <c r="E82" s="49">
        <f>C82*D82</f>
        <v>0</v>
      </c>
      <c r="F82" s="49"/>
      <c r="G82" s="49"/>
      <c r="H82" s="49"/>
      <c r="I82" s="49">
        <f t="shared" si="12"/>
        <v>0</v>
      </c>
      <c r="J82" s="49"/>
      <c r="K82" s="49"/>
      <c r="L82" s="49">
        <f t="shared" si="13"/>
        <v>0</v>
      </c>
    </row>
    <row r="83" spans="2:12" x14ac:dyDescent="0.25">
      <c r="B83" s="49"/>
      <c r="C83" s="49"/>
      <c r="D83" s="49"/>
      <c r="E83" s="49">
        <f t="shared" ref="E83:E85" si="14">C83*D83</f>
        <v>0</v>
      </c>
      <c r="F83" s="49"/>
      <c r="G83" s="49"/>
      <c r="H83" s="49"/>
      <c r="I83" s="49">
        <f t="shared" si="12"/>
        <v>0</v>
      </c>
      <c r="J83" s="49"/>
      <c r="K83" s="49"/>
      <c r="L83" s="49">
        <f t="shared" si="13"/>
        <v>0</v>
      </c>
    </row>
    <row r="84" spans="2:12" x14ac:dyDescent="0.25">
      <c r="B84" s="49"/>
      <c r="C84" s="49"/>
      <c r="D84" s="49"/>
      <c r="E84" s="49">
        <f t="shared" si="14"/>
        <v>0</v>
      </c>
      <c r="F84" s="49"/>
      <c r="G84" s="49"/>
      <c r="H84" s="49"/>
      <c r="I84" s="49">
        <f t="shared" si="12"/>
        <v>0</v>
      </c>
      <c r="J84" s="49"/>
      <c r="K84" s="49"/>
      <c r="L84" s="49">
        <f t="shared" si="13"/>
        <v>0</v>
      </c>
    </row>
    <row r="85" spans="2:12" x14ac:dyDescent="0.25">
      <c r="B85" s="49"/>
      <c r="C85" s="49"/>
      <c r="D85" s="49"/>
      <c r="E85" s="49">
        <f t="shared" si="14"/>
        <v>0</v>
      </c>
      <c r="F85" s="49"/>
      <c r="G85" s="49"/>
      <c r="H85" s="49"/>
      <c r="I85" s="49">
        <f t="shared" si="12"/>
        <v>0</v>
      </c>
      <c r="J85" s="49"/>
      <c r="K85" s="49"/>
      <c r="L85" s="49">
        <f t="shared" si="13"/>
        <v>0</v>
      </c>
    </row>
    <row r="86" spans="2:12" x14ac:dyDescent="0.25">
      <c r="B86" s="49" t="s">
        <v>151</v>
      </c>
      <c r="C86" s="49"/>
      <c r="D86" s="49">
        <f>E86*10.764</f>
        <v>0</v>
      </c>
      <c r="E86" s="62">
        <f>SUM(E50:E85)</f>
        <v>0</v>
      </c>
      <c r="F86" s="49"/>
      <c r="G86" s="49"/>
      <c r="H86" s="49">
        <f>I86*10.764</f>
        <v>0</v>
      </c>
      <c r="I86" s="61">
        <f>SUM(I50:I85)</f>
        <v>0</v>
      </c>
      <c r="J86" s="49"/>
      <c r="K86" s="49">
        <f>L86*10.764</f>
        <v>0</v>
      </c>
      <c r="L86" s="60">
        <f>SUM(L50:L85)</f>
        <v>0</v>
      </c>
    </row>
    <row r="88" spans="2:12" x14ac:dyDescent="0.25">
      <c r="D88" s="48">
        <f>D86+H86</f>
        <v>0</v>
      </c>
      <c r="E88" s="48">
        <f>E86+I86</f>
        <v>0</v>
      </c>
    </row>
  </sheetData>
  <mergeCells count="8">
    <mergeCell ref="C48:E48"/>
    <mergeCell ref="G48:I48"/>
    <mergeCell ref="J48:L48"/>
    <mergeCell ref="C2:D2"/>
    <mergeCell ref="C4:E4"/>
    <mergeCell ref="G4:I4"/>
    <mergeCell ref="J4:L4"/>
    <mergeCell ref="C46:D4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valuation</vt:lpstr>
      <vt:lpstr>Research</vt:lpstr>
      <vt:lpstr>Remarks</vt:lpstr>
      <vt:lpstr>Wing 3 (Area)</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2025-09-09T11:10:23Z</cp:lastPrinted>
  <dcterms:created xsi:type="dcterms:W3CDTF">2019-07-16T09:29:46Z</dcterms:created>
  <dcterms:modified xsi:type="dcterms:W3CDTF">2025-09-09T11:19:09Z</dcterms:modified>
</cp:coreProperties>
</file>